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6135" windowWidth="20505" windowHeight="1620" tabRatio="769" activeTab="3"/>
  </bookViews>
  <sheets>
    <sheet name="Table of Contents" sheetId="204" r:id="rId1"/>
    <sheet name="Allocation" sheetId="212" r:id="rId2"/>
    <sheet name="Cover A" sheetId="205" r:id="rId3"/>
    <sheet name="A.1" sheetId="1" r:id="rId4"/>
    <sheet name="Cover B" sheetId="206" r:id="rId5"/>
    <sheet name="B.1 B" sheetId="3" r:id="rId6"/>
    <sheet name="B.1 F " sheetId="137" r:id="rId7"/>
    <sheet name="B.2 F" sheetId="213" r:id="rId8"/>
    <sheet name="B.2 B" sheetId="207" r:id="rId9"/>
    <sheet name="B.3 B" sheetId="236" r:id="rId10"/>
    <sheet name="B.3 F" sheetId="209" r:id="rId11"/>
    <sheet name="B.3.1 F" sheetId="237" r:id="rId12"/>
    <sheet name="B.4 B" sheetId="31" r:id="rId13"/>
    <sheet name="B.4 F" sheetId="67" r:id="rId14"/>
    <sheet name="B.4.1 B" sheetId="30" r:id="rId15"/>
    <sheet name="B.4.1 F" sheetId="215" r:id="rId16"/>
    <sheet name="B.4.2 B" sheetId="24" r:id="rId17"/>
    <sheet name="B.4.2 F" sheetId="69" r:id="rId18"/>
    <sheet name="B.5 B" sheetId="231" r:id="rId19"/>
    <sheet name="B.5 F" sheetId="232" r:id="rId20"/>
    <sheet name="B.6 B" sheetId="243" r:id="rId21"/>
    <sheet name="B.6 F" sheetId="244" r:id="rId22"/>
    <sheet name="WP B.4.1F" sheetId="216" r:id="rId23"/>
    <sheet name="WP B.4.1B" sheetId="214" r:id="rId24"/>
    <sheet name="WP B.5 B" sheetId="230" r:id="rId25"/>
    <sheet name="WP B.5 F" sheetId="233" r:id="rId26"/>
    <sheet name="WP B.5 F1" sheetId="251" r:id="rId27"/>
    <sheet name="WP B.6 B" sheetId="241" r:id="rId28"/>
    <sheet name="WP B.6 F" sheetId="242" r:id="rId29"/>
    <sheet name="Cover C" sheetId="211" r:id="rId30"/>
    <sheet name="C.1" sheetId="47" r:id="rId31"/>
    <sheet name="C.2" sheetId="46" r:id="rId32"/>
    <sheet name="C.2.1 B" sheetId="45" r:id="rId33"/>
    <sheet name="C.2.1 F" sheetId="79" r:id="rId34"/>
    <sheet name="C.2.2 B 09" sheetId="44" r:id="rId35"/>
    <sheet name="C.2.2 B 02" sheetId="190" r:id="rId36"/>
    <sheet name="C.2.2 B 12" sheetId="193" r:id="rId37"/>
    <sheet name="C.2.2 B 91" sheetId="192" r:id="rId38"/>
    <sheet name="C.2.2-F 09" sheetId="222" r:id="rId39"/>
    <sheet name="C.2.2-F 02" sheetId="226" r:id="rId40"/>
    <sheet name="C.2.2-F 12" sheetId="227" r:id="rId41"/>
    <sheet name="C.2.2-F 91" sheetId="228" r:id="rId42"/>
    <sheet name="C.2.3 B" sheetId="171" r:id="rId43"/>
    <sheet name="C.2.3 F" sheetId="238" r:id="rId44"/>
    <sheet name="Cover D" sheetId="221" r:id="rId45"/>
    <sheet name="D.1" sheetId="51" r:id="rId46"/>
    <sheet name="D.2.1" sheetId="50" r:id="rId47"/>
    <sheet name="D.2.2" sheetId="49" r:id="rId48"/>
    <sheet name="D.2.3" sheetId="48" r:id="rId49"/>
    <sheet name="Cover E" sheetId="235" r:id="rId50"/>
    <sheet name="E" sheetId="84" r:id="rId51"/>
    <sheet name="Cover F" sheetId="245" r:id="rId52"/>
    <sheet name="F.1" sheetId="248" r:id="rId53"/>
    <sheet name="F.2.1" sheetId="107" r:id="rId54"/>
    <sheet name="F.2.2" sheetId="104" r:id="rId55"/>
    <sheet name="F.2.3" sheetId="105" r:id="rId56"/>
    <sheet name="F.3" sheetId="100" r:id="rId57"/>
    <sheet name="F.4" sheetId="247" r:id="rId58"/>
    <sheet name="F.5" sheetId="102" r:id="rId59"/>
    <sheet name="F.6" sheetId="106" r:id="rId60"/>
    <sheet name="F.7" sheetId="103" r:id="rId61"/>
    <sheet name="F.8" sheetId="239" r:id="rId62"/>
    <sheet name="F.9" sheetId="249" r:id="rId63"/>
    <sheet name="F.10" sheetId="250" r:id="rId64"/>
    <sheet name="G.1" sheetId="36" r:id="rId65"/>
    <sheet name="G.2" sheetId="35" r:id="rId66"/>
    <sheet name="G.3" sheetId="34" r:id="rId67"/>
    <sheet name="H.1" sheetId="37" r:id="rId68"/>
    <sheet name="I.1" sheetId="42" r:id="rId69"/>
    <sheet name="I.2" sheetId="41" r:id="rId70"/>
    <sheet name="I.3" sheetId="39" r:id="rId71"/>
    <sheet name="J-1 Base" sheetId="4" r:id="rId72"/>
    <sheet name="J-2 B" sheetId="5" r:id="rId73"/>
    <sheet name="J-3 B" sheetId="8" r:id="rId74"/>
    <sheet name="J-4" sheetId="9" r:id="rId75"/>
    <sheet name="J.1" sheetId="202" r:id="rId76"/>
    <sheet name="J-1 F" sheetId="95" r:id="rId77"/>
    <sheet name="J-2 F" sheetId="98" r:id="rId78"/>
    <sheet name="J-3 F" sheetId="99" r:id="rId79"/>
    <sheet name="K" sheetId="10" r:id="rId80"/>
  </sheets>
  <externalReferences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\p">A.1!#REF!</definedName>
    <definedName name="_Div012" localSheetId="63">#REF!</definedName>
    <definedName name="_Div012" localSheetId="62">#REF!</definedName>
    <definedName name="_Div012">#REF!</definedName>
    <definedName name="_Div02" localSheetId="63">#REF!</definedName>
    <definedName name="_Div02" localSheetId="62">#REF!</definedName>
    <definedName name="_Div02">#REF!</definedName>
    <definedName name="_Div091" localSheetId="63">#REF!</definedName>
    <definedName name="_Div091" localSheetId="62">#REF!</definedName>
    <definedName name="_Div091">#REF!</definedName>
    <definedName name="_Regression_Int" localSheetId="3" hidden="1">1</definedName>
    <definedName name="Case_No._2006_00464" localSheetId="63">#REF!</definedName>
    <definedName name="Case_No._2006_00464" localSheetId="62">#REF!</definedName>
    <definedName name="Case_No._2006_00464">#REF!</definedName>
    <definedName name="csDesignMode">1</definedName>
    <definedName name="Div012Cap" localSheetId="63">#REF!</definedName>
    <definedName name="Div012Cap" localSheetId="62">#REF!</definedName>
    <definedName name="Div012Cap">#REF!</definedName>
    <definedName name="Div02Cap" localSheetId="63">#REF!</definedName>
    <definedName name="Div02Cap" localSheetId="62">#REF!</definedName>
    <definedName name="Div02Cap">#REF!</definedName>
    <definedName name="Div091Cap" localSheetId="63">#REF!</definedName>
    <definedName name="Div091Cap" localSheetId="62">#REF!</definedName>
    <definedName name="Div091Cap">#REF!</definedName>
    <definedName name="Div09cap" localSheetId="63">#REF!</definedName>
    <definedName name="Div09cap" localSheetId="62">#REF!</definedName>
    <definedName name="Div09cap">#REF!</definedName>
    <definedName name="EssOptions" localSheetId="53">"A1100000000030000000001100020_0000"</definedName>
    <definedName name="EssOptions" localSheetId="56">"A1100000000030000000001100020_0000"</definedName>
    <definedName name="kytax" localSheetId="63">#REF!</definedName>
    <definedName name="kytax" localSheetId="62">#REF!</definedName>
    <definedName name="kytax">#REF!</definedName>
    <definedName name="ltdrate" localSheetId="63">#REF!</definedName>
    <definedName name="ltdrate" localSheetId="62">#REF!</definedName>
    <definedName name="ltdrate">#REF!</definedName>
    <definedName name="_xlnm.Print_Area" localSheetId="3">A.1!$A$1:$G$38</definedName>
    <definedName name="_xlnm.Print_Area" localSheetId="1">Allocation!$A$1:$I$31</definedName>
    <definedName name="_xlnm.Print_Area" localSheetId="5">'B.1 B'!$A$1:$F$31</definedName>
    <definedName name="_xlnm.Print_Area" localSheetId="6">'B.1 F '!$A$1:$F$31</definedName>
    <definedName name="_xlnm.Print_Area" localSheetId="8">'B.2 B'!$A$1:$N$266</definedName>
    <definedName name="_xlnm.Print_Area" localSheetId="7">'B.2 F'!$A$1:$N$266</definedName>
    <definedName name="_xlnm.Print_Area" localSheetId="9">'B.3 B'!$A$1:$N$261</definedName>
    <definedName name="_xlnm.Print_Area" localSheetId="10">'B.3 F'!$A$1:$N$263</definedName>
    <definedName name="_xlnm.Print_Area" localSheetId="11">'B.3.1 F'!$A$1:$H$261</definedName>
    <definedName name="_xlnm.Print_Area" localSheetId="12">'B.4 B'!$A$1:$E$24</definedName>
    <definedName name="_xlnm.Print_Area" localSheetId="13">'B.4 F'!$A$1:$E$24</definedName>
    <definedName name="_xlnm.Print_Area" localSheetId="14">'B.4.1 B'!$A$1:$K$37</definedName>
    <definedName name="_xlnm.Print_Area" localSheetId="15">'B.4.1 F'!$A$1:$K$37</definedName>
    <definedName name="_xlnm.Print_Area" localSheetId="16">'B.4.2 B'!$A$1:$H$34</definedName>
    <definedName name="_xlnm.Print_Area" localSheetId="17">'B.4.2 F'!$A$1:$H$33</definedName>
    <definedName name="_xlnm.Print_Area" localSheetId="18">'B.5 B'!$A$1:$L$51</definedName>
    <definedName name="_xlnm.Print_Area" localSheetId="19">'B.5 F'!$A$1:$L$88</definedName>
    <definedName name="_xlnm.Print_Area" localSheetId="20">'B.6 B'!$A$1:$L$25</definedName>
    <definedName name="_xlnm.Print_Area" localSheetId="21">'B.6 F'!$A$1:$L$25</definedName>
    <definedName name="_xlnm.Print_Area" localSheetId="30">C.1!$A$1:$J$31</definedName>
    <definedName name="_xlnm.Print_Area" localSheetId="31">C.2!$A$1:$O$34</definedName>
    <definedName name="_xlnm.Print_Area" localSheetId="32">'C.2.1 B'!$A$1:$D$181</definedName>
    <definedName name="_xlnm.Print_Area" localSheetId="33">'C.2.1 F'!$A$1:$D$178</definedName>
    <definedName name="_xlnm.Print_Area" localSheetId="35">'C.2.2 B 02'!$A$14:$P$45</definedName>
    <definedName name="_xlnm.Print_Area" localSheetId="34">'C.2.2 B 09'!$A$12:$P$114</definedName>
    <definedName name="_xlnm.Print_Area" localSheetId="36">'C.2.2 B 12'!$A$12:$P$37</definedName>
    <definedName name="_xlnm.Print_Area" localSheetId="37">'C.2.2 B 91'!$A$14:$P$59</definedName>
    <definedName name="_xlnm.Print_Area" localSheetId="39">'C.2.2-F 02'!$A$12:$P$43</definedName>
    <definedName name="_xlnm.Print_Area" localSheetId="38">'C.2.2-F 09'!$A$12:$P$113</definedName>
    <definedName name="_xlnm.Print_Area" localSheetId="40">'C.2.2-F 12'!$A$12:$P$37</definedName>
    <definedName name="_xlnm.Print_Area" localSheetId="41">'C.2.2-F 91'!$A$12:$P$57</definedName>
    <definedName name="_xlnm.Print_Area" localSheetId="42">'C.2.3 B'!$A$1:$O$67</definedName>
    <definedName name="_xlnm.Print_Area" localSheetId="43">'C.2.3 F'!$A$1:$O$68</definedName>
    <definedName name="_xlnm.Print_Area" localSheetId="4">'Cover B'!$A$1:$C$24</definedName>
    <definedName name="_xlnm.Print_Area" localSheetId="29">'Cover C'!$A$1:$C$20</definedName>
    <definedName name="_xlnm.Print_Area" localSheetId="44">'Cover D'!$A$1:$C$23</definedName>
    <definedName name="_xlnm.Print_Area" localSheetId="49">'Cover E'!$A$1:$C$22</definedName>
    <definedName name="_xlnm.Print_Area" localSheetId="51">'Cover F'!$A$1:$C$30</definedName>
    <definedName name="_xlnm.Print_Area" localSheetId="45">D.1!$A$1:$P$172</definedName>
    <definedName name="_xlnm.Print_Area" localSheetId="46">D.2.1!$A$1:$D$72</definedName>
    <definedName name="_xlnm.Print_Area" localSheetId="47">D.2.2!$A$1:$D$45</definedName>
    <definedName name="_xlnm.Print_Area" localSheetId="48">D.2.3!$A$1:$D$23</definedName>
    <definedName name="_xlnm.Print_Area" localSheetId="50">E!$A$1:$H$37</definedName>
    <definedName name="_xlnm.Print_Area" localSheetId="52">F.1!$A$1:$G$147</definedName>
    <definedName name="_xlnm.Print_Area" localSheetId="63">F.10!$A$1:$F$41</definedName>
    <definedName name="_xlnm.Print_Area" localSheetId="53">F.2.1!$A$1:$F$40</definedName>
    <definedName name="_xlnm.Print_Area" localSheetId="54">F.2.2!$A$1:$J$28</definedName>
    <definedName name="_xlnm.Print_Area" localSheetId="55">F.2.3!$A$1:$J$37</definedName>
    <definedName name="_xlnm.Print_Area" localSheetId="56">F.3!$A$1:$J$78</definedName>
    <definedName name="_xlnm.Print_Area" localSheetId="57">F.4!$A$1:$K$32</definedName>
    <definedName name="_xlnm.Print_Area" localSheetId="58">F.5!$A$1:$I$39</definedName>
    <definedName name="_xlnm.Print_Area" localSheetId="59">F.6!$A$1:$K$43</definedName>
    <definedName name="_xlnm.Print_Area" localSheetId="60">F.7!$A$1:$I$51</definedName>
    <definedName name="_xlnm.Print_Area" localSheetId="61">F.8!$A$1:$I$28</definedName>
    <definedName name="_xlnm.Print_Area" localSheetId="62">F.9!$A$1:$G$24</definedName>
    <definedName name="_xlnm.Print_Area" localSheetId="64">G.1!$A$1:$L$34</definedName>
    <definedName name="_xlnm.Print_Area" localSheetId="65">G.2!$A$1:$P$51</definedName>
    <definedName name="_xlnm.Print_Area" localSheetId="66">G.3!$A$1:$L$46</definedName>
    <definedName name="_xlnm.Print_Area" localSheetId="67">H.1!$A$1:$E$36</definedName>
    <definedName name="_xlnm.Print_Area" localSheetId="68">I.1!$A$1:$P$48</definedName>
    <definedName name="_xlnm.Print_Area" localSheetId="69">I.2!$A$1:$S$39</definedName>
    <definedName name="_xlnm.Print_Area" localSheetId="70">I.3!$A$1:$S$44</definedName>
    <definedName name="_xlnm.Print_Area" localSheetId="75">J.1!$A$1:$V$54</definedName>
    <definedName name="_xlnm.Print_Area" localSheetId="71">'J-1 Base'!$A$1:$M$27</definedName>
    <definedName name="_xlnm.Print_Area" localSheetId="76">'J-1 F'!$A$1:$M$28</definedName>
    <definedName name="_xlnm.Print_Area" localSheetId="72">'J-2 B'!$A$1:$L$29</definedName>
    <definedName name="_xlnm.Print_Area" localSheetId="77">'J-2 F'!$A$1:$L$28</definedName>
    <definedName name="_xlnm.Print_Area" localSheetId="73">'J-3 B'!$A$1:$K$34</definedName>
    <definedName name="_xlnm.Print_Area" localSheetId="78">'J-3 F'!$A$1:$L$39</definedName>
    <definedName name="_xlnm.Print_Area" localSheetId="74">'J-4'!$A$1:$S$16</definedName>
    <definedName name="_xlnm.Print_Area" localSheetId="79">K!$A$1:$R$135</definedName>
    <definedName name="_xlnm.Print_Area" localSheetId="23">'WP B.4.1B'!$A$1:$P$53</definedName>
    <definedName name="_xlnm.Print_Area" localSheetId="22">'WP B.4.1F'!$A$1:$P$53</definedName>
    <definedName name="_xlnm.Print_Area" localSheetId="24">'WP B.5 B'!$A$1:$Q$49</definedName>
    <definedName name="_xlnm.Print_Area" localSheetId="25">'WP B.5 F'!$A$1:$Q$49</definedName>
    <definedName name="_xlnm.Print_Area" localSheetId="27">'WP B.6 B'!$A$1:$Q$23</definedName>
    <definedName name="_xlnm.Print_Area" localSheetId="28">'WP B.6 F'!$A$1:$Q$23</definedName>
    <definedName name="Print_Area_MI">A.1!$A$1:$K$35</definedName>
    <definedName name="_xlnm.Print_Titles" localSheetId="5">'B.1 B'!$1:$8</definedName>
    <definedName name="_xlnm.Print_Titles" localSheetId="8">'B.2 B'!$1:$13</definedName>
    <definedName name="_xlnm.Print_Titles" localSheetId="7">'B.2 F'!$1:$13</definedName>
    <definedName name="_xlnm.Print_Titles" localSheetId="9">'B.3 B'!$1:$12</definedName>
    <definedName name="_xlnm.Print_Titles" localSheetId="10">'B.3 F'!$1:$12</definedName>
    <definedName name="_xlnm.Print_Titles" localSheetId="11">'B.3.1 F'!$1:$12</definedName>
    <definedName name="_xlnm.Print_Titles" localSheetId="18">'B.5 B'!$1:$11</definedName>
    <definedName name="_xlnm.Print_Titles" localSheetId="19">'B.5 F'!$1:$11</definedName>
    <definedName name="_xlnm.Print_Titles" localSheetId="20">'B.6 B'!$1:$11</definedName>
    <definedName name="_xlnm.Print_Titles" localSheetId="21">'B.6 F'!$1:$11</definedName>
    <definedName name="_xlnm.Print_Titles" localSheetId="32">'C.2.1 B'!$1:$12</definedName>
    <definedName name="_xlnm.Print_Titles" localSheetId="33">'C.2.1 F'!$1:$12</definedName>
    <definedName name="_xlnm.Print_Titles" localSheetId="35">'C.2.2 B 02'!$1:$11</definedName>
    <definedName name="_xlnm.Print_Titles" localSheetId="34">'C.2.2 B 09'!$1:$11</definedName>
    <definedName name="_xlnm.Print_Titles" localSheetId="36">'C.2.2 B 12'!$1:$11</definedName>
    <definedName name="_xlnm.Print_Titles" localSheetId="37">'C.2.2 B 91'!$1:$11</definedName>
    <definedName name="_xlnm.Print_Titles" localSheetId="39">'C.2.2-F 02'!$1:$11</definedName>
    <definedName name="_xlnm.Print_Titles" localSheetId="38">'C.2.2-F 09'!$1:$11</definedName>
    <definedName name="_xlnm.Print_Titles" localSheetId="40">'C.2.2-F 12'!$1:$11</definedName>
    <definedName name="_xlnm.Print_Titles" localSheetId="41">'C.2.2-F 91'!$1:$11</definedName>
    <definedName name="_xlnm.Print_Titles" localSheetId="42">'C.2.3 B'!$1:$10</definedName>
    <definedName name="_xlnm.Print_Titles" localSheetId="43">'C.2.3 F'!$1:$10</definedName>
    <definedName name="_xlnm.Print_Titles" localSheetId="45">D.1!$1:$9</definedName>
    <definedName name="_xlnm.Print_Titles" localSheetId="52">F.1!$1:$11</definedName>
    <definedName name="_xlnm.Print_Titles" localSheetId="79">K!$1:$13</definedName>
    <definedName name="_xlnm.Print_Titles" localSheetId="24">'WP B.5 B'!$1:$11</definedName>
    <definedName name="_xlnm.Print_Titles" localSheetId="25">'WP B.5 F'!$1:$11</definedName>
    <definedName name="_xlnm.Print_Titles" localSheetId="27">'WP B.6 B'!$1:$11</definedName>
    <definedName name="_xlnm.Print_Titles" localSheetId="28">'WP B.6 F'!$1:$11</definedName>
    <definedName name="ROR" localSheetId="63">#REF!</definedName>
    <definedName name="ROR" localSheetId="62">#REF!</definedName>
    <definedName name="ROR">#REF!</definedName>
    <definedName name="SCHEDA">A.1!$A$1:$K$35</definedName>
    <definedName name="stdrate" localSheetId="63">#REF!</definedName>
    <definedName name="stdrate" localSheetId="62">#REF!</definedName>
    <definedName name="stdrate">#REF!</definedName>
  </definedNames>
  <calcPr calcId="145621"/>
</workbook>
</file>

<file path=xl/calcChain.xml><?xml version="1.0" encoding="utf-8"?>
<calcChain xmlns="http://schemas.openxmlformats.org/spreadsheetml/2006/main">
  <c r="G32" i="1" l="1"/>
  <c r="H12" i="251" l="1"/>
  <c r="H13" i="251"/>
  <c r="H14" i="251"/>
  <c r="H15" i="251"/>
  <c r="H16" i="251"/>
  <c r="H17" i="251"/>
  <c r="H18" i="251"/>
  <c r="H19" i="251"/>
  <c r="H20" i="251"/>
  <c r="H21" i="251"/>
  <c r="H22" i="251"/>
  <c r="H11" i="251"/>
  <c r="D44" i="216"/>
  <c r="E44" i="216"/>
  <c r="F44" i="216"/>
  <c r="G44" i="216"/>
  <c r="H44" i="216"/>
  <c r="I44" i="216"/>
  <c r="J44" i="216"/>
  <c r="K44" i="216"/>
  <c r="L44" i="216"/>
  <c r="M44" i="216"/>
  <c r="N44" i="216"/>
  <c r="O44" i="216"/>
  <c r="D46" i="216"/>
  <c r="E46" i="216"/>
  <c r="F46" i="216"/>
  <c r="G46" i="216"/>
  <c r="H46" i="216"/>
  <c r="I46" i="216"/>
  <c r="J46" i="216"/>
  <c r="K46" i="216"/>
  <c r="L46" i="216"/>
  <c r="M46" i="216"/>
  <c r="N46" i="216"/>
  <c r="O46" i="216"/>
  <c r="D48" i="216"/>
  <c r="E48" i="216"/>
  <c r="F48" i="216"/>
  <c r="G48" i="216"/>
  <c r="H48" i="216"/>
  <c r="I48" i="216"/>
  <c r="J48" i="216"/>
  <c r="K48" i="216"/>
  <c r="L48" i="216"/>
  <c r="M48" i="216"/>
  <c r="N48" i="216"/>
  <c r="O48" i="216"/>
  <c r="D50" i="216"/>
  <c r="E50" i="216"/>
  <c r="F50" i="216"/>
  <c r="G50" i="216"/>
  <c r="H50" i="216"/>
  <c r="I50" i="216"/>
  <c r="J50" i="216"/>
  <c r="K50" i="216"/>
  <c r="L50" i="216"/>
  <c r="M50" i="216"/>
  <c r="N50" i="216"/>
  <c r="O50" i="216"/>
  <c r="C50" i="216"/>
  <c r="C48" i="216"/>
  <c r="C46" i="216"/>
  <c r="C44" i="216"/>
  <c r="D44" i="214"/>
  <c r="E44" i="214"/>
  <c r="F44" i="214"/>
  <c r="G44" i="214"/>
  <c r="H44" i="214"/>
  <c r="I44" i="214"/>
  <c r="J44" i="214"/>
  <c r="K44" i="214"/>
  <c r="L44" i="214"/>
  <c r="M44" i="214"/>
  <c r="N44" i="214"/>
  <c r="O44" i="214"/>
  <c r="D46" i="214"/>
  <c r="E46" i="214"/>
  <c r="F46" i="214"/>
  <c r="G46" i="214"/>
  <c r="H46" i="214"/>
  <c r="I46" i="214"/>
  <c r="J46" i="214"/>
  <c r="K46" i="214"/>
  <c r="L46" i="214"/>
  <c r="M46" i="214"/>
  <c r="N46" i="214"/>
  <c r="O46" i="214"/>
  <c r="D48" i="214"/>
  <c r="E48" i="214"/>
  <c r="F48" i="214"/>
  <c r="G48" i="214"/>
  <c r="H48" i="214"/>
  <c r="I48" i="214"/>
  <c r="J48" i="214"/>
  <c r="K48" i="214"/>
  <c r="L48" i="214"/>
  <c r="M48" i="214"/>
  <c r="N48" i="214"/>
  <c r="O48" i="214"/>
  <c r="D50" i="214"/>
  <c r="E50" i="214"/>
  <c r="F50" i="214"/>
  <c r="G50" i="214"/>
  <c r="H50" i="214"/>
  <c r="I50" i="214"/>
  <c r="J50" i="214"/>
  <c r="K50" i="214"/>
  <c r="L50" i="214"/>
  <c r="M50" i="214"/>
  <c r="N50" i="214"/>
  <c r="O50" i="214"/>
  <c r="C50" i="214"/>
  <c r="C48" i="214"/>
  <c r="C46" i="214"/>
  <c r="C44" i="214"/>
  <c r="G21" i="99" l="1"/>
  <c r="I37" i="99"/>
  <c r="K37" i="99" s="1"/>
  <c r="L37" i="99" s="1"/>
  <c r="I36" i="99"/>
  <c r="K36" i="99" s="1"/>
  <c r="A35" i="99"/>
  <c r="A36" i="99" s="1"/>
  <c r="A37" i="99" s="1"/>
  <c r="K38" i="99" l="1"/>
  <c r="L36" i="99"/>
  <c r="L38" i="99" s="1"/>
  <c r="C10" i="251" l="1"/>
  <c r="F24" i="3" l="1"/>
  <c r="D24" i="3" s="1"/>
  <c r="D12" i="251"/>
  <c r="D16" i="251"/>
  <c r="D20" i="251"/>
  <c r="D24" i="251"/>
  <c r="D28" i="251"/>
  <c r="D32" i="251"/>
  <c r="C11" i="251"/>
  <c r="C12" i="251" s="1"/>
  <c r="C13" i="251" s="1"/>
  <c r="C14" i="251" s="1"/>
  <c r="C15" i="251" s="1"/>
  <c r="C16" i="251" s="1"/>
  <c r="C17" i="251" s="1"/>
  <c r="D23" i="251"/>
  <c r="D11" i="251"/>
  <c r="D13" i="251"/>
  <c r="D17" i="251"/>
  <c r="D21" i="251"/>
  <c r="D25" i="251"/>
  <c r="D29" i="251"/>
  <c r="D33" i="251"/>
  <c r="D19" i="251"/>
  <c r="D31" i="251"/>
  <c r="D14" i="251"/>
  <c r="D18" i="251"/>
  <c r="D22" i="251"/>
  <c r="D26" i="251"/>
  <c r="D30" i="251"/>
  <c r="D34" i="251"/>
  <c r="G10" i="251"/>
  <c r="D15" i="251"/>
  <c r="D27" i="251"/>
  <c r="E39" i="233"/>
  <c r="F39" i="233"/>
  <c r="G39" i="233"/>
  <c r="H39" i="233"/>
  <c r="I39" i="233"/>
  <c r="J39" i="233"/>
  <c r="K39" i="233"/>
  <c r="L39" i="233"/>
  <c r="M39" i="233"/>
  <c r="N39" i="233"/>
  <c r="O39" i="233"/>
  <c r="P39" i="233"/>
  <c r="E41" i="233"/>
  <c r="F41" i="233"/>
  <c r="G41" i="233"/>
  <c r="H41" i="233"/>
  <c r="I41" i="233"/>
  <c r="J41" i="233"/>
  <c r="K41" i="233"/>
  <c r="L41" i="233"/>
  <c r="M41" i="233"/>
  <c r="N41" i="233"/>
  <c r="O41" i="233"/>
  <c r="P41" i="233"/>
  <c r="E43" i="233"/>
  <c r="F43" i="233"/>
  <c r="G43" i="233"/>
  <c r="H43" i="233"/>
  <c r="I43" i="233"/>
  <c r="J43" i="233"/>
  <c r="K43" i="233"/>
  <c r="L43" i="233"/>
  <c r="M43" i="233"/>
  <c r="N43" i="233"/>
  <c r="O43" i="233"/>
  <c r="P43" i="233"/>
  <c r="D43" i="233"/>
  <c r="D41" i="233"/>
  <c r="D39" i="233"/>
  <c r="E13" i="233"/>
  <c r="F13" i="233"/>
  <c r="G13" i="233"/>
  <c r="H13" i="233"/>
  <c r="I13" i="233"/>
  <c r="J13" i="233"/>
  <c r="K13" i="233"/>
  <c r="L13" i="233"/>
  <c r="M13" i="233"/>
  <c r="N13" i="233"/>
  <c r="O13" i="233"/>
  <c r="P13" i="233"/>
  <c r="E15" i="233"/>
  <c r="F15" i="233"/>
  <c r="G15" i="233"/>
  <c r="H15" i="233"/>
  <c r="I15" i="233"/>
  <c r="J15" i="233"/>
  <c r="K15" i="233"/>
  <c r="L15" i="233"/>
  <c r="M15" i="233"/>
  <c r="N15" i="233"/>
  <c r="O15" i="233"/>
  <c r="P15" i="233"/>
  <c r="E17" i="233"/>
  <c r="F17" i="233"/>
  <c r="G17" i="233"/>
  <c r="H17" i="233"/>
  <c r="I17" i="233"/>
  <c r="J17" i="233"/>
  <c r="K17" i="233"/>
  <c r="L17" i="233"/>
  <c r="M17" i="233"/>
  <c r="N17" i="233"/>
  <c r="O17" i="233"/>
  <c r="P17" i="233"/>
  <c r="D17" i="233"/>
  <c r="D15" i="233"/>
  <c r="D13" i="233"/>
  <c r="E30" i="233"/>
  <c r="F30" i="233"/>
  <c r="G30" i="233"/>
  <c r="H30" i="233"/>
  <c r="I30" i="233"/>
  <c r="J30" i="233"/>
  <c r="K30" i="233"/>
  <c r="L30" i="233"/>
  <c r="M30" i="233"/>
  <c r="N30" i="233"/>
  <c r="O30" i="233"/>
  <c r="P30" i="233"/>
  <c r="E32" i="233"/>
  <c r="F32" i="233"/>
  <c r="G32" i="233"/>
  <c r="H32" i="233"/>
  <c r="I32" i="233"/>
  <c r="J32" i="233"/>
  <c r="K32" i="233"/>
  <c r="L32" i="233"/>
  <c r="M32" i="233"/>
  <c r="N32" i="233"/>
  <c r="O32" i="233"/>
  <c r="P32" i="233"/>
  <c r="E34" i="233"/>
  <c r="F34" i="233"/>
  <c r="G34" i="233"/>
  <c r="H34" i="233"/>
  <c r="I34" i="233"/>
  <c r="J34" i="233"/>
  <c r="K34" i="233"/>
  <c r="L34" i="233"/>
  <c r="M34" i="233"/>
  <c r="N34" i="233"/>
  <c r="O34" i="233"/>
  <c r="P34" i="233"/>
  <c r="D34" i="233"/>
  <c r="D32" i="233"/>
  <c r="D30" i="233"/>
  <c r="E22" i="233"/>
  <c r="F22" i="233"/>
  <c r="G22" i="233"/>
  <c r="H22" i="233"/>
  <c r="I22" i="233"/>
  <c r="J22" i="233"/>
  <c r="K22" i="233"/>
  <c r="L22" i="233"/>
  <c r="M22" i="233"/>
  <c r="N22" i="233"/>
  <c r="O22" i="233"/>
  <c r="P22" i="233"/>
  <c r="E24" i="233"/>
  <c r="F24" i="233"/>
  <c r="G24" i="233"/>
  <c r="H24" i="233"/>
  <c r="I24" i="233"/>
  <c r="J24" i="233"/>
  <c r="K24" i="233"/>
  <c r="L24" i="233"/>
  <c r="M24" i="233"/>
  <c r="N24" i="233"/>
  <c r="O24" i="233"/>
  <c r="P24" i="233"/>
  <c r="E26" i="233"/>
  <c r="F26" i="233"/>
  <c r="G26" i="233"/>
  <c r="H26" i="233"/>
  <c r="I26" i="233"/>
  <c r="J26" i="233"/>
  <c r="K26" i="233"/>
  <c r="L26" i="233"/>
  <c r="M26" i="233"/>
  <c r="N26" i="233"/>
  <c r="O26" i="233"/>
  <c r="P26" i="233"/>
  <c r="D26" i="233"/>
  <c r="D24" i="233"/>
  <c r="D22" i="233"/>
  <c r="E22" i="230"/>
  <c r="F22" i="230"/>
  <c r="G22" i="230"/>
  <c r="H22" i="230"/>
  <c r="I22" i="230"/>
  <c r="J22" i="230"/>
  <c r="K22" i="230"/>
  <c r="L22" i="230"/>
  <c r="M22" i="230"/>
  <c r="N22" i="230"/>
  <c r="O22" i="230"/>
  <c r="P22" i="230"/>
  <c r="E24" i="230"/>
  <c r="F24" i="230"/>
  <c r="G24" i="230"/>
  <c r="H24" i="230"/>
  <c r="I24" i="230"/>
  <c r="J24" i="230"/>
  <c r="K24" i="230"/>
  <c r="L24" i="230"/>
  <c r="M24" i="230"/>
  <c r="N24" i="230"/>
  <c r="O24" i="230"/>
  <c r="P24" i="230"/>
  <c r="E26" i="230"/>
  <c r="F26" i="230"/>
  <c r="G26" i="230"/>
  <c r="H26" i="230"/>
  <c r="I26" i="230"/>
  <c r="J26" i="230"/>
  <c r="K26" i="230"/>
  <c r="L26" i="230"/>
  <c r="M26" i="230"/>
  <c r="N26" i="230"/>
  <c r="O26" i="230"/>
  <c r="P26" i="230"/>
  <c r="D26" i="230"/>
  <c r="D24" i="230"/>
  <c r="D22" i="230"/>
  <c r="H23" i="251" l="1"/>
  <c r="G11" i="251"/>
  <c r="G12" i="251" s="1"/>
  <c r="G13" i="251" s="1"/>
  <c r="G14" i="251" s="1"/>
  <c r="C18" i="251"/>
  <c r="E43" i="230"/>
  <c r="F43" i="230"/>
  <c r="G43" i="230"/>
  <c r="H43" i="230"/>
  <c r="I43" i="230"/>
  <c r="J43" i="230"/>
  <c r="K43" i="230"/>
  <c r="L43" i="230"/>
  <c r="M43" i="230"/>
  <c r="N43" i="230"/>
  <c r="O43" i="230"/>
  <c r="P43" i="230"/>
  <c r="D43" i="230"/>
  <c r="E41" i="230"/>
  <c r="F41" i="230"/>
  <c r="G41" i="230"/>
  <c r="H41" i="230"/>
  <c r="I41" i="230"/>
  <c r="J41" i="230"/>
  <c r="K41" i="230"/>
  <c r="L41" i="230"/>
  <c r="M41" i="230"/>
  <c r="N41" i="230"/>
  <c r="O41" i="230"/>
  <c r="P41" i="230"/>
  <c r="D41" i="230"/>
  <c r="E39" i="230"/>
  <c r="F39" i="230"/>
  <c r="G39" i="230"/>
  <c r="H39" i="230"/>
  <c r="I39" i="230"/>
  <c r="J39" i="230"/>
  <c r="K39" i="230"/>
  <c r="L39" i="230"/>
  <c r="M39" i="230"/>
  <c r="N39" i="230"/>
  <c r="O39" i="230"/>
  <c r="P39" i="230"/>
  <c r="D39" i="230"/>
  <c r="E17" i="230"/>
  <c r="F17" i="230"/>
  <c r="G17" i="230"/>
  <c r="H17" i="230"/>
  <c r="I17" i="230"/>
  <c r="J17" i="230"/>
  <c r="K17" i="230"/>
  <c r="L17" i="230"/>
  <c r="M17" i="230"/>
  <c r="N17" i="230"/>
  <c r="O17" i="230"/>
  <c r="P17" i="230"/>
  <c r="D17" i="230"/>
  <c r="E15" i="230"/>
  <c r="F15" i="230"/>
  <c r="G15" i="230"/>
  <c r="H15" i="230"/>
  <c r="I15" i="230"/>
  <c r="J15" i="230"/>
  <c r="K15" i="230"/>
  <c r="L15" i="230"/>
  <c r="M15" i="230"/>
  <c r="N15" i="230"/>
  <c r="O15" i="230"/>
  <c r="P15" i="230"/>
  <c r="D15" i="230"/>
  <c r="E13" i="230"/>
  <c r="F13" i="230"/>
  <c r="G13" i="230"/>
  <c r="H13" i="230"/>
  <c r="I13" i="230"/>
  <c r="J13" i="230"/>
  <c r="K13" i="230"/>
  <c r="L13" i="230"/>
  <c r="M13" i="230"/>
  <c r="N13" i="230"/>
  <c r="O13" i="230"/>
  <c r="P13" i="230"/>
  <c r="D13" i="230"/>
  <c r="E34" i="230"/>
  <c r="F34" i="230"/>
  <c r="G34" i="230"/>
  <c r="H34" i="230"/>
  <c r="I34" i="230"/>
  <c r="J34" i="230"/>
  <c r="K34" i="230"/>
  <c r="L34" i="230"/>
  <c r="M34" i="230"/>
  <c r="N34" i="230"/>
  <c r="O34" i="230"/>
  <c r="P34" i="230"/>
  <c r="D34" i="230"/>
  <c r="E32" i="230"/>
  <c r="F32" i="230"/>
  <c r="G32" i="230"/>
  <c r="H32" i="230"/>
  <c r="I32" i="230"/>
  <c r="J32" i="230"/>
  <c r="K32" i="230"/>
  <c r="L32" i="230"/>
  <c r="M32" i="230"/>
  <c r="N32" i="230"/>
  <c r="O32" i="230"/>
  <c r="P32" i="230"/>
  <c r="D32" i="230"/>
  <c r="E30" i="230"/>
  <c r="F30" i="230"/>
  <c r="G30" i="230"/>
  <c r="H30" i="230"/>
  <c r="I30" i="230"/>
  <c r="J30" i="230"/>
  <c r="K30" i="230"/>
  <c r="L30" i="230"/>
  <c r="M30" i="230"/>
  <c r="N30" i="230"/>
  <c r="O30" i="230"/>
  <c r="P30" i="230"/>
  <c r="D30" i="230"/>
  <c r="G15" i="251" l="1"/>
  <c r="C19" i="251"/>
  <c r="A4" i="251"/>
  <c r="A3" i="251"/>
  <c r="A2" i="251"/>
  <c r="A1" i="251"/>
  <c r="G16" i="251" l="1"/>
  <c r="G17" i="251" s="1"/>
  <c r="G18" i="251" s="1"/>
  <c r="G19" i="251" s="1"/>
  <c r="G20" i="251" s="1"/>
  <c r="G21" i="251" s="1"/>
  <c r="G22" i="251" s="1"/>
  <c r="G23" i="251"/>
  <c r="F24" i="137" s="1"/>
  <c r="C20" i="251"/>
  <c r="E25" i="212"/>
  <c r="E21" i="84"/>
  <c r="C21" i="251" l="1"/>
  <c r="E36" i="42"/>
  <c r="F36" i="42"/>
  <c r="G36" i="42"/>
  <c r="H36" i="42"/>
  <c r="D36" i="42"/>
  <c r="C22" i="251" l="1"/>
  <c r="E30" i="99"/>
  <c r="E29" i="99"/>
  <c r="E25" i="99"/>
  <c r="C23" i="251" l="1"/>
  <c r="E19" i="8"/>
  <c r="G19" i="8"/>
  <c r="C24" i="251" l="1"/>
  <c r="I19" i="8"/>
  <c r="H16" i="5"/>
  <c r="F16" i="5"/>
  <c r="H25" i="202"/>
  <c r="G25" i="8"/>
  <c r="G24" i="8"/>
  <c r="G23" i="8"/>
  <c r="G22" i="8"/>
  <c r="G21" i="8"/>
  <c r="G20" i="8"/>
  <c r="G18" i="8"/>
  <c r="G17" i="8"/>
  <c r="G16" i="8"/>
  <c r="I28" i="8"/>
  <c r="E30" i="8"/>
  <c r="E29" i="8"/>
  <c r="E25" i="8"/>
  <c r="E24" i="8"/>
  <c r="E23" i="8"/>
  <c r="E22" i="8"/>
  <c r="E21" i="8"/>
  <c r="E20" i="8"/>
  <c r="E18" i="8"/>
  <c r="E17" i="8"/>
  <c r="E16" i="8"/>
  <c r="C25" i="251" l="1"/>
  <c r="J16" i="5"/>
  <c r="H28" i="41"/>
  <c r="I28" i="41"/>
  <c r="J28" i="41"/>
  <c r="K28" i="41"/>
  <c r="G28" i="41"/>
  <c r="H27" i="41"/>
  <c r="I27" i="41"/>
  <c r="J27" i="41"/>
  <c r="K27" i="41"/>
  <c r="G27" i="41"/>
  <c r="H26" i="41"/>
  <c r="I26" i="41"/>
  <c r="J26" i="41"/>
  <c r="K26" i="41"/>
  <c r="G26" i="41"/>
  <c r="H25" i="41"/>
  <c r="I25" i="41"/>
  <c r="J25" i="41"/>
  <c r="K25" i="41"/>
  <c r="G25" i="41"/>
  <c r="C26" i="251" l="1"/>
  <c r="L29" i="34"/>
  <c r="H29" i="34"/>
  <c r="G25" i="34"/>
  <c r="F25" i="34"/>
  <c r="E25" i="34"/>
  <c r="H24" i="34"/>
  <c r="G23" i="34"/>
  <c r="F23" i="34"/>
  <c r="E23" i="34"/>
  <c r="G22" i="34"/>
  <c r="F22" i="34"/>
  <c r="E22" i="34"/>
  <c r="H19" i="34"/>
  <c r="H18" i="34"/>
  <c r="C27" i="251" l="1"/>
  <c r="C16" i="239"/>
  <c r="C28" i="251" l="1"/>
  <c r="C18" i="239"/>
  <c r="C29" i="251" l="1"/>
  <c r="C22" i="239"/>
  <c r="C30" i="251" l="1"/>
  <c r="C20" i="239"/>
  <c r="C31" i="251" l="1"/>
  <c r="E27" i="106"/>
  <c r="E24" i="106"/>
  <c r="E21" i="106"/>
  <c r="D16" i="106"/>
  <c r="D15" i="106"/>
  <c r="C32" i="251" l="1"/>
  <c r="D141" i="51"/>
  <c r="D139" i="51"/>
  <c r="D138" i="51"/>
  <c r="D17" i="250"/>
  <c r="C33" i="251" l="1"/>
  <c r="D140" i="51"/>
  <c r="N16" i="171"/>
  <c r="C34" i="251" l="1"/>
  <c r="K14" i="44"/>
  <c r="L14" i="44"/>
  <c r="M14" i="44"/>
  <c r="N14" i="44"/>
  <c r="O14" i="44"/>
  <c r="J14" i="44"/>
  <c r="L24" i="34" l="1"/>
  <c r="J24" i="34" s="1"/>
  <c r="A16" i="34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H25" i="34"/>
  <c r="H23" i="34" l="1"/>
  <c r="D33" i="49"/>
  <c r="D20" i="49"/>
  <c r="D19" i="49"/>
  <c r="D14" i="49"/>
  <c r="D13" i="49"/>
  <c r="O36" i="35"/>
  <c r="M36" i="35"/>
  <c r="O30" i="35"/>
  <c r="M30" i="35"/>
  <c r="D27" i="49" l="1"/>
  <c r="O26" i="35"/>
  <c r="M26" i="35"/>
  <c r="D37" i="250" l="1"/>
  <c r="D36" i="250"/>
  <c r="D34" i="250"/>
  <c r="D33" i="250"/>
  <c r="D31" i="250"/>
  <c r="D30" i="250"/>
  <c r="D28" i="250"/>
  <c r="D27" i="250"/>
  <c r="D19" i="250"/>
  <c r="D15" i="250"/>
  <c r="S19" i="39" l="1"/>
  <c r="R19" i="39"/>
  <c r="Q19" i="39"/>
  <c r="O19" i="39"/>
  <c r="M19" i="39"/>
  <c r="S18" i="39"/>
  <c r="R18" i="39"/>
  <c r="Q18" i="39"/>
  <c r="O18" i="39"/>
  <c r="M18" i="39"/>
  <c r="S17" i="39"/>
  <c r="R17" i="39"/>
  <c r="Q17" i="39"/>
  <c r="O17" i="39"/>
  <c r="M17" i="39"/>
  <c r="S16" i="39"/>
  <c r="R16" i="39"/>
  <c r="Q16" i="39"/>
  <c r="O16" i="39"/>
  <c r="M16" i="39"/>
  <c r="S28" i="41"/>
  <c r="R28" i="41"/>
  <c r="Q28" i="41"/>
  <c r="O28" i="41"/>
  <c r="M28" i="41"/>
  <c r="S27" i="41"/>
  <c r="R27" i="41"/>
  <c r="Q27" i="41"/>
  <c r="O27" i="41"/>
  <c r="M27" i="41"/>
  <c r="S26" i="41"/>
  <c r="R26" i="41"/>
  <c r="Q26" i="41"/>
  <c r="O26" i="41"/>
  <c r="M26" i="41"/>
  <c r="S25" i="41"/>
  <c r="R25" i="41"/>
  <c r="Q25" i="41"/>
  <c r="O25" i="41"/>
  <c r="M25" i="41"/>
  <c r="S19" i="41"/>
  <c r="R19" i="41"/>
  <c r="Q19" i="41"/>
  <c r="S18" i="41"/>
  <c r="R18" i="41"/>
  <c r="Q18" i="41"/>
  <c r="S17" i="41"/>
  <c r="R17" i="41"/>
  <c r="Q17" i="41"/>
  <c r="S16" i="41"/>
  <c r="R16" i="41"/>
  <c r="Q16" i="41"/>
  <c r="P21" i="42"/>
  <c r="O21" i="42"/>
  <c r="N21" i="42"/>
  <c r="P19" i="42"/>
  <c r="O19" i="42"/>
  <c r="N19" i="42"/>
  <c r="P17" i="42"/>
  <c r="O17" i="42"/>
  <c r="N17" i="42"/>
  <c r="P16" i="42"/>
  <c r="O16" i="42"/>
  <c r="N16" i="42"/>
  <c r="O28" i="222"/>
  <c r="N28" i="222"/>
  <c r="M28" i="222"/>
  <c r="L28" i="222"/>
  <c r="K28" i="222"/>
  <c r="J28" i="222"/>
  <c r="I28" i="222"/>
  <c r="H28" i="222"/>
  <c r="G28" i="222"/>
  <c r="F28" i="222"/>
  <c r="E28" i="222"/>
  <c r="D28" i="222"/>
  <c r="O27" i="222"/>
  <c r="N27" i="222"/>
  <c r="M27" i="222"/>
  <c r="L27" i="222"/>
  <c r="K27" i="222"/>
  <c r="J27" i="222"/>
  <c r="I27" i="222"/>
  <c r="H27" i="222"/>
  <c r="G27" i="222"/>
  <c r="F27" i="222"/>
  <c r="E27" i="222"/>
  <c r="D27" i="222"/>
  <c r="O26" i="222"/>
  <c r="N26" i="222"/>
  <c r="M26" i="222"/>
  <c r="L26" i="222"/>
  <c r="K26" i="222"/>
  <c r="J26" i="222"/>
  <c r="I26" i="222"/>
  <c r="H26" i="222"/>
  <c r="G26" i="222"/>
  <c r="F26" i="222"/>
  <c r="E26" i="222"/>
  <c r="D26" i="222"/>
  <c r="O25" i="222"/>
  <c r="N25" i="222"/>
  <c r="M25" i="222"/>
  <c r="L25" i="222"/>
  <c r="K25" i="222"/>
  <c r="J25" i="222"/>
  <c r="I25" i="222"/>
  <c r="H25" i="222"/>
  <c r="G25" i="222"/>
  <c r="F25" i="222"/>
  <c r="E25" i="222"/>
  <c r="D25" i="222"/>
  <c r="O23" i="222"/>
  <c r="N23" i="222"/>
  <c r="M23" i="222"/>
  <c r="L23" i="222"/>
  <c r="K23" i="222"/>
  <c r="J23" i="222"/>
  <c r="I23" i="222"/>
  <c r="H23" i="222"/>
  <c r="G23" i="222"/>
  <c r="F23" i="222"/>
  <c r="E23" i="222"/>
  <c r="D23" i="222"/>
  <c r="O20" i="222"/>
  <c r="N20" i="222"/>
  <c r="M20" i="222"/>
  <c r="L20" i="222"/>
  <c r="K20" i="222"/>
  <c r="J20" i="222"/>
  <c r="I20" i="222"/>
  <c r="H20" i="222"/>
  <c r="G20" i="222"/>
  <c r="F20" i="222"/>
  <c r="E20" i="222"/>
  <c r="D20" i="222"/>
  <c r="O19" i="222"/>
  <c r="N19" i="222"/>
  <c r="M19" i="222"/>
  <c r="L19" i="222"/>
  <c r="K19" i="222"/>
  <c r="J19" i="222"/>
  <c r="I19" i="222"/>
  <c r="H19" i="222"/>
  <c r="G19" i="222"/>
  <c r="F19" i="222"/>
  <c r="E19" i="222"/>
  <c r="D19" i="222"/>
  <c r="O17" i="222"/>
  <c r="N17" i="222"/>
  <c r="M17" i="222"/>
  <c r="L17" i="222"/>
  <c r="K17" i="222"/>
  <c r="J17" i="222"/>
  <c r="I17" i="222"/>
  <c r="H17" i="222"/>
  <c r="G17" i="222"/>
  <c r="F17" i="222"/>
  <c r="E17" i="222"/>
  <c r="D17" i="222"/>
  <c r="O28" i="44"/>
  <c r="N28" i="44"/>
  <c r="M28" i="44"/>
  <c r="L28" i="44"/>
  <c r="K28" i="44"/>
  <c r="J28" i="44"/>
  <c r="O27" i="44"/>
  <c r="N27" i="44"/>
  <c r="M27" i="44"/>
  <c r="L27" i="44"/>
  <c r="K27" i="44"/>
  <c r="J27" i="44"/>
  <c r="O26" i="44"/>
  <c r="N26" i="44"/>
  <c r="M26" i="44"/>
  <c r="L26" i="44"/>
  <c r="K26" i="44"/>
  <c r="J26" i="44"/>
  <c r="O25" i="44"/>
  <c r="N25" i="44"/>
  <c r="M25" i="44"/>
  <c r="L25" i="44"/>
  <c r="K25" i="44"/>
  <c r="J25" i="44"/>
  <c r="O23" i="44"/>
  <c r="N23" i="44"/>
  <c r="M23" i="44"/>
  <c r="L23" i="44"/>
  <c r="K23" i="44"/>
  <c r="J23" i="44"/>
  <c r="O20" i="44"/>
  <c r="N20" i="44"/>
  <c r="M20" i="44"/>
  <c r="L20" i="44"/>
  <c r="K20" i="44"/>
  <c r="J20" i="44"/>
  <c r="O19" i="44"/>
  <c r="N19" i="44"/>
  <c r="M19" i="44"/>
  <c r="L19" i="44"/>
  <c r="K19" i="44"/>
  <c r="J19" i="44"/>
  <c r="O17" i="44"/>
  <c r="N17" i="44"/>
  <c r="M17" i="44"/>
  <c r="L17" i="44"/>
  <c r="K17" i="44"/>
  <c r="J17" i="44"/>
  <c r="O34" i="216"/>
  <c r="N34" i="216"/>
  <c r="M34" i="216"/>
  <c r="L34" i="216"/>
  <c r="K34" i="216"/>
  <c r="J34" i="216"/>
  <c r="I34" i="216"/>
  <c r="H34" i="216"/>
  <c r="G34" i="216"/>
  <c r="F34" i="216"/>
  <c r="E34" i="216"/>
  <c r="D34" i="216"/>
  <c r="C34" i="216"/>
  <c r="G32" i="102" l="1"/>
  <c r="C32" i="102"/>
  <c r="G28" i="102"/>
  <c r="G27" i="102"/>
  <c r="C28" i="102"/>
  <c r="C27" i="102"/>
  <c r="G23" i="102"/>
  <c r="G22" i="102"/>
  <c r="C23" i="102"/>
  <c r="C22" i="102"/>
  <c r="G18" i="102"/>
  <c r="G17" i="102"/>
  <c r="C18" i="102"/>
  <c r="C17" i="102"/>
  <c r="C27" i="247" l="1"/>
  <c r="C24" i="247"/>
  <c r="D21" i="247"/>
  <c r="C21" i="247"/>
  <c r="D18" i="247"/>
  <c r="C18" i="247"/>
  <c r="D31" i="105" l="1"/>
  <c r="H31" i="105"/>
  <c r="H26" i="105"/>
  <c r="D26" i="105"/>
  <c r="E56" i="192"/>
  <c r="F56" i="192"/>
  <c r="G56" i="192"/>
  <c r="H56" i="192"/>
  <c r="I56" i="192"/>
  <c r="D56" i="192"/>
  <c r="E34" i="193" l="1"/>
  <c r="F34" i="193"/>
  <c r="G34" i="193"/>
  <c r="H34" i="193"/>
  <c r="I34" i="193"/>
  <c r="D34" i="193"/>
  <c r="E42" i="190"/>
  <c r="F42" i="190"/>
  <c r="G42" i="190"/>
  <c r="H42" i="190"/>
  <c r="I42" i="190"/>
  <c r="D42" i="190"/>
  <c r="D21" i="105" l="1"/>
  <c r="H21" i="105" l="1"/>
  <c r="P25" i="202" l="1"/>
  <c r="F100" i="51"/>
  <c r="H100" i="51"/>
  <c r="J100" i="51"/>
  <c r="F101" i="51"/>
  <c r="H101" i="51"/>
  <c r="J101" i="51"/>
  <c r="F102" i="51"/>
  <c r="H102" i="51"/>
  <c r="J102" i="51"/>
  <c r="F103" i="51"/>
  <c r="H103" i="51"/>
  <c r="J103" i="51"/>
  <c r="F104" i="51"/>
  <c r="H104" i="51"/>
  <c r="J104" i="51"/>
  <c r="F105" i="51"/>
  <c r="H105" i="51"/>
  <c r="J105" i="51"/>
  <c r="F106" i="51"/>
  <c r="H106" i="51"/>
  <c r="J106" i="51"/>
  <c r="F107" i="51"/>
  <c r="H107" i="51"/>
  <c r="J107" i="51"/>
  <c r="F108" i="51"/>
  <c r="H108" i="51"/>
  <c r="J108" i="51"/>
  <c r="F109" i="51"/>
  <c r="H109" i="51"/>
  <c r="J109" i="51"/>
  <c r="F110" i="51"/>
  <c r="H110" i="51"/>
  <c r="J110" i="51"/>
  <c r="F111" i="51"/>
  <c r="H111" i="51"/>
  <c r="J111" i="51"/>
  <c r="F112" i="51"/>
  <c r="H112" i="51"/>
  <c r="J112" i="51"/>
  <c r="F113" i="51"/>
  <c r="H113" i="51"/>
  <c r="J113" i="51"/>
  <c r="F114" i="51"/>
  <c r="H114" i="51"/>
  <c r="J114" i="51"/>
  <c r="F115" i="51"/>
  <c r="H115" i="51"/>
  <c r="J115" i="51"/>
  <c r="F116" i="51"/>
  <c r="H116" i="51"/>
  <c r="J116" i="51"/>
  <c r="F117" i="51"/>
  <c r="H117" i="51"/>
  <c r="J117" i="51"/>
  <c r="F118" i="51"/>
  <c r="H118" i="51"/>
  <c r="J118" i="51"/>
  <c r="F119" i="51"/>
  <c r="H119" i="51"/>
  <c r="J119" i="51"/>
  <c r="F120" i="51"/>
  <c r="H120" i="51"/>
  <c r="J120" i="51"/>
  <c r="F121" i="51"/>
  <c r="H121" i="51"/>
  <c r="J121" i="51"/>
  <c r="F122" i="51"/>
  <c r="H122" i="51"/>
  <c r="J122" i="51"/>
  <c r="F123" i="51"/>
  <c r="H123" i="51"/>
  <c r="J123" i="51"/>
  <c r="F124" i="51"/>
  <c r="H124" i="51"/>
  <c r="J124" i="51"/>
  <c r="F125" i="51"/>
  <c r="H125" i="51"/>
  <c r="J125" i="51"/>
  <c r="F126" i="51"/>
  <c r="H126" i="51"/>
  <c r="J126" i="51"/>
  <c r="F127" i="51"/>
  <c r="H127" i="51"/>
  <c r="J127" i="51"/>
  <c r="F128" i="51"/>
  <c r="H128" i="51"/>
  <c r="J128" i="51"/>
  <c r="F129" i="51"/>
  <c r="H129" i="51"/>
  <c r="J129" i="51"/>
  <c r="F130" i="51"/>
  <c r="H130" i="51"/>
  <c r="J130" i="51"/>
  <c r="F131" i="51"/>
  <c r="H131" i="51"/>
  <c r="J131" i="51"/>
  <c r="F132" i="51"/>
  <c r="H132" i="51"/>
  <c r="J132" i="51"/>
  <c r="J99" i="51"/>
  <c r="H99" i="51"/>
  <c r="F99" i="51"/>
  <c r="J49" i="51"/>
  <c r="J50" i="51"/>
  <c r="J51" i="51"/>
  <c r="J52" i="51"/>
  <c r="J53" i="51"/>
  <c r="J54" i="51"/>
  <c r="J55" i="51"/>
  <c r="J56" i="51"/>
  <c r="J57" i="51"/>
  <c r="J58" i="51"/>
  <c r="J59" i="51"/>
  <c r="J60" i="51"/>
  <c r="J61" i="51"/>
  <c r="J62" i="51"/>
  <c r="J63" i="51"/>
  <c r="J64" i="51"/>
  <c r="J65" i="51"/>
  <c r="J66" i="51"/>
  <c r="J67" i="51"/>
  <c r="J68" i="51"/>
  <c r="J69" i="51"/>
  <c r="J70" i="51"/>
  <c r="J71" i="51"/>
  <c r="J72" i="51"/>
  <c r="J73" i="51"/>
  <c r="J74" i="51"/>
  <c r="J75" i="51"/>
  <c r="J76" i="51"/>
  <c r="J77" i="51"/>
  <c r="J78" i="51"/>
  <c r="J79" i="51"/>
  <c r="J80" i="51"/>
  <c r="J81" i="51"/>
  <c r="J82" i="51"/>
  <c r="J83" i="51"/>
  <c r="J84" i="51"/>
  <c r="J85" i="51"/>
  <c r="J86" i="51"/>
  <c r="J87" i="51"/>
  <c r="J88" i="51"/>
  <c r="J89" i="51"/>
  <c r="J90" i="51"/>
  <c r="J91" i="51"/>
  <c r="J92" i="51"/>
  <c r="J93" i="51"/>
  <c r="J48" i="51"/>
  <c r="H49" i="51"/>
  <c r="H50" i="51"/>
  <c r="H51" i="51"/>
  <c r="H52" i="51"/>
  <c r="H53" i="51"/>
  <c r="H54" i="51"/>
  <c r="H55" i="51"/>
  <c r="H56" i="51"/>
  <c r="H57" i="51"/>
  <c r="H58" i="51"/>
  <c r="H59" i="51"/>
  <c r="H60" i="51"/>
  <c r="H61" i="51"/>
  <c r="H62" i="51"/>
  <c r="H63" i="51"/>
  <c r="H64" i="51"/>
  <c r="H65" i="51"/>
  <c r="H66" i="51"/>
  <c r="H67" i="51"/>
  <c r="H68" i="51"/>
  <c r="H69" i="51"/>
  <c r="H70" i="51"/>
  <c r="H71" i="51"/>
  <c r="H72" i="51"/>
  <c r="H73" i="51"/>
  <c r="H74" i="51"/>
  <c r="H75" i="51"/>
  <c r="H76" i="51"/>
  <c r="H77" i="51"/>
  <c r="H78" i="51"/>
  <c r="H79" i="51"/>
  <c r="H80" i="51"/>
  <c r="H81" i="51"/>
  <c r="H82" i="51"/>
  <c r="H83" i="51"/>
  <c r="H84" i="51"/>
  <c r="H85" i="51"/>
  <c r="H86" i="51"/>
  <c r="H87" i="51"/>
  <c r="H88" i="51"/>
  <c r="H89" i="51"/>
  <c r="H90" i="51"/>
  <c r="H91" i="51"/>
  <c r="H92" i="51"/>
  <c r="H93" i="51"/>
  <c r="H48" i="51"/>
  <c r="F49" i="51"/>
  <c r="F50" i="51"/>
  <c r="F51" i="51"/>
  <c r="F52" i="51"/>
  <c r="F53" i="51"/>
  <c r="F54" i="51"/>
  <c r="F55" i="51"/>
  <c r="F56" i="51"/>
  <c r="F57" i="51"/>
  <c r="F58" i="51"/>
  <c r="F59" i="51"/>
  <c r="F60" i="51"/>
  <c r="F61" i="51"/>
  <c r="F62" i="51"/>
  <c r="F63" i="51"/>
  <c r="F64" i="51"/>
  <c r="F65" i="51"/>
  <c r="F66" i="51"/>
  <c r="F67" i="51"/>
  <c r="F68" i="51"/>
  <c r="F69" i="51"/>
  <c r="F70" i="51"/>
  <c r="F71" i="51"/>
  <c r="F72" i="51"/>
  <c r="F73" i="51"/>
  <c r="F74" i="51"/>
  <c r="F75" i="51"/>
  <c r="F76" i="51"/>
  <c r="F77" i="51"/>
  <c r="F78" i="51"/>
  <c r="F79" i="51"/>
  <c r="F80" i="51"/>
  <c r="F81" i="51"/>
  <c r="F82" i="51"/>
  <c r="F83" i="51"/>
  <c r="F84" i="51"/>
  <c r="F85" i="51"/>
  <c r="F86" i="51"/>
  <c r="F87" i="51"/>
  <c r="F88" i="51"/>
  <c r="F89" i="51"/>
  <c r="F90" i="51"/>
  <c r="F91" i="51"/>
  <c r="F92" i="51"/>
  <c r="F93" i="51"/>
  <c r="F48" i="51"/>
  <c r="E105" i="44" l="1"/>
  <c r="F105" i="44"/>
  <c r="G105" i="44"/>
  <c r="H105" i="44"/>
  <c r="I105" i="44"/>
  <c r="D14" i="226"/>
  <c r="E14" i="226"/>
  <c r="F14" i="226"/>
  <c r="G14" i="226"/>
  <c r="H14" i="226"/>
  <c r="I14" i="226"/>
  <c r="J14" i="226"/>
  <c r="K14" i="226"/>
  <c r="L14" i="226"/>
  <c r="M14" i="226"/>
  <c r="N14" i="226"/>
  <c r="O14" i="226"/>
  <c r="D20" i="226"/>
  <c r="E20" i="226"/>
  <c r="F20" i="226"/>
  <c r="G20" i="226"/>
  <c r="H20" i="226"/>
  <c r="I20" i="226"/>
  <c r="J20" i="226"/>
  <c r="K20" i="226"/>
  <c r="L20" i="226"/>
  <c r="M20" i="226"/>
  <c r="N20" i="226"/>
  <c r="O20" i="226"/>
  <c r="D34" i="228"/>
  <c r="E34" i="228"/>
  <c r="F34" i="228"/>
  <c r="G34" i="228"/>
  <c r="H34" i="228"/>
  <c r="I34" i="228"/>
  <c r="J34" i="228"/>
  <c r="K34" i="228"/>
  <c r="L34" i="228"/>
  <c r="M34" i="228"/>
  <c r="N34" i="228"/>
  <c r="O34" i="228"/>
  <c r="D21" i="228"/>
  <c r="E21" i="228"/>
  <c r="F21" i="228"/>
  <c r="G21" i="228"/>
  <c r="H21" i="228"/>
  <c r="I21" i="228"/>
  <c r="J21" i="228"/>
  <c r="K21" i="228"/>
  <c r="L21" i="228"/>
  <c r="M21" i="228"/>
  <c r="N21" i="228"/>
  <c r="O21" i="228"/>
  <c r="O48" i="228"/>
  <c r="N48" i="228"/>
  <c r="M48" i="228"/>
  <c r="L48" i="228"/>
  <c r="K48" i="228"/>
  <c r="J48" i="228"/>
  <c r="I48" i="228"/>
  <c r="H48" i="228"/>
  <c r="G48" i="228"/>
  <c r="F48" i="228"/>
  <c r="E48" i="228"/>
  <c r="D48" i="228"/>
  <c r="O47" i="228"/>
  <c r="N47" i="228"/>
  <c r="M47" i="228"/>
  <c r="L47" i="228"/>
  <c r="K47" i="228"/>
  <c r="J47" i="228"/>
  <c r="I47" i="228"/>
  <c r="H47" i="228"/>
  <c r="G47" i="228"/>
  <c r="F47" i="228"/>
  <c r="E47" i="228"/>
  <c r="D47" i="228"/>
  <c r="O46" i="228"/>
  <c r="N46" i="228"/>
  <c r="M46" i="228"/>
  <c r="L46" i="228"/>
  <c r="K46" i="228"/>
  <c r="J46" i="228"/>
  <c r="I46" i="228"/>
  <c r="H46" i="228"/>
  <c r="G46" i="228"/>
  <c r="F46" i="228"/>
  <c r="E46" i="228"/>
  <c r="D46" i="228"/>
  <c r="O45" i="228"/>
  <c r="N45" i="228"/>
  <c r="M45" i="228"/>
  <c r="L45" i="228"/>
  <c r="K45" i="228"/>
  <c r="J45" i="228"/>
  <c r="I45" i="228"/>
  <c r="H45" i="228"/>
  <c r="G45" i="228"/>
  <c r="F45" i="228"/>
  <c r="E45" i="228"/>
  <c r="D45" i="228"/>
  <c r="O44" i="228"/>
  <c r="N44" i="228"/>
  <c r="M44" i="228"/>
  <c r="L44" i="228"/>
  <c r="K44" i="228"/>
  <c r="J44" i="228"/>
  <c r="I44" i="228"/>
  <c r="H44" i="228"/>
  <c r="G44" i="228"/>
  <c r="F44" i="228"/>
  <c r="E44" i="228"/>
  <c r="D44" i="228"/>
  <c r="O43" i="228"/>
  <c r="N43" i="228"/>
  <c r="M43" i="228"/>
  <c r="L43" i="228"/>
  <c r="K43" i="228"/>
  <c r="J43" i="228"/>
  <c r="I43" i="228"/>
  <c r="H43" i="228"/>
  <c r="G43" i="228"/>
  <c r="F43" i="228"/>
  <c r="E43" i="228"/>
  <c r="D43" i="228"/>
  <c r="D16" i="228"/>
  <c r="E16" i="228"/>
  <c r="F16" i="228"/>
  <c r="G16" i="228"/>
  <c r="H16" i="228"/>
  <c r="I16" i="228"/>
  <c r="J16" i="228"/>
  <c r="K16" i="228"/>
  <c r="L16" i="228"/>
  <c r="M16" i="228"/>
  <c r="N16" i="228"/>
  <c r="O16" i="228"/>
  <c r="D17" i="228"/>
  <c r="E17" i="228"/>
  <c r="F17" i="228"/>
  <c r="G17" i="228"/>
  <c r="H17" i="228"/>
  <c r="I17" i="228"/>
  <c r="J17" i="228"/>
  <c r="K17" i="228"/>
  <c r="L17" i="228"/>
  <c r="M17" i="228"/>
  <c r="N17" i="228"/>
  <c r="O17" i="228"/>
  <c r="D18" i="228"/>
  <c r="E18" i="228"/>
  <c r="F18" i="228"/>
  <c r="G18" i="228"/>
  <c r="H18" i="228"/>
  <c r="I18" i="228"/>
  <c r="J18" i="228"/>
  <c r="K18" i="228"/>
  <c r="L18" i="228"/>
  <c r="M18" i="228"/>
  <c r="N18" i="228"/>
  <c r="O18" i="228"/>
  <c r="D19" i="228"/>
  <c r="E19" i="228"/>
  <c r="F19" i="228"/>
  <c r="G19" i="228"/>
  <c r="H19" i="228"/>
  <c r="I19" i="228"/>
  <c r="J19" i="228"/>
  <c r="K19" i="228"/>
  <c r="L19" i="228"/>
  <c r="M19" i="228"/>
  <c r="N19" i="228"/>
  <c r="O19" i="228"/>
  <c r="D20" i="228"/>
  <c r="E20" i="228"/>
  <c r="F20" i="228"/>
  <c r="G20" i="228"/>
  <c r="H20" i="228"/>
  <c r="I20" i="228"/>
  <c r="J20" i="228"/>
  <c r="K20" i="228"/>
  <c r="L20" i="228"/>
  <c r="M20" i="228"/>
  <c r="N20" i="228"/>
  <c r="O20" i="228"/>
  <c r="D22" i="228"/>
  <c r="E22" i="228"/>
  <c r="F22" i="228"/>
  <c r="G22" i="228"/>
  <c r="H22" i="228"/>
  <c r="I22" i="228"/>
  <c r="J22" i="228"/>
  <c r="K22" i="228"/>
  <c r="L22" i="228"/>
  <c r="M22" i="228"/>
  <c r="N22" i="228"/>
  <c r="O22" i="228"/>
  <c r="D23" i="228"/>
  <c r="E23" i="228"/>
  <c r="F23" i="228"/>
  <c r="G23" i="228"/>
  <c r="H23" i="228"/>
  <c r="I23" i="228"/>
  <c r="J23" i="228"/>
  <c r="K23" i="228"/>
  <c r="L23" i="228"/>
  <c r="M23" i="228"/>
  <c r="N23" i="228"/>
  <c r="O23" i="228"/>
  <c r="D24" i="228"/>
  <c r="E24" i="228"/>
  <c r="F24" i="228"/>
  <c r="G24" i="228"/>
  <c r="H24" i="228"/>
  <c r="I24" i="228"/>
  <c r="J24" i="228"/>
  <c r="K24" i="228"/>
  <c r="L24" i="228"/>
  <c r="M24" i="228"/>
  <c r="N24" i="228"/>
  <c r="O24" i="228"/>
  <c r="D25" i="228"/>
  <c r="E25" i="228"/>
  <c r="F25" i="228"/>
  <c r="G25" i="228"/>
  <c r="H25" i="228"/>
  <c r="I25" i="228"/>
  <c r="J25" i="228"/>
  <c r="K25" i="228"/>
  <c r="L25" i="228"/>
  <c r="M25" i="228"/>
  <c r="N25" i="228"/>
  <c r="O25" i="228"/>
  <c r="D26" i="228"/>
  <c r="E26" i="228"/>
  <c r="F26" i="228"/>
  <c r="G26" i="228"/>
  <c r="H26" i="228"/>
  <c r="I26" i="228"/>
  <c r="J26" i="228"/>
  <c r="K26" i="228"/>
  <c r="L26" i="228"/>
  <c r="M26" i="228"/>
  <c r="N26" i="228"/>
  <c r="O26" i="228"/>
  <c r="D27" i="228"/>
  <c r="E27" i="228"/>
  <c r="F27" i="228"/>
  <c r="G27" i="228"/>
  <c r="H27" i="228"/>
  <c r="I27" i="228"/>
  <c r="J27" i="228"/>
  <c r="K27" i="228"/>
  <c r="L27" i="228"/>
  <c r="M27" i="228"/>
  <c r="N27" i="228"/>
  <c r="O27" i="228"/>
  <c r="D28" i="228"/>
  <c r="E28" i="228"/>
  <c r="F28" i="228"/>
  <c r="G28" i="228"/>
  <c r="H28" i="228"/>
  <c r="I28" i="228"/>
  <c r="J28" i="228"/>
  <c r="K28" i="228"/>
  <c r="L28" i="228"/>
  <c r="M28" i="228"/>
  <c r="N28" i="228"/>
  <c r="O28" i="228"/>
  <c r="D29" i="228"/>
  <c r="E29" i="228"/>
  <c r="F29" i="228"/>
  <c r="G29" i="228"/>
  <c r="H29" i="228"/>
  <c r="I29" i="228"/>
  <c r="J29" i="228"/>
  <c r="K29" i="228"/>
  <c r="L29" i="228"/>
  <c r="M29" i="228"/>
  <c r="N29" i="228"/>
  <c r="O29" i="228"/>
  <c r="D30" i="228"/>
  <c r="E30" i="228"/>
  <c r="F30" i="228"/>
  <c r="G30" i="228"/>
  <c r="H30" i="228"/>
  <c r="I30" i="228"/>
  <c r="J30" i="228"/>
  <c r="K30" i="228"/>
  <c r="L30" i="228"/>
  <c r="M30" i="228"/>
  <c r="N30" i="228"/>
  <c r="O30" i="228"/>
  <c r="D31" i="228"/>
  <c r="E31" i="228"/>
  <c r="F31" i="228"/>
  <c r="G31" i="228"/>
  <c r="H31" i="228"/>
  <c r="I31" i="228"/>
  <c r="J31" i="228"/>
  <c r="K31" i="228"/>
  <c r="L31" i="228"/>
  <c r="M31" i="228"/>
  <c r="N31" i="228"/>
  <c r="O31" i="228"/>
  <c r="D32" i="228"/>
  <c r="E32" i="228"/>
  <c r="F32" i="228"/>
  <c r="G32" i="228"/>
  <c r="H32" i="228"/>
  <c r="I32" i="228"/>
  <c r="J32" i="228"/>
  <c r="K32" i="228"/>
  <c r="L32" i="228"/>
  <c r="M32" i="228"/>
  <c r="N32" i="228"/>
  <c r="O32" i="228"/>
  <c r="D33" i="228"/>
  <c r="E33" i="228"/>
  <c r="F33" i="228"/>
  <c r="G33" i="228"/>
  <c r="H33" i="228"/>
  <c r="I33" i="228"/>
  <c r="J33" i="228"/>
  <c r="K33" i="228"/>
  <c r="L33" i="228"/>
  <c r="M33" i="228"/>
  <c r="N33" i="228"/>
  <c r="O33" i="228"/>
  <c r="D35" i="228"/>
  <c r="E35" i="228"/>
  <c r="F35" i="228"/>
  <c r="G35" i="228"/>
  <c r="H35" i="228"/>
  <c r="I35" i="228"/>
  <c r="J35" i="228"/>
  <c r="K35" i="228"/>
  <c r="L35" i="228"/>
  <c r="M35" i="228"/>
  <c r="N35" i="228"/>
  <c r="O35" i="228"/>
  <c r="D36" i="228"/>
  <c r="E36" i="228"/>
  <c r="F36" i="228"/>
  <c r="G36" i="228"/>
  <c r="H36" i="228"/>
  <c r="I36" i="228"/>
  <c r="J36" i="228"/>
  <c r="K36" i="228"/>
  <c r="L36" i="228"/>
  <c r="M36" i="228"/>
  <c r="N36" i="228"/>
  <c r="O36" i="228"/>
  <c r="D37" i="228"/>
  <c r="E37" i="228"/>
  <c r="F37" i="228"/>
  <c r="G37" i="228"/>
  <c r="H37" i="228"/>
  <c r="I37" i="228"/>
  <c r="J37" i="228"/>
  <c r="K37" i="228"/>
  <c r="L37" i="228"/>
  <c r="M37" i="228"/>
  <c r="N37" i="228"/>
  <c r="O37" i="228"/>
  <c r="D38" i="228"/>
  <c r="E38" i="228"/>
  <c r="F38" i="228"/>
  <c r="G38" i="228"/>
  <c r="H38" i="228"/>
  <c r="I38" i="228"/>
  <c r="J38" i="228"/>
  <c r="K38" i="228"/>
  <c r="L38" i="228"/>
  <c r="M38" i="228"/>
  <c r="N38" i="228"/>
  <c r="O38" i="228"/>
  <c r="D39" i="228"/>
  <c r="E39" i="228"/>
  <c r="F39" i="228"/>
  <c r="G39" i="228"/>
  <c r="H39" i="228"/>
  <c r="I39" i="228"/>
  <c r="J39" i="228"/>
  <c r="K39" i="228"/>
  <c r="L39" i="228"/>
  <c r="M39" i="228"/>
  <c r="N39" i="228"/>
  <c r="O39" i="228"/>
  <c r="D40" i="228"/>
  <c r="E40" i="228"/>
  <c r="F40" i="228"/>
  <c r="G40" i="228"/>
  <c r="H40" i="228"/>
  <c r="I40" i="228"/>
  <c r="J40" i="228"/>
  <c r="K40" i="228"/>
  <c r="L40" i="228"/>
  <c r="M40" i="228"/>
  <c r="N40" i="228"/>
  <c r="O40" i="228"/>
  <c r="D41" i="228"/>
  <c r="E41" i="228"/>
  <c r="F41" i="228"/>
  <c r="G41" i="228"/>
  <c r="H41" i="228"/>
  <c r="I41" i="228"/>
  <c r="J41" i="228"/>
  <c r="K41" i="228"/>
  <c r="L41" i="228"/>
  <c r="M41" i="228"/>
  <c r="N41" i="228"/>
  <c r="O41" i="228"/>
  <c r="O15" i="228"/>
  <c r="N15" i="228"/>
  <c r="M15" i="228"/>
  <c r="L15" i="228"/>
  <c r="K15" i="228"/>
  <c r="J15" i="228"/>
  <c r="I15" i="228"/>
  <c r="H15" i="228"/>
  <c r="G15" i="228"/>
  <c r="F15" i="228"/>
  <c r="E15" i="228"/>
  <c r="D15" i="228"/>
  <c r="O28" i="227"/>
  <c r="N28" i="227"/>
  <c r="M28" i="227"/>
  <c r="L28" i="227"/>
  <c r="K28" i="227"/>
  <c r="J28" i="227"/>
  <c r="I28" i="227"/>
  <c r="H28" i="227"/>
  <c r="G28" i="227"/>
  <c r="F28" i="227"/>
  <c r="E28" i="227"/>
  <c r="D28" i="227"/>
  <c r="O27" i="227"/>
  <c r="N27" i="227"/>
  <c r="M27" i="227"/>
  <c r="L27" i="227"/>
  <c r="K27" i="227"/>
  <c r="J27" i="227"/>
  <c r="I27" i="227"/>
  <c r="H27" i="227"/>
  <c r="G27" i="227"/>
  <c r="F27" i="227"/>
  <c r="E27" i="227"/>
  <c r="D27" i="227"/>
  <c r="O26" i="227"/>
  <c r="N26" i="227"/>
  <c r="M26" i="227"/>
  <c r="L26" i="227"/>
  <c r="K26" i="227"/>
  <c r="J26" i="227"/>
  <c r="I26" i="227"/>
  <c r="H26" i="227"/>
  <c r="G26" i="227"/>
  <c r="F26" i="227"/>
  <c r="E26" i="227"/>
  <c r="D26" i="227"/>
  <c r="O25" i="227"/>
  <c r="N25" i="227"/>
  <c r="M25" i="227"/>
  <c r="L25" i="227"/>
  <c r="K25" i="227"/>
  <c r="J25" i="227"/>
  <c r="I25" i="227"/>
  <c r="H25" i="227"/>
  <c r="G25" i="227"/>
  <c r="F25" i="227"/>
  <c r="E25" i="227"/>
  <c r="D25" i="227"/>
  <c r="O24" i="227"/>
  <c r="N24" i="227"/>
  <c r="M24" i="227"/>
  <c r="L24" i="227"/>
  <c r="K24" i="227"/>
  <c r="J24" i="227"/>
  <c r="I24" i="227"/>
  <c r="H24" i="227"/>
  <c r="G24" i="227"/>
  <c r="F24" i="227"/>
  <c r="E24" i="227"/>
  <c r="D24" i="227"/>
  <c r="O23" i="227"/>
  <c r="N23" i="227"/>
  <c r="M23" i="227"/>
  <c r="L23" i="227"/>
  <c r="K23" i="227"/>
  <c r="J23" i="227"/>
  <c r="I23" i="227"/>
  <c r="H23" i="227"/>
  <c r="G23" i="227"/>
  <c r="F23" i="227"/>
  <c r="E23" i="227"/>
  <c r="D23" i="227"/>
  <c r="D15" i="227"/>
  <c r="E15" i="227"/>
  <c r="F15" i="227"/>
  <c r="G15" i="227"/>
  <c r="H15" i="227"/>
  <c r="I15" i="227"/>
  <c r="J15" i="227"/>
  <c r="K15" i="227"/>
  <c r="L15" i="227"/>
  <c r="M15" i="227"/>
  <c r="N15" i="227"/>
  <c r="O15" i="227"/>
  <c r="D16" i="227"/>
  <c r="E16" i="227"/>
  <c r="F16" i="227"/>
  <c r="G16" i="227"/>
  <c r="H16" i="227"/>
  <c r="I16" i="227"/>
  <c r="J16" i="227"/>
  <c r="K16" i="227"/>
  <c r="L16" i="227"/>
  <c r="M16" i="227"/>
  <c r="N16" i="227"/>
  <c r="O16" i="227"/>
  <c r="D17" i="227"/>
  <c r="E17" i="227"/>
  <c r="F17" i="227"/>
  <c r="G17" i="227"/>
  <c r="H17" i="227"/>
  <c r="I17" i="227"/>
  <c r="J17" i="227"/>
  <c r="K17" i="227"/>
  <c r="L17" i="227"/>
  <c r="M17" i="227"/>
  <c r="N17" i="227"/>
  <c r="O17" i="227"/>
  <c r="D18" i="227"/>
  <c r="E18" i="227"/>
  <c r="F18" i="227"/>
  <c r="G18" i="227"/>
  <c r="H18" i="227"/>
  <c r="I18" i="227"/>
  <c r="J18" i="227"/>
  <c r="K18" i="227"/>
  <c r="L18" i="227"/>
  <c r="M18" i="227"/>
  <c r="N18" i="227"/>
  <c r="O18" i="227"/>
  <c r="D19" i="227"/>
  <c r="E19" i="227"/>
  <c r="F19" i="227"/>
  <c r="G19" i="227"/>
  <c r="H19" i="227"/>
  <c r="I19" i="227"/>
  <c r="J19" i="227"/>
  <c r="K19" i="227"/>
  <c r="L19" i="227"/>
  <c r="M19" i="227"/>
  <c r="N19" i="227"/>
  <c r="O19" i="227"/>
  <c r="D20" i="227"/>
  <c r="E20" i="227"/>
  <c r="F20" i="227"/>
  <c r="G20" i="227"/>
  <c r="H20" i="227"/>
  <c r="I20" i="227"/>
  <c r="J20" i="227"/>
  <c r="K20" i="227"/>
  <c r="L20" i="227"/>
  <c r="M20" i="227"/>
  <c r="N20" i="227"/>
  <c r="O20" i="227"/>
  <c r="D21" i="227"/>
  <c r="E21" i="227"/>
  <c r="F21" i="227"/>
  <c r="G21" i="227"/>
  <c r="H21" i="227"/>
  <c r="I21" i="227"/>
  <c r="J21" i="227"/>
  <c r="K21" i="227"/>
  <c r="L21" i="227"/>
  <c r="M21" i="227"/>
  <c r="N21" i="227"/>
  <c r="O21" i="227"/>
  <c r="O14" i="227"/>
  <c r="N14" i="227"/>
  <c r="M14" i="227"/>
  <c r="L14" i="227"/>
  <c r="K14" i="227"/>
  <c r="J14" i="227"/>
  <c r="I14" i="227"/>
  <c r="H14" i="227"/>
  <c r="G14" i="227"/>
  <c r="F14" i="227"/>
  <c r="E14" i="227"/>
  <c r="D14" i="227"/>
  <c r="O35" i="226"/>
  <c r="N35" i="226"/>
  <c r="M35" i="226"/>
  <c r="L35" i="226"/>
  <c r="K35" i="226"/>
  <c r="J35" i="226"/>
  <c r="I35" i="226"/>
  <c r="H35" i="226"/>
  <c r="G35" i="226"/>
  <c r="F35" i="226"/>
  <c r="E35" i="226"/>
  <c r="D35" i="226"/>
  <c r="O34" i="226"/>
  <c r="N34" i="226"/>
  <c r="M34" i="226"/>
  <c r="L34" i="226"/>
  <c r="K34" i="226"/>
  <c r="J34" i="226"/>
  <c r="I34" i="226"/>
  <c r="H34" i="226"/>
  <c r="G34" i="226"/>
  <c r="F34" i="226"/>
  <c r="E34" i="226"/>
  <c r="D34" i="226"/>
  <c r="O33" i="226"/>
  <c r="N33" i="226"/>
  <c r="M33" i="226"/>
  <c r="L33" i="226"/>
  <c r="K33" i="226"/>
  <c r="J33" i="226"/>
  <c r="I33" i="226"/>
  <c r="H33" i="226"/>
  <c r="G33" i="226"/>
  <c r="F33" i="226"/>
  <c r="E33" i="226"/>
  <c r="D33" i="226"/>
  <c r="O32" i="226"/>
  <c r="N32" i="226"/>
  <c r="M32" i="226"/>
  <c r="L32" i="226"/>
  <c r="K32" i="226"/>
  <c r="J32" i="226"/>
  <c r="I32" i="226"/>
  <c r="H32" i="226"/>
  <c r="G32" i="226"/>
  <c r="F32" i="226"/>
  <c r="E32" i="226"/>
  <c r="D32" i="226"/>
  <c r="O31" i="226"/>
  <c r="N31" i="226"/>
  <c r="M31" i="226"/>
  <c r="L31" i="226"/>
  <c r="K31" i="226"/>
  <c r="J31" i="226"/>
  <c r="I31" i="226"/>
  <c r="H31" i="226"/>
  <c r="G31" i="226"/>
  <c r="F31" i="226"/>
  <c r="E31" i="226"/>
  <c r="D31" i="226"/>
  <c r="O30" i="226"/>
  <c r="N30" i="226"/>
  <c r="M30" i="226"/>
  <c r="L30" i="226"/>
  <c r="K30" i="226"/>
  <c r="J30" i="226"/>
  <c r="I30" i="226"/>
  <c r="H30" i="226"/>
  <c r="G30" i="226"/>
  <c r="F30" i="226"/>
  <c r="E30" i="226"/>
  <c r="D30" i="226"/>
  <c r="O29" i="226"/>
  <c r="N29" i="226"/>
  <c r="M29" i="226"/>
  <c r="L29" i="226"/>
  <c r="K29" i="226"/>
  <c r="J29" i="226"/>
  <c r="I29" i="226"/>
  <c r="H29" i="226"/>
  <c r="G29" i="226"/>
  <c r="F29" i="226"/>
  <c r="E29" i="226"/>
  <c r="D29" i="226"/>
  <c r="O28" i="226"/>
  <c r="N28" i="226"/>
  <c r="M28" i="226"/>
  <c r="L28" i="226"/>
  <c r="K28" i="226"/>
  <c r="J28" i="226"/>
  <c r="I28" i="226"/>
  <c r="H28" i="226"/>
  <c r="G28" i="226"/>
  <c r="F28" i="226"/>
  <c r="E28" i="226"/>
  <c r="D28" i="226"/>
  <c r="D16" i="226"/>
  <c r="E16" i="226"/>
  <c r="F16" i="226"/>
  <c r="G16" i="226"/>
  <c r="H16" i="226"/>
  <c r="I16" i="226"/>
  <c r="J16" i="226"/>
  <c r="K16" i="226"/>
  <c r="L16" i="226"/>
  <c r="M16" i="226"/>
  <c r="N16" i="226"/>
  <c r="O16" i="226"/>
  <c r="D17" i="226"/>
  <c r="E17" i="226"/>
  <c r="F17" i="226"/>
  <c r="G17" i="226"/>
  <c r="H17" i="226"/>
  <c r="I17" i="226"/>
  <c r="J17" i="226"/>
  <c r="K17" i="226"/>
  <c r="L17" i="226"/>
  <c r="M17" i="226"/>
  <c r="N17" i="226"/>
  <c r="O17" i="226"/>
  <c r="D18" i="226"/>
  <c r="E18" i="226"/>
  <c r="F18" i="226"/>
  <c r="G18" i="226"/>
  <c r="H18" i="226"/>
  <c r="I18" i="226"/>
  <c r="J18" i="226"/>
  <c r="K18" i="226"/>
  <c r="L18" i="226"/>
  <c r="M18" i="226"/>
  <c r="N18" i="226"/>
  <c r="O18" i="226"/>
  <c r="D19" i="226"/>
  <c r="E19" i="226"/>
  <c r="F19" i="226"/>
  <c r="G19" i="226"/>
  <c r="H19" i="226"/>
  <c r="I19" i="226"/>
  <c r="J19" i="226"/>
  <c r="K19" i="226"/>
  <c r="L19" i="226"/>
  <c r="M19" i="226"/>
  <c r="N19" i="226"/>
  <c r="O19" i="226"/>
  <c r="D21" i="226"/>
  <c r="E21" i="226"/>
  <c r="F21" i="226"/>
  <c r="G21" i="226"/>
  <c r="H21" i="226"/>
  <c r="I21" i="226"/>
  <c r="J21" i="226"/>
  <c r="K21" i="226"/>
  <c r="L21" i="226"/>
  <c r="M21" i="226"/>
  <c r="N21" i="226"/>
  <c r="O21" i="226"/>
  <c r="D22" i="226"/>
  <c r="E22" i="226"/>
  <c r="F22" i="226"/>
  <c r="G22" i="226"/>
  <c r="H22" i="226"/>
  <c r="I22" i="226"/>
  <c r="J22" i="226"/>
  <c r="K22" i="226"/>
  <c r="L22" i="226"/>
  <c r="M22" i="226"/>
  <c r="N22" i="226"/>
  <c r="O22" i="226"/>
  <c r="D23" i="226"/>
  <c r="E23" i="226"/>
  <c r="F23" i="226"/>
  <c r="G23" i="226"/>
  <c r="H23" i="226"/>
  <c r="I23" i="226"/>
  <c r="J23" i="226"/>
  <c r="K23" i="226"/>
  <c r="L23" i="226"/>
  <c r="M23" i="226"/>
  <c r="N23" i="226"/>
  <c r="O23" i="226"/>
  <c r="D24" i="226"/>
  <c r="E24" i="226"/>
  <c r="F24" i="226"/>
  <c r="G24" i="226"/>
  <c r="H24" i="226"/>
  <c r="I24" i="226"/>
  <c r="J24" i="226"/>
  <c r="K24" i="226"/>
  <c r="L24" i="226"/>
  <c r="M24" i="226"/>
  <c r="N24" i="226"/>
  <c r="O24" i="226"/>
  <c r="D25" i="226"/>
  <c r="E25" i="226"/>
  <c r="F25" i="226"/>
  <c r="G25" i="226"/>
  <c r="H25" i="226"/>
  <c r="I25" i="226"/>
  <c r="J25" i="226"/>
  <c r="K25" i="226"/>
  <c r="L25" i="226"/>
  <c r="M25" i="226"/>
  <c r="N25" i="226"/>
  <c r="O25" i="226"/>
  <c r="D26" i="226"/>
  <c r="E26" i="226"/>
  <c r="F26" i="226"/>
  <c r="G26" i="226"/>
  <c r="H26" i="226"/>
  <c r="I26" i="226"/>
  <c r="J26" i="226"/>
  <c r="K26" i="226"/>
  <c r="L26" i="226"/>
  <c r="M26" i="226"/>
  <c r="N26" i="226"/>
  <c r="O26" i="226"/>
  <c r="O15" i="226"/>
  <c r="N15" i="226"/>
  <c r="M15" i="226"/>
  <c r="L15" i="226"/>
  <c r="K15" i="226"/>
  <c r="J15" i="226"/>
  <c r="I15" i="226"/>
  <c r="H15" i="226"/>
  <c r="G15" i="226"/>
  <c r="F15" i="226"/>
  <c r="E15" i="226"/>
  <c r="D15" i="226"/>
  <c r="O50" i="192"/>
  <c r="N50" i="192"/>
  <c r="M50" i="192"/>
  <c r="L50" i="192"/>
  <c r="K50" i="192"/>
  <c r="J50" i="192"/>
  <c r="O49" i="192"/>
  <c r="N49" i="192"/>
  <c r="M49" i="192"/>
  <c r="L49" i="192"/>
  <c r="K49" i="192"/>
  <c r="J49" i="192"/>
  <c r="O48" i="192"/>
  <c r="N48" i="192"/>
  <c r="M48" i="192"/>
  <c r="L48" i="192"/>
  <c r="K48" i="192"/>
  <c r="J48" i="192"/>
  <c r="O47" i="192"/>
  <c r="N47" i="192"/>
  <c r="M47" i="192"/>
  <c r="L47" i="192"/>
  <c r="K47" i="192"/>
  <c r="J47" i="192"/>
  <c r="O46" i="192"/>
  <c r="N46" i="192"/>
  <c r="M46" i="192"/>
  <c r="L46" i="192"/>
  <c r="K46" i="192"/>
  <c r="J46" i="192"/>
  <c r="O45" i="192"/>
  <c r="N45" i="192"/>
  <c r="M45" i="192"/>
  <c r="L45" i="192"/>
  <c r="K45" i="192"/>
  <c r="J45" i="192"/>
  <c r="J18" i="192"/>
  <c r="K18" i="192"/>
  <c r="L18" i="192"/>
  <c r="M18" i="192"/>
  <c r="N18" i="192"/>
  <c r="O18" i="192"/>
  <c r="J19" i="192"/>
  <c r="K19" i="192"/>
  <c r="L19" i="192"/>
  <c r="M19" i="192"/>
  <c r="N19" i="192"/>
  <c r="O19" i="192"/>
  <c r="J20" i="192"/>
  <c r="K20" i="192"/>
  <c r="L20" i="192"/>
  <c r="M20" i="192"/>
  <c r="N20" i="192"/>
  <c r="O20" i="192"/>
  <c r="J21" i="192"/>
  <c r="K21" i="192"/>
  <c r="L21" i="192"/>
  <c r="M21" i="192"/>
  <c r="N21" i="192"/>
  <c r="O21" i="192"/>
  <c r="J22" i="192"/>
  <c r="K22" i="192"/>
  <c r="L22" i="192"/>
  <c r="M22" i="192"/>
  <c r="N22" i="192"/>
  <c r="O22" i="192"/>
  <c r="J23" i="192"/>
  <c r="K23" i="192"/>
  <c r="L23" i="192"/>
  <c r="M23" i="192"/>
  <c r="N23" i="192"/>
  <c r="O23" i="192"/>
  <c r="J24" i="192"/>
  <c r="K24" i="192"/>
  <c r="L24" i="192"/>
  <c r="M24" i="192"/>
  <c r="N24" i="192"/>
  <c r="O24" i="192"/>
  <c r="J25" i="192"/>
  <c r="K25" i="192"/>
  <c r="L25" i="192"/>
  <c r="M25" i="192"/>
  <c r="N25" i="192"/>
  <c r="O25" i="192"/>
  <c r="J26" i="192"/>
  <c r="K26" i="192"/>
  <c r="L26" i="192"/>
  <c r="M26" i="192"/>
  <c r="N26" i="192"/>
  <c r="O26" i="192"/>
  <c r="J27" i="192"/>
  <c r="K27" i="192"/>
  <c r="L27" i="192"/>
  <c r="M27" i="192"/>
  <c r="N27" i="192"/>
  <c r="O27" i="192"/>
  <c r="J28" i="192"/>
  <c r="K28" i="192"/>
  <c r="L28" i="192"/>
  <c r="M28" i="192"/>
  <c r="N28" i="192"/>
  <c r="O28" i="192"/>
  <c r="J29" i="192"/>
  <c r="K29" i="192"/>
  <c r="L29" i="192"/>
  <c r="M29" i="192"/>
  <c r="N29" i="192"/>
  <c r="O29" i="192"/>
  <c r="J30" i="192"/>
  <c r="K30" i="192"/>
  <c r="L30" i="192"/>
  <c r="M30" i="192"/>
  <c r="N30" i="192"/>
  <c r="O30" i="192"/>
  <c r="J31" i="192"/>
  <c r="K31" i="192"/>
  <c r="L31" i="192"/>
  <c r="M31" i="192"/>
  <c r="N31" i="192"/>
  <c r="O31" i="192"/>
  <c r="J32" i="192"/>
  <c r="K32" i="192"/>
  <c r="L32" i="192"/>
  <c r="M32" i="192"/>
  <c r="N32" i="192"/>
  <c r="O32" i="192"/>
  <c r="J33" i="192"/>
  <c r="K33" i="192"/>
  <c r="L33" i="192"/>
  <c r="M33" i="192"/>
  <c r="N33" i="192"/>
  <c r="O33" i="192"/>
  <c r="J34" i="192"/>
  <c r="K34" i="192"/>
  <c r="L34" i="192"/>
  <c r="M34" i="192"/>
  <c r="N34" i="192"/>
  <c r="O34" i="192"/>
  <c r="J35" i="192"/>
  <c r="K35" i="192"/>
  <c r="L35" i="192"/>
  <c r="M35" i="192"/>
  <c r="N35" i="192"/>
  <c r="O35" i="192"/>
  <c r="J36" i="192"/>
  <c r="K36" i="192"/>
  <c r="L36" i="192"/>
  <c r="M36" i="192"/>
  <c r="N36" i="192"/>
  <c r="O36" i="192"/>
  <c r="J37" i="192"/>
  <c r="K37" i="192"/>
  <c r="L37" i="192"/>
  <c r="M37" i="192"/>
  <c r="N37" i="192"/>
  <c r="O37" i="192"/>
  <c r="J38" i="192"/>
  <c r="K38" i="192"/>
  <c r="L38" i="192"/>
  <c r="M38" i="192"/>
  <c r="N38" i="192"/>
  <c r="O38" i="192"/>
  <c r="J39" i="192"/>
  <c r="K39" i="192"/>
  <c r="L39" i="192"/>
  <c r="M39" i="192"/>
  <c r="N39" i="192"/>
  <c r="O39" i="192"/>
  <c r="J40" i="192"/>
  <c r="K40" i="192"/>
  <c r="L40" i="192"/>
  <c r="M40" i="192"/>
  <c r="N40" i="192"/>
  <c r="O40" i="192"/>
  <c r="J41" i="192"/>
  <c r="K41" i="192"/>
  <c r="L41" i="192"/>
  <c r="M41" i="192"/>
  <c r="N41" i="192"/>
  <c r="O41" i="192"/>
  <c r="J42" i="192"/>
  <c r="K42" i="192"/>
  <c r="L42" i="192"/>
  <c r="M42" i="192"/>
  <c r="N42" i="192"/>
  <c r="O42" i="192"/>
  <c r="J43" i="192"/>
  <c r="K43" i="192"/>
  <c r="L43" i="192"/>
  <c r="M43" i="192"/>
  <c r="N43" i="192"/>
  <c r="O43" i="192"/>
  <c r="O17" i="192"/>
  <c r="N17" i="192"/>
  <c r="M17" i="192"/>
  <c r="L17" i="192"/>
  <c r="K17" i="192"/>
  <c r="J17" i="192"/>
  <c r="O28" i="193"/>
  <c r="N28" i="193"/>
  <c r="M28" i="193"/>
  <c r="L28" i="193"/>
  <c r="K28" i="193"/>
  <c r="J28" i="193"/>
  <c r="O27" i="193"/>
  <c r="N27" i="193"/>
  <c r="M27" i="193"/>
  <c r="L27" i="193"/>
  <c r="K27" i="193"/>
  <c r="J27" i="193"/>
  <c r="O26" i="193"/>
  <c r="N26" i="193"/>
  <c r="M26" i="193"/>
  <c r="L26" i="193"/>
  <c r="K26" i="193"/>
  <c r="J26" i="193"/>
  <c r="O25" i="193"/>
  <c r="N25" i="193"/>
  <c r="M25" i="193"/>
  <c r="L25" i="193"/>
  <c r="K25" i="193"/>
  <c r="J25" i="193"/>
  <c r="O24" i="193"/>
  <c r="N24" i="193"/>
  <c r="M24" i="193"/>
  <c r="L24" i="193"/>
  <c r="K24" i="193"/>
  <c r="J24" i="193"/>
  <c r="O23" i="193"/>
  <c r="N23" i="193"/>
  <c r="M23" i="193"/>
  <c r="L23" i="193"/>
  <c r="K23" i="193"/>
  <c r="J23" i="193"/>
  <c r="J15" i="193"/>
  <c r="K15" i="193"/>
  <c r="L15" i="193"/>
  <c r="M15" i="193"/>
  <c r="N15" i="193"/>
  <c r="O15" i="193"/>
  <c r="J16" i="193"/>
  <c r="K16" i="193"/>
  <c r="L16" i="193"/>
  <c r="M16" i="193"/>
  <c r="N16" i="193"/>
  <c r="O16" i="193"/>
  <c r="J17" i="193"/>
  <c r="K17" i="193"/>
  <c r="L17" i="193"/>
  <c r="M17" i="193"/>
  <c r="N17" i="193"/>
  <c r="O17" i="193"/>
  <c r="J18" i="193"/>
  <c r="K18" i="193"/>
  <c r="L18" i="193"/>
  <c r="M18" i="193"/>
  <c r="N18" i="193"/>
  <c r="O18" i="193"/>
  <c r="J19" i="193"/>
  <c r="K19" i="193"/>
  <c r="L19" i="193"/>
  <c r="M19" i="193"/>
  <c r="N19" i="193"/>
  <c r="O19" i="193"/>
  <c r="J20" i="193"/>
  <c r="K20" i="193"/>
  <c r="L20" i="193"/>
  <c r="M20" i="193"/>
  <c r="N20" i="193"/>
  <c r="O20" i="193"/>
  <c r="J21" i="193"/>
  <c r="K21" i="193"/>
  <c r="L21" i="193"/>
  <c r="M21" i="193"/>
  <c r="N21" i="193"/>
  <c r="O21" i="193"/>
  <c r="O14" i="193"/>
  <c r="N14" i="193"/>
  <c r="M14" i="193"/>
  <c r="L14" i="193"/>
  <c r="K14" i="193"/>
  <c r="J14" i="193"/>
  <c r="J16" i="190"/>
  <c r="K16" i="190"/>
  <c r="L16" i="190"/>
  <c r="M16" i="190"/>
  <c r="N16" i="190"/>
  <c r="O16" i="190"/>
  <c r="O37" i="190"/>
  <c r="N37" i="190"/>
  <c r="M37" i="190"/>
  <c r="L37" i="190"/>
  <c r="K37" i="190"/>
  <c r="J37" i="190"/>
  <c r="O36" i="190"/>
  <c r="N36" i="190"/>
  <c r="M36" i="190"/>
  <c r="L36" i="190"/>
  <c r="K36" i="190"/>
  <c r="J36" i="190"/>
  <c r="O35" i="190"/>
  <c r="N35" i="190"/>
  <c r="M35" i="190"/>
  <c r="L35" i="190"/>
  <c r="K35" i="190"/>
  <c r="J35" i="190"/>
  <c r="O34" i="190"/>
  <c r="N34" i="190"/>
  <c r="M34" i="190"/>
  <c r="L34" i="190"/>
  <c r="K34" i="190"/>
  <c r="J34" i="190"/>
  <c r="O33" i="190"/>
  <c r="N33" i="190"/>
  <c r="M33" i="190"/>
  <c r="L33" i="190"/>
  <c r="K33" i="190"/>
  <c r="J33" i="190"/>
  <c r="O32" i="190"/>
  <c r="N32" i="190"/>
  <c r="M32" i="190"/>
  <c r="L32" i="190"/>
  <c r="K32" i="190"/>
  <c r="J32" i="190"/>
  <c r="O31" i="190"/>
  <c r="N31" i="190"/>
  <c r="M31" i="190"/>
  <c r="L31" i="190"/>
  <c r="K31" i="190"/>
  <c r="J31" i="190"/>
  <c r="O30" i="190"/>
  <c r="N30" i="190"/>
  <c r="M30" i="190"/>
  <c r="L30" i="190"/>
  <c r="K30" i="190"/>
  <c r="J30" i="190"/>
  <c r="J18" i="190"/>
  <c r="K18" i="190"/>
  <c r="L18" i="190"/>
  <c r="M18" i="190"/>
  <c r="N18" i="190"/>
  <c r="O18" i="190"/>
  <c r="J19" i="190"/>
  <c r="K19" i="190"/>
  <c r="L19" i="190"/>
  <c r="M19" i="190"/>
  <c r="N19" i="190"/>
  <c r="O19" i="190"/>
  <c r="J20" i="190"/>
  <c r="K20" i="190"/>
  <c r="L20" i="190"/>
  <c r="M20" i="190"/>
  <c r="N20" i="190"/>
  <c r="O20" i="190"/>
  <c r="J21" i="190"/>
  <c r="K21" i="190"/>
  <c r="L21" i="190"/>
  <c r="M21" i="190"/>
  <c r="N21" i="190"/>
  <c r="O21" i="190"/>
  <c r="J22" i="190"/>
  <c r="K22" i="190"/>
  <c r="L22" i="190"/>
  <c r="M22" i="190"/>
  <c r="N22" i="190"/>
  <c r="O22" i="190"/>
  <c r="J23" i="190"/>
  <c r="K23" i="190"/>
  <c r="L23" i="190"/>
  <c r="M23" i="190"/>
  <c r="N23" i="190"/>
  <c r="O23" i="190"/>
  <c r="J24" i="190"/>
  <c r="K24" i="190"/>
  <c r="L24" i="190"/>
  <c r="M24" i="190"/>
  <c r="N24" i="190"/>
  <c r="O24" i="190"/>
  <c r="J25" i="190"/>
  <c r="K25" i="190"/>
  <c r="L25" i="190"/>
  <c r="M25" i="190"/>
  <c r="N25" i="190"/>
  <c r="O25" i="190"/>
  <c r="J26" i="190"/>
  <c r="K26" i="190"/>
  <c r="L26" i="190"/>
  <c r="M26" i="190"/>
  <c r="N26" i="190"/>
  <c r="O26" i="190"/>
  <c r="J27" i="190"/>
  <c r="K27" i="190"/>
  <c r="L27" i="190"/>
  <c r="M27" i="190"/>
  <c r="N27" i="190"/>
  <c r="O27" i="190"/>
  <c r="J28" i="190"/>
  <c r="K28" i="190"/>
  <c r="L28" i="190"/>
  <c r="M28" i="190"/>
  <c r="N28" i="190"/>
  <c r="O28" i="190"/>
  <c r="K17" i="190"/>
  <c r="L17" i="190"/>
  <c r="M17" i="190"/>
  <c r="N17" i="190"/>
  <c r="O17" i="190"/>
  <c r="J17" i="190"/>
  <c r="P21" i="228" l="1"/>
  <c r="P34" i="228"/>
  <c r="P20" i="226"/>
  <c r="P14" i="226"/>
  <c r="J61" i="44"/>
  <c r="J59" i="44"/>
  <c r="J71" i="44"/>
  <c r="J66" i="44"/>
  <c r="J30" i="44"/>
  <c r="J94" i="44" l="1"/>
  <c r="J92" i="44"/>
  <c r="J89" i="44" l="1"/>
  <c r="J29" i="44"/>
  <c r="J62" i="44"/>
  <c r="J55" i="44"/>
  <c r="J105" i="44"/>
  <c r="J108" i="44"/>
  <c r="J70" i="44"/>
  <c r="J106" i="44"/>
  <c r="J80" i="44"/>
  <c r="J83" i="44"/>
  <c r="J81" i="44"/>
  <c r="J97" i="44"/>
  <c r="J50" i="44"/>
  <c r="J65" i="44"/>
  <c r="J101" i="44"/>
  <c r="J109" i="44"/>
  <c r="J77" i="44"/>
  <c r="J96" i="44" l="1"/>
  <c r="J87" i="44"/>
  <c r="J56" i="44"/>
  <c r="J53" i="44"/>
  <c r="J51" i="44"/>
  <c r="J67" i="44"/>
  <c r="J79" i="44"/>
  <c r="J88" i="44"/>
  <c r="J86" i="44"/>
  <c r="J75" i="44"/>
  <c r="J58" i="44"/>
  <c r="J91" i="44"/>
  <c r="J107" i="44"/>
  <c r="J104" i="44"/>
  <c r="J52" i="44"/>
  <c r="J78" i="44"/>
  <c r="J63" i="44"/>
  <c r="J76" i="44"/>
  <c r="J74" i="44"/>
  <c r="J64" i="44"/>
  <c r="J69" i="44"/>
  <c r="J99" i="44"/>
  <c r="J85" i="44"/>
  <c r="J54" i="44"/>
  <c r="J73" i="44"/>
  <c r="J68" i="44"/>
  <c r="J82" i="44"/>
  <c r="J48" i="44"/>
  <c r="J98" i="44"/>
  <c r="J72" i="44"/>
  <c r="J103" i="44"/>
  <c r="J90" i="44"/>
  <c r="J47" i="44"/>
  <c r="J95" i="44"/>
  <c r="J93" i="44"/>
  <c r="J49" i="44"/>
  <c r="J60" i="44"/>
  <c r="J57" i="44"/>
  <c r="J84" i="44"/>
  <c r="J102" i="44"/>
  <c r="J46" i="44" l="1"/>
  <c r="E94" i="44" l="1"/>
  <c r="F94" i="44"/>
  <c r="G94" i="44"/>
  <c r="H94" i="44"/>
  <c r="I94" i="44"/>
  <c r="E95" i="44"/>
  <c r="F95" i="44"/>
  <c r="G95" i="44"/>
  <c r="H95" i="44"/>
  <c r="I95" i="44"/>
  <c r="E96" i="44"/>
  <c r="F96" i="44"/>
  <c r="G96" i="44"/>
  <c r="H96" i="44"/>
  <c r="I96" i="44"/>
  <c r="E97" i="44"/>
  <c r="F97" i="44"/>
  <c r="G97" i="44"/>
  <c r="H97" i="44"/>
  <c r="I97" i="44"/>
  <c r="E98" i="44"/>
  <c r="F98" i="44"/>
  <c r="G98" i="44"/>
  <c r="H98" i="44"/>
  <c r="I98" i="44"/>
  <c r="E99" i="44"/>
  <c r="F99" i="44"/>
  <c r="G99" i="44"/>
  <c r="H99" i="44"/>
  <c r="I99" i="44"/>
  <c r="E100" i="44"/>
  <c r="F100" i="44"/>
  <c r="G100" i="44"/>
  <c r="H100" i="44"/>
  <c r="I100" i="44"/>
  <c r="E101" i="44"/>
  <c r="F101" i="44"/>
  <c r="G101" i="44"/>
  <c r="H101" i="44"/>
  <c r="I101" i="44"/>
  <c r="E102" i="44"/>
  <c r="F102" i="44"/>
  <c r="G102" i="44"/>
  <c r="H102" i="44"/>
  <c r="I102" i="44"/>
  <c r="E103" i="44"/>
  <c r="F103" i="44"/>
  <c r="G103" i="44"/>
  <c r="H103" i="44"/>
  <c r="I103" i="44"/>
  <c r="E104" i="44"/>
  <c r="F104" i="44"/>
  <c r="G104" i="44"/>
  <c r="H104" i="44"/>
  <c r="I104" i="44"/>
  <c r="D96" i="44"/>
  <c r="D97" i="44"/>
  <c r="D98" i="44"/>
  <c r="D99" i="44"/>
  <c r="D100" i="44"/>
  <c r="D101" i="44"/>
  <c r="D102" i="44"/>
  <c r="D103" i="44"/>
  <c r="D104" i="44"/>
  <c r="D105" i="44"/>
  <c r="D95" i="44"/>
  <c r="D94" i="44"/>
  <c r="D21" i="37" l="1"/>
  <c r="E21" i="37"/>
  <c r="D85" i="248" l="1"/>
  <c r="D86" i="248"/>
  <c r="D87" i="248"/>
  <c r="D88" i="248"/>
  <c r="D89" i="248"/>
  <c r="D90" i="248"/>
  <c r="D91" i="248"/>
  <c r="D92" i="248"/>
  <c r="D93" i="248"/>
  <c r="D94" i="248"/>
  <c r="D95" i="248"/>
  <c r="D96" i="248"/>
  <c r="D97" i="248"/>
  <c r="D98" i="248"/>
  <c r="D99" i="248"/>
  <c r="D100" i="248"/>
  <c r="D101" i="248"/>
  <c r="D102" i="248"/>
  <c r="D103" i="248"/>
  <c r="D104" i="248"/>
  <c r="D105" i="248"/>
  <c r="D106" i="248"/>
  <c r="D107" i="248"/>
  <c r="D108" i="248"/>
  <c r="D109" i="248"/>
  <c r="D110" i="248"/>
  <c r="D111" i="248"/>
  <c r="D112" i="248"/>
  <c r="D113" i="248"/>
  <c r="D114" i="248"/>
  <c r="D115" i="248"/>
  <c r="D116" i="248"/>
  <c r="D117" i="248"/>
  <c r="D118" i="248"/>
  <c r="D119" i="248"/>
  <c r="D120" i="248"/>
  <c r="D121" i="248"/>
  <c r="D122" i="248"/>
  <c r="D123" i="248"/>
  <c r="D124" i="248"/>
  <c r="D125" i="248"/>
  <c r="D126" i="248"/>
  <c r="D127" i="248"/>
  <c r="D128" i="248"/>
  <c r="D129" i="248"/>
  <c r="D130" i="248"/>
  <c r="D131" i="248"/>
  <c r="D132" i="248"/>
  <c r="D133" i="248"/>
  <c r="D134" i="248"/>
  <c r="F134" i="248" s="1"/>
  <c r="D135" i="248"/>
  <c r="F135" i="248" s="1"/>
  <c r="D136" i="248"/>
  <c r="F136" i="248" s="1"/>
  <c r="D137" i="248"/>
  <c r="F137" i="248" s="1"/>
  <c r="D138" i="248"/>
  <c r="F138" i="248" s="1"/>
  <c r="D139" i="248"/>
  <c r="F139" i="248" s="1"/>
  <c r="D140" i="248"/>
  <c r="F140" i="248" s="1"/>
  <c r="D141" i="248"/>
  <c r="F141" i="248" s="1"/>
  <c r="D142" i="248"/>
  <c r="F142" i="248" s="1"/>
  <c r="D143" i="248"/>
  <c r="F143" i="248" s="1"/>
  <c r="D144" i="248"/>
  <c r="F144" i="248" s="1"/>
  <c r="D145" i="248"/>
  <c r="F145" i="248" s="1"/>
  <c r="D84" i="248"/>
  <c r="D17" i="248"/>
  <c r="D18" i="248"/>
  <c r="D19" i="248"/>
  <c r="D20" i="248"/>
  <c r="D21" i="248"/>
  <c r="D22" i="248"/>
  <c r="D23" i="248"/>
  <c r="D24" i="248"/>
  <c r="D25" i="248"/>
  <c r="D26" i="248"/>
  <c r="D27" i="248"/>
  <c r="D28" i="248"/>
  <c r="D29" i="248"/>
  <c r="D30" i="248"/>
  <c r="D31" i="248"/>
  <c r="D32" i="248"/>
  <c r="D33" i="248"/>
  <c r="D34" i="248"/>
  <c r="D35" i="248"/>
  <c r="D36" i="248"/>
  <c r="D37" i="248"/>
  <c r="D38" i="248"/>
  <c r="D39" i="248"/>
  <c r="D40" i="248"/>
  <c r="D41" i="248"/>
  <c r="D42" i="248"/>
  <c r="D43" i="248"/>
  <c r="D44" i="248"/>
  <c r="D45" i="248"/>
  <c r="D46" i="248"/>
  <c r="D47" i="248"/>
  <c r="D48" i="248"/>
  <c r="D49" i="248"/>
  <c r="D50" i="248"/>
  <c r="D51" i="248"/>
  <c r="D52" i="248"/>
  <c r="D53" i="248"/>
  <c r="D54" i="248"/>
  <c r="D55" i="248"/>
  <c r="D56" i="248"/>
  <c r="D57" i="248"/>
  <c r="D58" i="248"/>
  <c r="D59" i="248"/>
  <c r="D60" i="248"/>
  <c r="D61" i="248"/>
  <c r="D62" i="248"/>
  <c r="D63" i="248"/>
  <c r="D64" i="248"/>
  <c r="D65" i="248"/>
  <c r="D66" i="248"/>
  <c r="F66" i="248" s="1"/>
  <c r="D67" i="248"/>
  <c r="F67" i="248" s="1"/>
  <c r="D68" i="248"/>
  <c r="F68" i="248" s="1"/>
  <c r="D69" i="248"/>
  <c r="F69" i="248" s="1"/>
  <c r="D70" i="248"/>
  <c r="F70" i="248" s="1"/>
  <c r="D71" i="248"/>
  <c r="D72" i="248"/>
  <c r="D73" i="248"/>
  <c r="D74" i="248"/>
  <c r="D75" i="248"/>
  <c r="D76" i="248"/>
  <c r="F76" i="248" s="1"/>
  <c r="D77" i="248"/>
  <c r="F77" i="248" s="1"/>
  <c r="A16" i="248"/>
  <c r="A17" i="248" s="1"/>
  <c r="A18" i="248" s="1"/>
  <c r="A19" i="248" s="1"/>
  <c r="A20" i="248" s="1"/>
  <c r="A21" i="248" s="1"/>
  <c r="A22" i="248" s="1"/>
  <c r="A23" i="248" s="1"/>
  <c r="A24" i="248" s="1"/>
  <c r="A25" i="248" s="1"/>
  <c r="A26" i="248" s="1"/>
  <c r="A27" i="248" s="1"/>
  <c r="A28" i="248" s="1"/>
  <c r="A29" i="248" s="1"/>
  <c r="A30" i="248" s="1"/>
  <c r="A31" i="248" s="1"/>
  <c r="A32" i="248" s="1"/>
  <c r="A33" i="248" s="1"/>
  <c r="A34" i="248" s="1"/>
  <c r="A35" i="248" s="1"/>
  <c r="A36" i="248" s="1"/>
  <c r="A37" i="248" s="1"/>
  <c r="A38" i="248" s="1"/>
  <c r="A39" i="248" s="1"/>
  <c r="A40" i="248" s="1"/>
  <c r="A41" i="248" s="1"/>
  <c r="A42" i="248" s="1"/>
  <c r="A43" i="248" s="1"/>
  <c r="A44" i="248" s="1"/>
  <c r="A45" i="248" s="1"/>
  <c r="A46" i="248" s="1"/>
  <c r="A47" i="248" s="1"/>
  <c r="A48" i="248" s="1"/>
  <c r="A49" i="248" s="1"/>
  <c r="A50" i="248" s="1"/>
  <c r="A51" i="248" s="1"/>
  <c r="A52" i="248" s="1"/>
  <c r="A53" i="248" s="1"/>
  <c r="A54" i="248" s="1"/>
  <c r="A55" i="248" s="1"/>
  <c r="A56" i="248" s="1"/>
  <c r="A57" i="248" s="1"/>
  <c r="A58" i="248" s="1"/>
  <c r="A59" i="248" s="1"/>
  <c r="A60" i="248" s="1"/>
  <c r="A61" i="248" s="1"/>
  <c r="A62" i="248" s="1"/>
  <c r="A63" i="248" s="1"/>
  <c r="A64" i="248" s="1"/>
  <c r="A65" i="248" s="1"/>
  <c r="A66" i="248" s="1"/>
  <c r="A67" i="248" s="1"/>
  <c r="A68" i="248" s="1"/>
  <c r="A69" i="248" s="1"/>
  <c r="A70" i="248" s="1"/>
  <c r="A71" i="248" s="1"/>
  <c r="A72" i="248" s="1"/>
  <c r="A73" i="248" s="1"/>
  <c r="A74" i="248" s="1"/>
  <c r="A75" i="248" s="1"/>
  <c r="A76" i="248" s="1"/>
  <c r="A77" i="248" s="1"/>
  <c r="D16" i="248"/>
  <c r="D36" i="107" l="1"/>
  <c r="D35" i="107"/>
  <c r="D33" i="107"/>
  <c r="D32" i="107"/>
  <c r="D31" i="107"/>
  <c r="D30" i="107"/>
  <c r="D28" i="107"/>
  <c r="D23" i="107"/>
  <c r="D22" i="107"/>
  <c r="D19" i="107"/>
  <c r="D18" i="107"/>
  <c r="D17" i="107"/>
  <c r="D15" i="107"/>
  <c r="D20" i="107"/>
  <c r="C18" i="103" l="1"/>
  <c r="C32" i="103"/>
  <c r="C25" i="103"/>
  <c r="E14" i="44" l="1"/>
  <c r="F14" i="44"/>
  <c r="G14" i="44"/>
  <c r="H14" i="44"/>
  <c r="I14" i="44"/>
  <c r="E15" i="44"/>
  <c r="F15" i="44"/>
  <c r="G15" i="44"/>
  <c r="H15" i="44"/>
  <c r="I15" i="44"/>
  <c r="E16" i="44"/>
  <c r="F16" i="44"/>
  <c r="G16" i="44"/>
  <c r="H16" i="44"/>
  <c r="I16" i="44"/>
  <c r="E17" i="44"/>
  <c r="F17" i="44"/>
  <c r="G17" i="44"/>
  <c r="H17" i="44"/>
  <c r="I17" i="44"/>
  <c r="E18" i="44"/>
  <c r="F18" i="44"/>
  <c r="G18" i="44"/>
  <c r="H18" i="44"/>
  <c r="I18" i="44"/>
  <c r="E19" i="44"/>
  <c r="F19" i="44"/>
  <c r="G19" i="44"/>
  <c r="H19" i="44"/>
  <c r="I19" i="44"/>
  <c r="E20" i="44"/>
  <c r="F20" i="44"/>
  <c r="G20" i="44"/>
  <c r="H20" i="44"/>
  <c r="I20" i="44"/>
  <c r="E21" i="44"/>
  <c r="F21" i="44"/>
  <c r="G21" i="44"/>
  <c r="H21" i="44"/>
  <c r="I21" i="44"/>
  <c r="E22" i="44"/>
  <c r="F22" i="44"/>
  <c r="G22" i="44"/>
  <c r="H22" i="44"/>
  <c r="I22" i="44"/>
  <c r="E23" i="44"/>
  <c r="F23" i="44"/>
  <c r="G23" i="44"/>
  <c r="H23" i="44"/>
  <c r="I23" i="44"/>
  <c r="E24" i="44"/>
  <c r="F24" i="44"/>
  <c r="G24" i="44"/>
  <c r="H24" i="44"/>
  <c r="I24" i="44"/>
  <c r="E25" i="44"/>
  <c r="F25" i="44"/>
  <c r="G25" i="44"/>
  <c r="H25" i="44"/>
  <c r="I25" i="44"/>
  <c r="E26" i="44"/>
  <c r="F26" i="44"/>
  <c r="G26" i="44"/>
  <c r="H26" i="44"/>
  <c r="I26" i="44"/>
  <c r="E27" i="44"/>
  <c r="F27" i="44"/>
  <c r="G27" i="44"/>
  <c r="H27" i="44"/>
  <c r="I27" i="44"/>
  <c r="E28" i="44"/>
  <c r="F28" i="44"/>
  <c r="G28" i="44"/>
  <c r="H28" i="44"/>
  <c r="I28" i="44"/>
  <c r="E29" i="44"/>
  <c r="F29" i="44"/>
  <c r="G29" i="44"/>
  <c r="H29" i="44"/>
  <c r="I29" i="44"/>
  <c r="E30" i="44"/>
  <c r="F30" i="44"/>
  <c r="G30" i="44"/>
  <c r="H30" i="44"/>
  <c r="I30" i="44"/>
  <c r="E31" i="44"/>
  <c r="F31" i="44"/>
  <c r="G31" i="44"/>
  <c r="H31" i="44"/>
  <c r="I31" i="44"/>
  <c r="E32" i="44"/>
  <c r="F32" i="44"/>
  <c r="G32" i="44"/>
  <c r="H32" i="44"/>
  <c r="I32" i="44"/>
  <c r="E33" i="44"/>
  <c r="F33" i="44"/>
  <c r="G33" i="44"/>
  <c r="H33" i="44"/>
  <c r="I33" i="44"/>
  <c r="E34" i="44"/>
  <c r="F34" i="44"/>
  <c r="G34" i="44"/>
  <c r="H34" i="44"/>
  <c r="I34" i="44"/>
  <c r="E35" i="44"/>
  <c r="F35" i="44"/>
  <c r="G35" i="44"/>
  <c r="H35" i="44"/>
  <c r="I35" i="44"/>
  <c r="E36" i="44"/>
  <c r="F36" i="44"/>
  <c r="G36" i="44"/>
  <c r="H36" i="44"/>
  <c r="I36" i="44"/>
  <c r="E37" i="44"/>
  <c r="F37" i="44"/>
  <c r="G37" i="44"/>
  <c r="H37" i="44"/>
  <c r="I37" i="44"/>
  <c r="E38" i="44"/>
  <c r="F38" i="44"/>
  <c r="G38" i="44"/>
  <c r="H38" i="44"/>
  <c r="I38" i="44"/>
  <c r="E39" i="44"/>
  <c r="F39" i="44"/>
  <c r="G39" i="44"/>
  <c r="H39" i="44"/>
  <c r="I39" i="44"/>
  <c r="E40" i="44"/>
  <c r="F40" i="44"/>
  <c r="G40" i="44"/>
  <c r="H40" i="44"/>
  <c r="I40" i="44"/>
  <c r="E41" i="44"/>
  <c r="F41" i="44"/>
  <c r="G41" i="44"/>
  <c r="H41" i="44"/>
  <c r="I41" i="44"/>
  <c r="E42" i="44"/>
  <c r="F42" i="44"/>
  <c r="G42" i="44"/>
  <c r="H42" i="44"/>
  <c r="I42" i="44"/>
  <c r="E43" i="44"/>
  <c r="F43" i="44"/>
  <c r="G43" i="44"/>
  <c r="H43" i="44"/>
  <c r="I43" i="44"/>
  <c r="E44" i="44"/>
  <c r="F44" i="44"/>
  <c r="G44" i="44"/>
  <c r="H44" i="44"/>
  <c r="I44" i="44"/>
  <c r="E45" i="44"/>
  <c r="F45" i="44"/>
  <c r="G45" i="44"/>
  <c r="H45" i="44"/>
  <c r="I45" i="44"/>
  <c r="E46" i="44"/>
  <c r="F46" i="44"/>
  <c r="G46" i="44"/>
  <c r="H46" i="44"/>
  <c r="I46" i="44"/>
  <c r="E47" i="44"/>
  <c r="F47" i="44"/>
  <c r="G47" i="44"/>
  <c r="H47" i="44"/>
  <c r="I47" i="44"/>
  <c r="E48" i="44"/>
  <c r="F48" i="44"/>
  <c r="G48" i="44"/>
  <c r="H48" i="44"/>
  <c r="I48" i="44"/>
  <c r="E49" i="44"/>
  <c r="F49" i="44"/>
  <c r="G49" i="44"/>
  <c r="H49" i="44"/>
  <c r="I49" i="44"/>
  <c r="E50" i="44"/>
  <c r="F50" i="44"/>
  <c r="G50" i="44"/>
  <c r="H50" i="44"/>
  <c r="I50" i="44"/>
  <c r="E51" i="44"/>
  <c r="F51" i="44"/>
  <c r="G51" i="44"/>
  <c r="H51" i="44"/>
  <c r="I51" i="44"/>
  <c r="E52" i="44"/>
  <c r="F52" i="44"/>
  <c r="G52" i="44"/>
  <c r="H52" i="44"/>
  <c r="I52" i="44"/>
  <c r="E53" i="44"/>
  <c r="F53" i="44"/>
  <c r="G53" i="44"/>
  <c r="H53" i="44"/>
  <c r="I53" i="44"/>
  <c r="E54" i="44"/>
  <c r="F54" i="44"/>
  <c r="G54" i="44"/>
  <c r="H54" i="44"/>
  <c r="I54" i="44"/>
  <c r="E55" i="44"/>
  <c r="F55" i="44"/>
  <c r="G55" i="44"/>
  <c r="H55" i="44"/>
  <c r="I55" i="44"/>
  <c r="E56" i="44"/>
  <c r="F56" i="44"/>
  <c r="G56" i="44"/>
  <c r="H56" i="44"/>
  <c r="I56" i="44"/>
  <c r="E57" i="44"/>
  <c r="F57" i="44"/>
  <c r="G57" i="44"/>
  <c r="H57" i="44"/>
  <c r="I57" i="44"/>
  <c r="E58" i="44"/>
  <c r="F58" i="44"/>
  <c r="G58" i="44"/>
  <c r="H58" i="44"/>
  <c r="I58" i="44"/>
  <c r="E59" i="44"/>
  <c r="F59" i="44"/>
  <c r="G59" i="44"/>
  <c r="H59" i="44"/>
  <c r="I59" i="44"/>
  <c r="E60" i="44"/>
  <c r="F60" i="44"/>
  <c r="G60" i="44"/>
  <c r="H60" i="44"/>
  <c r="I60" i="44"/>
  <c r="E61" i="44"/>
  <c r="F61" i="44"/>
  <c r="G61" i="44"/>
  <c r="H61" i="44"/>
  <c r="I61" i="44"/>
  <c r="E62" i="44"/>
  <c r="F62" i="44"/>
  <c r="G62" i="44"/>
  <c r="H62" i="44"/>
  <c r="I62" i="44"/>
  <c r="E63" i="44"/>
  <c r="F63" i="44"/>
  <c r="G63" i="44"/>
  <c r="H63" i="44"/>
  <c r="I63" i="44"/>
  <c r="E64" i="44"/>
  <c r="F64" i="44"/>
  <c r="G64" i="44"/>
  <c r="H64" i="44"/>
  <c r="I64" i="44"/>
  <c r="E65" i="44"/>
  <c r="F65" i="44"/>
  <c r="G65" i="44"/>
  <c r="H65" i="44"/>
  <c r="I65" i="44"/>
  <c r="E66" i="44"/>
  <c r="F66" i="44"/>
  <c r="G66" i="44"/>
  <c r="H66" i="44"/>
  <c r="I66" i="44"/>
  <c r="E67" i="44"/>
  <c r="F67" i="44"/>
  <c r="G67" i="44"/>
  <c r="H67" i="44"/>
  <c r="I67" i="44"/>
  <c r="E68" i="44"/>
  <c r="F68" i="44"/>
  <c r="G68" i="44"/>
  <c r="H68" i="44"/>
  <c r="I68" i="44"/>
  <c r="E69" i="44"/>
  <c r="F69" i="44"/>
  <c r="G69" i="44"/>
  <c r="H69" i="44"/>
  <c r="I69" i="44"/>
  <c r="E70" i="44"/>
  <c r="F70" i="44"/>
  <c r="G70" i="44"/>
  <c r="H70" i="44"/>
  <c r="I70" i="44"/>
  <c r="E71" i="44"/>
  <c r="F71" i="44"/>
  <c r="G71" i="44"/>
  <c r="H71" i="44"/>
  <c r="I71" i="44"/>
  <c r="E72" i="44"/>
  <c r="F72" i="44"/>
  <c r="G72" i="44"/>
  <c r="H72" i="44"/>
  <c r="I72" i="44"/>
  <c r="E73" i="44"/>
  <c r="F73" i="44"/>
  <c r="G73" i="44"/>
  <c r="H73" i="44"/>
  <c r="I73" i="44"/>
  <c r="E74" i="44"/>
  <c r="F74" i="44"/>
  <c r="G74" i="44"/>
  <c r="H74" i="44"/>
  <c r="I74" i="44"/>
  <c r="E75" i="44"/>
  <c r="F75" i="44"/>
  <c r="G75" i="44"/>
  <c r="H75" i="44"/>
  <c r="I75" i="44"/>
  <c r="E76" i="44"/>
  <c r="F76" i="44"/>
  <c r="G76" i="44"/>
  <c r="H76" i="44"/>
  <c r="I76" i="44"/>
  <c r="E77" i="44"/>
  <c r="F77" i="44"/>
  <c r="G77" i="44"/>
  <c r="H77" i="44"/>
  <c r="I77" i="44"/>
  <c r="E78" i="44"/>
  <c r="F78" i="44"/>
  <c r="G78" i="44"/>
  <c r="H78" i="44"/>
  <c r="I78" i="44"/>
  <c r="E79" i="44"/>
  <c r="F79" i="44"/>
  <c r="G79" i="44"/>
  <c r="H79" i="44"/>
  <c r="I79" i="44"/>
  <c r="E80" i="44"/>
  <c r="F80" i="44"/>
  <c r="G80" i="44"/>
  <c r="H80" i="44"/>
  <c r="I80" i="44"/>
  <c r="E81" i="44"/>
  <c r="F81" i="44"/>
  <c r="G81" i="44"/>
  <c r="H81" i="44"/>
  <c r="I81" i="44"/>
  <c r="E82" i="44"/>
  <c r="F82" i="44"/>
  <c r="G82" i="44"/>
  <c r="H82" i="44"/>
  <c r="I82" i="44"/>
  <c r="E83" i="44"/>
  <c r="F83" i="44"/>
  <c r="G83" i="44"/>
  <c r="H83" i="44"/>
  <c r="I83" i="44"/>
  <c r="E84" i="44"/>
  <c r="F84" i="44"/>
  <c r="G84" i="44"/>
  <c r="H84" i="44"/>
  <c r="I84" i="44"/>
  <c r="E85" i="44"/>
  <c r="F85" i="44"/>
  <c r="G85" i="44"/>
  <c r="H85" i="44"/>
  <c r="I85" i="44"/>
  <c r="E86" i="44"/>
  <c r="F86" i="44"/>
  <c r="G86" i="44"/>
  <c r="H86" i="44"/>
  <c r="I86" i="44"/>
  <c r="E87" i="44"/>
  <c r="F87" i="44"/>
  <c r="G87" i="44"/>
  <c r="H87" i="44"/>
  <c r="I87" i="44"/>
  <c r="E88" i="44"/>
  <c r="F88" i="44"/>
  <c r="G88" i="44"/>
  <c r="H88" i="44"/>
  <c r="I88" i="44"/>
  <c r="E89" i="44"/>
  <c r="F89" i="44"/>
  <c r="G89" i="44"/>
  <c r="H89" i="44"/>
  <c r="I89" i="44"/>
  <c r="E90" i="44"/>
  <c r="F90" i="44"/>
  <c r="G90" i="44"/>
  <c r="H90" i="44"/>
  <c r="I90" i="44"/>
  <c r="E91" i="44"/>
  <c r="F91" i="44"/>
  <c r="G91" i="44"/>
  <c r="H91" i="44"/>
  <c r="I91" i="44"/>
  <c r="E92" i="44"/>
  <c r="F92" i="44"/>
  <c r="G92" i="44"/>
  <c r="H92" i="44"/>
  <c r="I92" i="44"/>
  <c r="E93" i="44"/>
  <c r="F93" i="44"/>
  <c r="G93" i="44"/>
  <c r="H93" i="44"/>
  <c r="I93" i="44"/>
  <c r="E106" i="44"/>
  <c r="F106" i="44"/>
  <c r="G106" i="44"/>
  <c r="H106" i="44"/>
  <c r="I106" i="44"/>
  <c r="E107" i="44"/>
  <c r="F107" i="44"/>
  <c r="G107" i="44"/>
  <c r="H107" i="44"/>
  <c r="I107" i="44"/>
  <c r="E108" i="44"/>
  <c r="F108" i="44"/>
  <c r="G108" i="44"/>
  <c r="H108" i="44"/>
  <c r="I108" i="44"/>
  <c r="E109" i="44"/>
  <c r="F109" i="44"/>
  <c r="G109" i="44"/>
  <c r="H109" i="44"/>
  <c r="I109" i="44"/>
  <c r="D109" i="44"/>
  <c r="D108" i="44"/>
  <c r="D107" i="44"/>
  <c r="D106" i="44"/>
  <c r="D89" i="44"/>
  <c r="D90" i="44"/>
  <c r="D91" i="44"/>
  <c r="D92" i="44"/>
  <c r="D93" i="44"/>
  <c r="D73" i="44"/>
  <c r="D74" i="44"/>
  <c r="D75" i="44"/>
  <c r="D76" i="44"/>
  <c r="D77" i="44"/>
  <c r="D78" i="44"/>
  <c r="D79" i="44"/>
  <c r="D80" i="44"/>
  <c r="D81" i="44"/>
  <c r="D82" i="44"/>
  <c r="D83" i="44"/>
  <c r="D84" i="44"/>
  <c r="D85" i="44"/>
  <c r="D86" i="44"/>
  <c r="D87" i="44"/>
  <c r="D88" i="44"/>
  <c r="D72" i="44"/>
  <c r="D71" i="44"/>
  <c r="D68" i="44"/>
  <c r="D69" i="44"/>
  <c r="D70" i="44"/>
  <c r="D67" i="44"/>
  <c r="D66" i="44"/>
  <c r="D65" i="44"/>
  <c r="D45" i="44"/>
  <c r="D63" i="44"/>
  <c r="D64" i="44"/>
  <c r="D62" i="44"/>
  <c r="D61" i="44"/>
  <c r="D60" i="44"/>
  <c r="D59" i="44"/>
  <c r="D58" i="44"/>
  <c r="D57" i="44"/>
  <c r="D55" i="44"/>
  <c r="D56" i="44"/>
  <c r="D54" i="44"/>
  <c r="D53" i="44"/>
  <c r="D48" i="44"/>
  <c r="D49" i="44"/>
  <c r="D50" i="44"/>
  <c r="D51" i="44"/>
  <c r="D52" i="44"/>
  <c r="D47" i="44"/>
  <c r="D46" i="44"/>
  <c r="D33" i="44"/>
  <c r="D34" i="44"/>
  <c r="D35" i="44"/>
  <c r="D36" i="44"/>
  <c r="D37" i="44"/>
  <c r="D38" i="44"/>
  <c r="D39" i="44"/>
  <c r="D40" i="44"/>
  <c r="D41" i="44"/>
  <c r="D42" i="44"/>
  <c r="D43" i="44"/>
  <c r="D44" i="44"/>
  <c r="D32" i="44"/>
  <c r="D31" i="44"/>
  <c r="D30" i="44"/>
  <c r="D29" i="44"/>
  <c r="D28" i="44"/>
  <c r="D18" i="44"/>
  <c r="D19" i="44"/>
  <c r="D20" i="44"/>
  <c r="D21" i="44"/>
  <c r="D22" i="44"/>
  <c r="D23" i="44"/>
  <c r="D24" i="44"/>
  <c r="D25" i="44"/>
  <c r="D26" i="44"/>
  <c r="D27" i="44"/>
  <c r="D17" i="44"/>
  <c r="D16" i="44"/>
  <c r="E12" i="44"/>
  <c r="F12" i="44"/>
  <c r="G12" i="44"/>
  <c r="I12" i="44"/>
  <c r="D12" i="44"/>
  <c r="D15" i="44"/>
  <c r="D14" i="44"/>
  <c r="E14" i="190"/>
  <c r="F14" i="190"/>
  <c r="G14" i="190"/>
  <c r="H14" i="190"/>
  <c r="I14" i="190"/>
  <c r="E15" i="190"/>
  <c r="F15" i="190"/>
  <c r="G15" i="190"/>
  <c r="H15" i="190"/>
  <c r="I15" i="190"/>
  <c r="E16" i="190"/>
  <c r="F16" i="190"/>
  <c r="G16" i="190"/>
  <c r="H16" i="190"/>
  <c r="I16" i="190"/>
  <c r="E17" i="190"/>
  <c r="F17" i="190"/>
  <c r="G17" i="190"/>
  <c r="H17" i="190"/>
  <c r="I17" i="190"/>
  <c r="E18" i="190"/>
  <c r="F18" i="190"/>
  <c r="G18" i="190"/>
  <c r="H18" i="190"/>
  <c r="I18" i="190"/>
  <c r="E19" i="190"/>
  <c r="F19" i="190"/>
  <c r="G19" i="190"/>
  <c r="H19" i="190"/>
  <c r="I19" i="190"/>
  <c r="E20" i="190"/>
  <c r="F20" i="190"/>
  <c r="G20" i="190"/>
  <c r="H20" i="190"/>
  <c r="I20" i="190"/>
  <c r="E21" i="190"/>
  <c r="F21" i="190"/>
  <c r="G21" i="190"/>
  <c r="H21" i="190"/>
  <c r="I21" i="190"/>
  <c r="E22" i="190"/>
  <c r="F22" i="190"/>
  <c r="G22" i="190"/>
  <c r="H22" i="190"/>
  <c r="I22" i="190"/>
  <c r="E23" i="190"/>
  <c r="F23" i="190"/>
  <c r="G23" i="190"/>
  <c r="H23" i="190"/>
  <c r="I23" i="190"/>
  <c r="E24" i="190"/>
  <c r="F24" i="190"/>
  <c r="G24" i="190"/>
  <c r="H24" i="190"/>
  <c r="I24" i="190"/>
  <c r="E25" i="190"/>
  <c r="F25" i="190"/>
  <c r="G25" i="190"/>
  <c r="H25" i="190"/>
  <c r="I25" i="190"/>
  <c r="E26" i="190"/>
  <c r="F26" i="190"/>
  <c r="G26" i="190"/>
  <c r="H26" i="190"/>
  <c r="I26" i="190"/>
  <c r="E27" i="190"/>
  <c r="F27" i="190"/>
  <c r="G27" i="190"/>
  <c r="H27" i="190"/>
  <c r="I27" i="190"/>
  <c r="E28" i="190"/>
  <c r="F28" i="190"/>
  <c r="G28" i="190"/>
  <c r="H28" i="190"/>
  <c r="I28" i="190"/>
  <c r="E29" i="190"/>
  <c r="F29" i="190"/>
  <c r="G29" i="190"/>
  <c r="H29" i="190"/>
  <c r="I29" i="190"/>
  <c r="E30" i="190"/>
  <c r="F30" i="190"/>
  <c r="G30" i="190"/>
  <c r="H30" i="190"/>
  <c r="I30" i="190"/>
  <c r="E31" i="190"/>
  <c r="F31" i="190"/>
  <c r="G31" i="190"/>
  <c r="H31" i="190"/>
  <c r="I31" i="190"/>
  <c r="E32" i="190"/>
  <c r="F32" i="190"/>
  <c r="G32" i="190"/>
  <c r="H32" i="190"/>
  <c r="I32" i="190"/>
  <c r="E33" i="190"/>
  <c r="F33" i="190"/>
  <c r="G33" i="190"/>
  <c r="H33" i="190"/>
  <c r="I33" i="190"/>
  <c r="E34" i="190"/>
  <c r="F34" i="190"/>
  <c r="G34" i="190"/>
  <c r="H34" i="190"/>
  <c r="I34" i="190"/>
  <c r="E35" i="190"/>
  <c r="F35" i="190"/>
  <c r="G35" i="190"/>
  <c r="H35" i="190"/>
  <c r="I35" i="190"/>
  <c r="E36" i="190"/>
  <c r="F36" i="190"/>
  <c r="G36" i="190"/>
  <c r="H36" i="190"/>
  <c r="I36" i="190"/>
  <c r="E37" i="190"/>
  <c r="F37" i="190"/>
  <c r="G37" i="190"/>
  <c r="H37" i="190"/>
  <c r="I37" i="190"/>
  <c r="D36" i="190"/>
  <c r="D37" i="190"/>
  <c r="D35" i="190"/>
  <c r="D34" i="190"/>
  <c r="D23" i="190"/>
  <c r="D24" i="190"/>
  <c r="D25" i="190"/>
  <c r="D26" i="190"/>
  <c r="D27" i="190"/>
  <c r="D28" i="190"/>
  <c r="D29" i="190"/>
  <c r="D30" i="190"/>
  <c r="D31" i="190"/>
  <c r="D32" i="190"/>
  <c r="D33" i="190"/>
  <c r="D22" i="190"/>
  <c r="D21" i="190"/>
  <c r="D20" i="190"/>
  <c r="D19" i="190"/>
  <c r="D18" i="190"/>
  <c r="D17" i="190"/>
  <c r="D16" i="190"/>
  <c r="D15" i="190"/>
  <c r="D14" i="190"/>
  <c r="E12" i="190"/>
  <c r="F12" i="190"/>
  <c r="G12" i="190"/>
  <c r="H12" i="190"/>
  <c r="I12" i="190"/>
  <c r="D12" i="190"/>
  <c r="E14" i="192"/>
  <c r="F14" i="192"/>
  <c r="G14" i="192"/>
  <c r="H14" i="192"/>
  <c r="I14" i="192"/>
  <c r="E15" i="192"/>
  <c r="F15" i="192"/>
  <c r="G15" i="192"/>
  <c r="H15" i="192"/>
  <c r="I15" i="192"/>
  <c r="E16" i="192"/>
  <c r="F16" i="192"/>
  <c r="G16" i="192"/>
  <c r="H16" i="192"/>
  <c r="I16" i="192"/>
  <c r="E17" i="192"/>
  <c r="F17" i="192"/>
  <c r="G17" i="192"/>
  <c r="H17" i="192"/>
  <c r="I17" i="192"/>
  <c r="E18" i="192"/>
  <c r="F18" i="192"/>
  <c r="G18" i="192"/>
  <c r="H18" i="192"/>
  <c r="I18" i="192"/>
  <c r="E19" i="192"/>
  <c r="F19" i="192"/>
  <c r="G19" i="192"/>
  <c r="H19" i="192"/>
  <c r="I19" i="192"/>
  <c r="E20" i="192"/>
  <c r="F20" i="192"/>
  <c r="G20" i="192"/>
  <c r="H20" i="192"/>
  <c r="I20" i="192"/>
  <c r="E21" i="192"/>
  <c r="F21" i="192"/>
  <c r="G21" i="192"/>
  <c r="H21" i="192"/>
  <c r="I21" i="192"/>
  <c r="E22" i="192"/>
  <c r="F22" i="192"/>
  <c r="G22" i="192"/>
  <c r="H22" i="192"/>
  <c r="I22" i="192"/>
  <c r="E23" i="192"/>
  <c r="F23" i="192"/>
  <c r="G23" i="192"/>
  <c r="H23" i="192"/>
  <c r="I23" i="192"/>
  <c r="E24" i="192"/>
  <c r="F24" i="192"/>
  <c r="G24" i="192"/>
  <c r="H24" i="192"/>
  <c r="I24" i="192"/>
  <c r="E25" i="192"/>
  <c r="F25" i="192"/>
  <c r="G25" i="192"/>
  <c r="H25" i="192"/>
  <c r="I25" i="192"/>
  <c r="E26" i="192"/>
  <c r="F26" i="192"/>
  <c r="G26" i="192"/>
  <c r="H26" i="192"/>
  <c r="I26" i="192"/>
  <c r="E27" i="192"/>
  <c r="F27" i="192"/>
  <c r="G27" i="192"/>
  <c r="H27" i="192"/>
  <c r="I27" i="192"/>
  <c r="E28" i="192"/>
  <c r="F28" i="192"/>
  <c r="G28" i="192"/>
  <c r="H28" i="192"/>
  <c r="I28" i="192"/>
  <c r="E29" i="192"/>
  <c r="F29" i="192"/>
  <c r="G29" i="192"/>
  <c r="H29" i="192"/>
  <c r="I29" i="192"/>
  <c r="E30" i="192"/>
  <c r="F30" i="192"/>
  <c r="G30" i="192"/>
  <c r="H30" i="192"/>
  <c r="I30" i="192"/>
  <c r="E31" i="192"/>
  <c r="F31" i="192"/>
  <c r="G31" i="192"/>
  <c r="H31" i="192"/>
  <c r="I31" i="192"/>
  <c r="E32" i="192"/>
  <c r="F32" i="192"/>
  <c r="G32" i="192"/>
  <c r="H32" i="192"/>
  <c r="I32" i="192"/>
  <c r="E33" i="192"/>
  <c r="F33" i="192"/>
  <c r="G33" i="192"/>
  <c r="H33" i="192"/>
  <c r="I33" i="192"/>
  <c r="E34" i="192"/>
  <c r="F34" i="192"/>
  <c r="G34" i="192"/>
  <c r="H34" i="192"/>
  <c r="I34" i="192"/>
  <c r="E35" i="192"/>
  <c r="F35" i="192"/>
  <c r="G35" i="192"/>
  <c r="H35" i="192"/>
  <c r="I35" i="192"/>
  <c r="E36" i="192"/>
  <c r="F36" i="192"/>
  <c r="G36" i="192"/>
  <c r="H36" i="192"/>
  <c r="I36" i="192"/>
  <c r="E37" i="192"/>
  <c r="F37" i="192"/>
  <c r="G37" i="192"/>
  <c r="H37" i="192"/>
  <c r="I37" i="192"/>
  <c r="E38" i="192"/>
  <c r="F38" i="192"/>
  <c r="G38" i="192"/>
  <c r="H38" i="192"/>
  <c r="I38" i="192"/>
  <c r="E39" i="192"/>
  <c r="F39" i="192"/>
  <c r="G39" i="192"/>
  <c r="H39" i="192"/>
  <c r="I39" i="192"/>
  <c r="E40" i="192"/>
  <c r="F40" i="192"/>
  <c r="G40" i="192"/>
  <c r="H40" i="192"/>
  <c r="I40" i="192"/>
  <c r="E41" i="192"/>
  <c r="F41" i="192"/>
  <c r="G41" i="192"/>
  <c r="H41" i="192"/>
  <c r="I41" i="192"/>
  <c r="E42" i="192"/>
  <c r="F42" i="192"/>
  <c r="G42" i="192"/>
  <c r="H42" i="192"/>
  <c r="I42" i="192"/>
  <c r="E43" i="192"/>
  <c r="F43" i="192"/>
  <c r="G43" i="192"/>
  <c r="H43" i="192"/>
  <c r="I43" i="192"/>
  <c r="E44" i="192"/>
  <c r="F44" i="192"/>
  <c r="G44" i="192"/>
  <c r="H44" i="192"/>
  <c r="I44" i="192"/>
  <c r="E45" i="192"/>
  <c r="F45" i="192"/>
  <c r="G45" i="192"/>
  <c r="H45" i="192"/>
  <c r="I45" i="192"/>
  <c r="E46" i="192"/>
  <c r="F46" i="192"/>
  <c r="G46" i="192"/>
  <c r="H46" i="192"/>
  <c r="I46" i="192"/>
  <c r="E47" i="192"/>
  <c r="F47" i="192"/>
  <c r="G47" i="192"/>
  <c r="H47" i="192"/>
  <c r="I47" i="192"/>
  <c r="E48" i="192"/>
  <c r="F48" i="192"/>
  <c r="G48" i="192"/>
  <c r="H48" i="192"/>
  <c r="I48" i="192"/>
  <c r="E49" i="192"/>
  <c r="F49" i="192"/>
  <c r="G49" i="192"/>
  <c r="H49" i="192"/>
  <c r="I49" i="192"/>
  <c r="E50" i="192"/>
  <c r="F50" i="192"/>
  <c r="G50" i="192"/>
  <c r="H50" i="192"/>
  <c r="I50" i="192"/>
  <c r="D50" i="192"/>
  <c r="D36" i="192"/>
  <c r="D37" i="192"/>
  <c r="D38" i="192"/>
  <c r="D39" i="192"/>
  <c r="D40" i="192"/>
  <c r="D41" i="192"/>
  <c r="D42" i="192"/>
  <c r="D43" i="192"/>
  <c r="D44" i="192"/>
  <c r="D45" i="192"/>
  <c r="D46" i="192"/>
  <c r="D47" i="192"/>
  <c r="D48" i="192"/>
  <c r="D49" i="192"/>
  <c r="D24" i="192"/>
  <c r="D25" i="192"/>
  <c r="D26" i="192"/>
  <c r="D27" i="192"/>
  <c r="D28" i="192"/>
  <c r="D29" i="192"/>
  <c r="D30" i="192"/>
  <c r="D31" i="192"/>
  <c r="D32" i="192"/>
  <c r="D33" i="192"/>
  <c r="D34" i="192"/>
  <c r="D35" i="192"/>
  <c r="D23" i="192"/>
  <c r="D22" i="192"/>
  <c r="D21" i="192"/>
  <c r="D18" i="192"/>
  <c r="D19" i="192"/>
  <c r="D20" i="192"/>
  <c r="D17" i="192"/>
  <c r="D16" i="192"/>
  <c r="D15" i="192"/>
  <c r="D14" i="192"/>
  <c r="E12" i="192"/>
  <c r="F12" i="192"/>
  <c r="G12" i="192"/>
  <c r="H12" i="192"/>
  <c r="I12" i="192"/>
  <c r="D12" i="192"/>
  <c r="E12" i="193"/>
  <c r="F12" i="193"/>
  <c r="G12" i="193"/>
  <c r="H12" i="193"/>
  <c r="I12" i="193"/>
  <c r="E13" i="193"/>
  <c r="F13" i="193"/>
  <c r="G13" i="193"/>
  <c r="H13" i="193"/>
  <c r="I13" i="193"/>
  <c r="E14" i="193"/>
  <c r="F14" i="193"/>
  <c r="G14" i="193"/>
  <c r="H14" i="193"/>
  <c r="I14" i="193"/>
  <c r="E15" i="193"/>
  <c r="F15" i="193"/>
  <c r="G15" i="193"/>
  <c r="H15" i="193"/>
  <c r="I15" i="193"/>
  <c r="E16" i="193"/>
  <c r="F16" i="193"/>
  <c r="G16" i="193"/>
  <c r="H16" i="193"/>
  <c r="I16" i="193"/>
  <c r="E17" i="193"/>
  <c r="F17" i="193"/>
  <c r="G17" i="193"/>
  <c r="H17" i="193"/>
  <c r="I17" i="193"/>
  <c r="E18" i="193"/>
  <c r="F18" i="193"/>
  <c r="G18" i="193"/>
  <c r="H18" i="193"/>
  <c r="I18" i="193"/>
  <c r="E19" i="193"/>
  <c r="F19" i="193"/>
  <c r="G19" i="193"/>
  <c r="H19" i="193"/>
  <c r="I19" i="193"/>
  <c r="E20" i="193"/>
  <c r="F20" i="193"/>
  <c r="G20" i="193"/>
  <c r="H20" i="193"/>
  <c r="I20" i="193"/>
  <c r="E21" i="193"/>
  <c r="F21" i="193"/>
  <c r="G21" i="193"/>
  <c r="H21" i="193"/>
  <c r="I21" i="193"/>
  <c r="E22" i="193"/>
  <c r="F22" i="193"/>
  <c r="G22" i="193"/>
  <c r="H22" i="193"/>
  <c r="I22" i="193"/>
  <c r="E23" i="193"/>
  <c r="F23" i="193"/>
  <c r="G23" i="193"/>
  <c r="H23" i="193"/>
  <c r="I23" i="193"/>
  <c r="E24" i="193"/>
  <c r="F24" i="193"/>
  <c r="G24" i="193"/>
  <c r="H24" i="193"/>
  <c r="I24" i="193"/>
  <c r="E25" i="193"/>
  <c r="F25" i="193"/>
  <c r="G25" i="193"/>
  <c r="H25" i="193"/>
  <c r="I25" i="193"/>
  <c r="E26" i="193"/>
  <c r="F26" i="193"/>
  <c r="G26" i="193"/>
  <c r="H26" i="193"/>
  <c r="I26" i="193"/>
  <c r="E27" i="193"/>
  <c r="F27" i="193"/>
  <c r="G27" i="193"/>
  <c r="H27" i="193"/>
  <c r="I27" i="193"/>
  <c r="E28" i="193"/>
  <c r="F28" i="193"/>
  <c r="G28" i="193"/>
  <c r="H28" i="193"/>
  <c r="I28" i="193"/>
  <c r="D18" i="193"/>
  <c r="D19" i="193"/>
  <c r="D20" i="193"/>
  <c r="D21" i="193"/>
  <c r="D22" i="193"/>
  <c r="D23" i="193"/>
  <c r="D24" i="193"/>
  <c r="D25" i="193"/>
  <c r="D26" i="193"/>
  <c r="D27" i="193"/>
  <c r="D28" i="193"/>
  <c r="D17" i="193"/>
  <c r="D16" i="193"/>
  <c r="D15" i="193"/>
  <c r="D14" i="193"/>
  <c r="D13" i="193"/>
  <c r="D12" i="193"/>
  <c r="P23" i="192" l="1"/>
  <c r="P36" i="192"/>
  <c r="D38" i="190"/>
  <c r="P37" i="192"/>
  <c r="P16" i="190"/>
  <c r="P22" i="190"/>
  <c r="D111" i="44"/>
  <c r="E41" i="42"/>
  <c r="F41" i="42"/>
  <c r="G41" i="42"/>
  <c r="H41" i="42"/>
  <c r="D41" i="42"/>
  <c r="E37" i="42"/>
  <c r="F37" i="42"/>
  <c r="G37" i="42"/>
  <c r="H37" i="42"/>
  <c r="D37" i="42"/>
  <c r="J36" i="42"/>
  <c r="L36" i="42" s="1"/>
  <c r="N36" i="42" s="1"/>
  <c r="P36" i="42" l="1"/>
  <c r="P37" i="42" s="1"/>
  <c r="N37" i="42"/>
  <c r="O36" i="42"/>
  <c r="O37" i="42" s="1"/>
  <c r="J132" i="10"/>
  <c r="K132" i="10"/>
  <c r="L132" i="10"/>
  <c r="M132" i="10"/>
  <c r="N132" i="10"/>
  <c r="O132" i="10"/>
  <c r="P132" i="10"/>
  <c r="Q132" i="10"/>
  <c r="R132" i="10"/>
  <c r="I132" i="10"/>
  <c r="M45" i="171" l="1"/>
  <c r="N45" i="171"/>
  <c r="L45" i="171"/>
  <c r="J45" i="171"/>
  <c r="K45" i="171"/>
  <c r="M16" i="171" l="1"/>
  <c r="L16" i="171"/>
  <c r="I16" i="171"/>
  <c r="J16" i="171"/>
  <c r="K16" i="171"/>
  <c r="C23" i="36" l="1"/>
  <c r="C21" i="36"/>
  <c r="C20" i="36"/>
  <c r="J130" i="10" l="1"/>
  <c r="K130" i="10"/>
  <c r="L130" i="10"/>
  <c r="M130" i="10"/>
  <c r="N130" i="10"/>
  <c r="O130" i="10"/>
  <c r="P130" i="10"/>
  <c r="Q130" i="10"/>
  <c r="R130" i="10"/>
  <c r="I130" i="10"/>
  <c r="J119" i="10"/>
  <c r="K119" i="10"/>
  <c r="L119" i="10"/>
  <c r="M119" i="10"/>
  <c r="N119" i="10"/>
  <c r="O119" i="10"/>
  <c r="P119" i="10"/>
  <c r="Q119" i="10"/>
  <c r="R119" i="10"/>
  <c r="J120" i="10"/>
  <c r="K120" i="10"/>
  <c r="L120" i="10"/>
  <c r="M120" i="10"/>
  <c r="N120" i="10"/>
  <c r="O120" i="10"/>
  <c r="P120" i="10"/>
  <c r="Q120" i="10"/>
  <c r="R120" i="10"/>
  <c r="J121" i="10"/>
  <c r="K121" i="10"/>
  <c r="L121" i="10"/>
  <c r="M121" i="10"/>
  <c r="N121" i="10"/>
  <c r="O121" i="10"/>
  <c r="P121" i="10"/>
  <c r="Q121" i="10"/>
  <c r="R121" i="10"/>
  <c r="J122" i="10"/>
  <c r="K122" i="10"/>
  <c r="L122" i="10"/>
  <c r="M122" i="10"/>
  <c r="N122" i="10"/>
  <c r="O122" i="10"/>
  <c r="P122" i="10"/>
  <c r="Q122" i="10"/>
  <c r="R122" i="10"/>
  <c r="I120" i="10"/>
  <c r="I121" i="10"/>
  <c r="I122" i="10"/>
  <c r="I119" i="10"/>
  <c r="J113" i="10"/>
  <c r="K113" i="10"/>
  <c r="L113" i="10"/>
  <c r="M113" i="10"/>
  <c r="N113" i="10"/>
  <c r="O113" i="10"/>
  <c r="P113" i="10"/>
  <c r="Q113" i="10"/>
  <c r="R113" i="10"/>
  <c r="J114" i="10"/>
  <c r="K114" i="10"/>
  <c r="L114" i="10"/>
  <c r="M114" i="10"/>
  <c r="N114" i="10"/>
  <c r="O114" i="10"/>
  <c r="P114" i="10"/>
  <c r="Q114" i="10"/>
  <c r="R114" i="10"/>
  <c r="J115" i="10"/>
  <c r="K115" i="10"/>
  <c r="L115" i="10"/>
  <c r="M115" i="10"/>
  <c r="N115" i="10"/>
  <c r="O115" i="10"/>
  <c r="P115" i="10"/>
  <c r="Q115" i="10"/>
  <c r="R115" i="10"/>
  <c r="I114" i="10"/>
  <c r="I115" i="10"/>
  <c r="I113" i="10"/>
  <c r="J100" i="10"/>
  <c r="K100" i="10"/>
  <c r="L100" i="10"/>
  <c r="M100" i="10"/>
  <c r="N100" i="10"/>
  <c r="O100" i="10"/>
  <c r="P100" i="10"/>
  <c r="Q100" i="10"/>
  <c r="R100" i="10"/>
  <c r="J101" i="10"/>
  <c r="K101" i="10"/>
  <c r="L101" i="10"/>
  <c r="M101" i="10"/>
  <c r="N101" i="10"/>
  <c r="O101" i="10"/>
  <c r="P101" i="10"/>
  <c r="Q101" i="10"/>
  <c r="R101" i="10"/>
  <c r="J102" i="10"/>
  <c r="K102" i="10"/>
  <c r="L102" i="10"/>
  <c r="M102" i="10"/>
  <c r="N102" i="10"/>
  <c r="O102" i="10"/>
  <c r="P102" i="10"/>
  <c r="Q102" i="10"/>
  <c r="R102" i="10"/>
  <c r="J103" i="10"/>
  <c r="K103" i="10"/>
  <c r="L103" i="10"/>
  <c r="M103" i="10"/>
  <c r="N103" i="10"/>
  <c r="O103" i="10"/>
  <c r="P103" i="10"/>
  <c r="Q103" i="10"/>
  <c r="R103" i="10"/>
  <c r="J104" i="10"/>
  <c r="K104" i="10"/>
  <c r="L104" i="10"/>
  <c r="M104" i="10"/>
  <c r="N104" i="10"/>
  <c r="O104" i="10"/>
  <c r="P104" i="10"/>
  <c r="Q104" i="10"/>
  <c r="R104" i="10"/>
  <c r="J105" i="10"/>
  <c r="K105" i="10"/>
  <c r="L105" i="10"/>
  <c r="M105" i="10"/>
  <c r="N105" i="10"/>
  <c r="O105" i="10"/>
  <c r="P105" i="10"/>
  <c r="Q105" i="10"/>
  <c r="R105" i="10"/>
  <c r="J106" i="10"/>
  <c r="K106" i="10"/>
  <c r="L106" i="10"/>
  <c r="M106" i="10"/>
  <c r="N106" i="10"/>
  <c r="O106" i="10"/>
  <c r="P106" i="10"/>
  <c r="Q106" i="10"/>
  <c r="R106" i="10"/>
  <c r="J107" i="10"/>
  <c r="K107" i="10"/>
  <c r="L107" i="10"/>
  <c r="M107" i="10"/>
  <c r="N107" i="10"/>
  <c r="O107" i="10"/>
  <c r="P107" i="10"/>
  <c r="Q107" i="10"/>
  <c r="R107" i="10"/>
  <c r="J108" i="10"/>
  <c r="K108" i="10"/>
  <c r="L108" i="10"/>
  <c r="M108" i="10"/>
  <c r="N108" i="10"/>
  <c r="O108" i="10"/>
  <c r="P108" i="10"/>
  <c r="Q108" i="10"/>
  <c r="R108" i="10"/>
  <c r="I101" i="10"/>
  <c r="I102" i="10"/>
  <c r="I103" i="10"/>
  <c r="I104" i="10"/>
  <c r="I105" i="10"/>
  <c r="I106" i="10"/>
  <c r="I107" i="10"/>
  <c r="I108" i="10"/>
  <c r="I100" i="10"/>
  <c r="J91" i="10"/>
  <c r="K91" i="10"/>
  <c r="L91" i="10"/>
  <c r="M91" i="10"/>
  <c r="N91" i="10"/>
  <c r="O91" i="10"/>
  <c r="P91" i="10"/>
  <c r="Q91" i="10"/>
  <c r="R91" i="10"/>
  <c r="J92" i="10"/>
  <c r="K92" i="10"/>
  <c r="L92" i="10"/>
  <c r="M92" i="10"/>
  <c r="N92" i="10"/>
  <c r="O92" i="10"/>
  <c r="P92" i="10"/>
  <c r="Q92" i="10"/>
  <c r="R92" i="10"/>
  <c r="J93" i="10"/>
  <c r="K93" i="10"/>
  <c r="L93" i="10"/>
  <c r="M93" i="10"/>
  <c r="N93" i="10"/>
  <c r="O93" i="10"/>
  <c r="P93" i="10"/>
  <c r="Q93" i="10"/>
  <c r="R93" i="10"/>
  <c r="J94" i="10"/>
  <c r="K94" i="10"/>
  <c r="L94" i="10"/>
  <c r="M94" i="10"/>
  <c r="N94" i="10"/>
  <c r="O94" i="10"/>
  <c r="P94" i="10"/>
  <c r="Q94" i="10"/>
  <c r="R94" i="10"/>
  <c r="J95" i="10"/>
  <c r="K95" i="10"/>
  <c r="L95" i="10"/>
  <c r="M95" i="10"/>
  <c r="N95" i="10"/>
  <c r="O95" i="10"/>
  <c r="P95" i="10"/>
  <c r="Q95" i="10"/>
  <c r="R95" i="10"/>
  <c r="J96" i="10"/>
  <c r="K96" i="10"/>
  <c r="L96" i="10"/>
  <c r="M96" i="10"/>
  <c r="N96" i="10"/>
  <c r="O96" i="10"/>
  <c r="P96" i="10"/>
  <c r="Q96" i="10"/>
  <c r="R96" i="10"/>
  <c r="I92" i="10"/>
  <c r="I93" i="10"/>
  <c r="I94" i="10"/>
  <c r="I95" i="10"/>
  <c r="I96" i="10"/>
  <c r="I91" i="10"/>
  <c r="J85" i="10"/>
  <c r="K85" i="10"/>
  <c r="L85" i="10"/>
  <c r="M85" i="10"/>
  <c r="N85" i="10"/>
  <c r="O85" i="10"/>
  <c r="P85" i="10"/>
  <c r="Q85" i="10"/>
  <c r="R85" i="10"/>
  <c r="J86" i="10"/>
  <c r="K86" i="10"/>
  <c r="L86" i="10"/>
  <c r="M86" i="10"/>
  <c r="N86" i="10"/>
  <c r="O86" i="10"/>
  <c r="P86" i="10"/>
  <c r="Q86" i="10"/>
  <c r="R86" i="10"/>
  <c r="I86" i="10"/>
  <c r="H86" i="10" s="1"/>
  <c r="I85" i="10"/>
  <c r="H85" i="10" s="1"/>
  <c r="J82" i="10"/>
  <c r="K82" i="10"/>
  <c r="L82" i="10"/>
  <c r="M82" i="10"/>
  <c r="N82" i="10"/>
  <c r="O82" i="10"/>
  <c r="P82" i="10"/>
  <c r="Q82" i="10"/>
  <c r="R82" i="10"/>
  <c r="J76" i="10"/>
  <c r="K76" i="10"/>
  <c r="L76" i="10"/>
  <c r="M76" i="10"/>
  <c r="N76" i="10"/>
  <c r="O76" i="10"/>
  <c r="P76" i="10"/>
  <c r="Q76" i="10"/>
  <c r="R76" i="10"/>
  <c r="J77" i="10"/>
  <c r="K77" i="10"/>
  <c r="L77" i="10"/>
  <c r="M77" i="10"/>
  <c r="N77" i="10"/>
  <c r="O77" i="10"/>
  <c r="P77" i="10"/>
  <c r="Q77" i="10"/>
  <c r="R77" i="10"/>
  <c r="J78" i="10"/>
  <c r="K78" i="10"/>
  <c r="L78" i="10"/>
  <c r="M78" i="10"/>
  <c r="N78" i="10"/>
  <c r="O78" i="10"/>
  <c r="P78" i="10"/>
  <c r="Q78" i="10"/>
  <c r="R78" i="10"/>
  <c r="J79" i="10"/>
  <c r="K79" i="10"/>
  <c r="L79" i="10"/>
  <c r="M79" i="10"/>
  <c r="N79" i="10"/>
  <c r="O79" i="10"/>
  <c r="P79" i="10"/>
  <c r="Q79" i="10"/>
  <c r="R79" i="10"/>
  <c r="J80" i="10"/>
  <c r="K80" i="10"/>
  <c r="L80" i="10"/>
  <c r="M80" i="10"/>
  <c r="N80" i="10"/>
  <c r="O80" i="10"/>
  <c r="P80" i="10"/>
  <c r="Q80" i="10"/>
  <c r="R80" i="10"/>
  <c r="I82" i="10"/>
  <c r="I77" i="10"/>
  <c r="I78" i="10"/>
  <c r="I79" i="10"/>
  <c r="I80" i="10"/>
  <c r="I76" i="10"/>
  <c r="J71" i="10"/>
  <c r="K71" i="10"/>
  <c r="L71" i="10"/>
  <c r="M71" i="10"/>
  <c r="N71" i="10"/>
  <c r="O71" i="10"/>
  <c r="P71" i="10"/>
  <c r="Q71" i="10"/>
  <c r="R71" i="10"/>
  <c r="J72" i="10"/>
  <c r="K72" i="10"/>
  <c r="L72" i="10"/>
  <c r="M72" i="10"/>
  <c r="N72" i="10"/>
  <c r="O72" i="10"/>
  <c r="P72" i="10"/>
  <c r="Q72" i="10"/>
  <c r="R72" i="10"/>
  <c r="I72" i="10"/>
  <c r="I71" i="10"/>
  <c r="J59" i="10"/>
  <c r="K59" i="10"/>
  <c r="L59" i="10"/>
  <c r="M59" i="10"/>
  <c r="N59" i="10"/>
  <c r="O59" i="10"/>
  <c r="P59" i="10"/>
  <c r="Q59" i="10"/>
  <c r="R59" i="10"/>
  <c r="I59" i="10"/>
  <c r="J56" i="10"/>
  <c r="K56" i="10"/>
  <c r="L56" i="10"/>
  <c r="M56" i="10"/>
  <c r="N56" i="10"/>
  <c r="O56" i="10"/>
  <c r="P56" i="10"/>
  <c r="Q56" i="10"/>
  <c r="R56" i="10"/>
  <c r="J57" i="10"/>
  <c r="K57" i="10"/>
  <c r="L57" i="10"/>
  <c r="M57" i="10"/>
  <c r="N57" i="10"/>
  <c r="O57" i="10"/>
  <c r="P57" i="10"/>
  <c r="Q57" i="10"/>
  <c r="R57" i="10"/>
  <c r="I57" i="10"/>
  <c r="I56" i="10"/>
  <c r="J48" i="10"/>
  <c r="K48" i="10"/>
  <c r="L48" i="10"/>
  <c r="M48" i="10"/>
  <c r="N48" i="10"/>
  <c r="O48" i="10"/>
  <c r="P48" i="10"/>
  <c r="Q48" i="10"/>
  <c r="R48" i="10"/>
  <c r="J49" i="10"/>
  <c r="K49" i="10"/>
  <c r="L49" i="10"/>
  <c r="M49" i="10"/>
  <c r="N49" i="10"/>
  <c r="O49" i="10"/>
  <c r="P49" i="10"/>
  <c r="Q49" i="10"/>
  <c r="R49" i="10"/>
  <c r="J50" i="10"/>
  <c r="K50" i="10"/>
  <c r="L50" i="10"/>
  <c r="M50" i="10"/>
  <c r="N50" i="10"/>
  <c r="O50" i="10"/>
  <c r="P50" i="10"/>
  <c r="Q50" i="10"/>
  <c r="R50" i="10"/>
  <c r="J51" i="10"/>
  <c r="K51" i="10"/>
  <c r="L51" i="10"/>
  <c r="M51" i="10"/>
  <c r="N51" i="10"/>
  <c r="O51" i="10"/>
  <c r="P51" i="10"/>
  <c r="Q51" i="10"/>
  <c r="R51" i="10"/>
  <c r="J52" i="10"/>
  <c r="K52" i="10"/>
  <c r="L52" i="10"/>
  <c r="M52" i="10"/>
  <c r="N52" i="10"/>
  <c r="O52" i="10"/>
  <c r="P52" i="10"/>
  <c r="Q52" i="10"/>
  <c r="R52" i="10"/>
  <c r="J53" i="10"/>
  <c r="K53" i="10"/>
  <c r="L53" i="10"/>
  <c r="M53" i="10"/>
  <c r="N53" i="10"/>
  <c r="O53" i="10"/>
  <c r="P53" i="10"/>
  <c r="Q53" i="10"/>
  <c r="R53" i="10"/>
  <c r="J54" i="10"/>
  <c r="K54" i="10"/>
  <c r="L54" i="10"/>
  <c r="M54" i="10"/>
  <c r="N54" i="10"/>
  <c r="O54" i="10"/>
  <c r="P54" i="10"/>
  <c r="Q54" i="10"/>
  <c r="R54" i="10"/>
  <c r="I49" i="10"/>
  <c r="I50" i="10"/>
  <c r="I51" i="10"/>
  <c r="I52" i="10"/>
  <c r="I53" i="10"/>
  <c r="I54" i="10"/>
  <c r="I48" i="10"/>
  <c r="J40" i="10"/>
  <c r="K40" i="10"/>
  <c r="L40" i="10"/>
  <c r="M40" i="10"/>
  <c r="N40" i="10"/>
  <c r="O40" i="10"/>
  <c r="P40" i="10"/>
  <c r="Q40" i="10"/>
  <c r="R40" i="10"/>
  <c r="J41" i="10"/>
  <c r="K41" i="10"/>
  <c r="L41" i="10"/>
  <c r="M41" i="10"/>
  <c r="N41" i="10"/>
  <c r="O41" i="10"/>
  <c r="P41" i="10"/>
  <c r="Q41" i="10"/>
  <c r="R41" i="10"/>
  <c r="J42" i="10"/>
  <c r="K42" i="10"/>
  <c r="L42" i="10"/>
  <c r="M42" i="10"/>
  <c r="N42" i="10"/>
  <c r="O42" i="10"/>
  <c r="P42" i="10"/>
  <c r="Q42" i="10"/>
  <c r="R42" i="10"/>
  <c r="J43" i="10"/>
  <c r="K43" i="10"/>
  <c r="L43" i="10"/>
  <c r="M43" i="10"/>
  <c r="N43" i="10"/>
  <c r="O43" i="10"/>
  <c r="P43" i="10"/>
  <c r="Q43" i="10"/>
  <c r="R43" i="10"/>
  <c r="I41" i="10"/>
  <c r="I42" i="10"/>
  <c r="I43" i="10"/>
  <c r="I40" i="10"/>
  <c r="J29" i="10"/>
  <c r="K29" i="10"/>
  <c r="L29" i="10"/>
  <c r="M29" i="10"/>
  <c r="N29" i="10"/>
  <c r="O29" i="10"/>
  <c r="P29" i="10"/>
  <c r="Q29" i="10"/>
  <c r="R29" i="10"/>
  <c r="I29" i="10"/>
  <c r="J26" i="10"/>
  <c r="K26" i="10"/>
  <c r="L26" i="10"/>
  <c r="M26" i="10"/>
  <c r="N26" i="10"/>
  <c r="O26" i="10"/>
  <c r="P26" i="10"/>
  <c r="Q26" i="10"/>
  <c r="R26" i="10"/>
  <c r="I26" i="10"/>
  <c r="J17" i="10"/>
  <c r="K17" i="10"/>
  <c r="L17" i="10"/>
  <c r="M17" i="10"/>
  <c r="N17" i="10"/>
  <c r="O17" i="10"/>
  <c r="P17" i="10"/>
  <c r="Q17" i="10"/>
  <c r="R17" i="10"/>
  <c r="J18" i="10"/>
  <c r="K18" i="10"/>
  <c r="L18" i="10"/>
  <c r="M18" i="10"/>
  <c r="N18" i="10"/>
  <c r="O18" i="10"/>
  <c r="P18" i="10"/>
  <c r="Q18" i="10"/>
  <c r="R18" i="10"/>
  <c r="J19" i="10"/>
  <c r="K19" i="10"/>
  <c r="L19" i="10"/>
  <c r="M19" i="10"/>
  <c r="N19" i="10"/>
  <c r="O19" i="10"/>
  <c r="P19" i="10"/>
  <c r="Q19" i="10"/>
  <c r="R19" i="10"/>
  <c r="J20" i="10"/>
  <c r="K20" i="10"/>
  <c r="L20" i="10"/>
  <c r="M20" i="10"/>
  <c r="N20" i="10"/>
  <c r="O20" i="10"/>
  <c r="P20" i="10"/>
  <c r="Q20" i="10"/>
  <c r="R20" i="10"/>
  <c r="J21" i="10"/>
  <c r="K21" i="10"/>
  <c r="L21" i="10"/>
  <c r="M21" i="10"/>
  <c r="N21" i="10"/>
  <c r="O21" i="10"/>
  <c r="P21" i="10"/>
  <c r="Q21" i="10"/>
  <c r="R21" i="10"/>
  <c r="J22" i="10"/>
  <c r="K22" i="10"/>
  <c r="L22" i="10"/>
  <c r="M22" i="10"/>
  <c r="N22" i="10"/>
  <c r="O22" i="10"/>
  <c r="P22" i="10"/>
  <c r="Q22" i="10"/>
  <c r="R22" i="10"/>
  <c r="J23" i="10"/>
  <c r="K23" i="10"/>
  <c r="L23" i="10"/>
  <c r="M23" i="10"/>
  <c r="N23" i="10"/>
  <c r="O23" i="10"/>
  <c r="P23" i="10"/>
  <c r="Q23" i="10"/>
  <c r="R23" i="10"/>
  <c r="I18" i="10"/>
  <c r="I19" i="10"/>
  <c r="I20" i="10"/>
  <c r="I21" i="10"/>
  <c r="I22" i="10"/>
  <c r="I23" i="10"/>
  <c r="I17" i="10"/>
  <c r="G25" i="99" l="1"/>
  <c r="J18" i="5"/>
  <c r="C60" i="238" l="1"/>
  <c r="C46" i="238"/>
  <c r="D31" i="238"/>
  <c r="E31" i="238"/>
  <c r="F31" i="238"/>
  <c r="G31" i="238"/>
  <c r="H31" i="238"/>
  <c r="I31" i="238"/>
  <c r="J31" i="238"/>
  <c r="K31" i="238"/>
  <c r="L31" i="238"/>
  <c r="M31" i="238"/>
  <c r="N31" i="238"/>
  <c r="C31" i="238"/>
  <c r="D17" i="238"/>
  <c r="E17" i="238"/>
  <c r="F17" i="238"/>
  <c r="G17" i="238"/>
  <c r="H17" i="238"/>
  <c r="I17" i="238"/>
  <c r="J17" i="238"/>
  <c r="K17" i="238"/>
  <c r="L17" i="238"/>
  <c r="M17" i="238"/>
  <c r="N17" i="238"/>
  <c r="C17" i="238"/>
  <c r="M59" i="171" l="1"/>
  <c r="N59" i="171"/>
  <c r="L59" i="171"/>
  <c r="J59" i="171" l="1"/>
  <c r="K59" i="171"/>
  <c r="M30" i="171"/>
  <c r="N30" i="171"/>
  <c r="L30" i="171"/>
  <c r="J30" i="171" l="1"/>
  <c r="K30" i="171"/>
  <c r="J20" i="171"/>
  <c r="J52" i="171" s="1"/>
  <c r="K20" i="171"/>
  <c r="K52" i="171" s="1"/>
  <c r="J21" i="171"/>
  <c r="J39" i="171" s="1"/>
  <c r="K21" i="171"/>
  <c r="K39" i="171" s="1"/>
  <c r="J22" i="171"/>
  <c r="J67" i="171" s="1"/>
  <c r="K22" i="171"/>
  <c r="K67" i="171" s="1"/>
  <c r="E31" i="222" l="1"/>
  <c r="F31" i="222"/>
  <c r="G31" i="222"/>
  <c r="H31" i="222"/>
  <c r="I31" i="222"/>
  <c r="J31" i="222"/>
  <c r="K31" i="222"/>
  <c r="L31" i="222"/>
  <c r="M31" i="222"/>
  <c r="N31" i="222"/>
  <c r="O31" i="222"/>
  <c r="E32" i="222"/>
  <c r="F32" i="222"/>
  <c r="G32" i="222"/>
  <c r="H32" i="222"/>
  <c r="I32" i="222"/>
  <c r="J32" i="222"/>
  <c r="K32" i="222"/>
  <c r="L32" i="222"/>
  <c r="M32" i="222"/>
  <c r="N32" i="222"/>
  <c r="O32" i="222"/>
  <c r="E33" i="222"/>
  <c r="F33" i="222"/>
  <c r="G33" i="222"/>
  <c r="H33" i="222"/>
  <c r="I33" i="222"/>
  <c r="J33" i="222"/>
  <c r="K33" i="222"/>
  <c r="L33" i="222"/>
  <c r="M33" i="222"/>
  <c r="N33" i="222"/>
  <c r="O33" i="222"/>
  <c r="E34" i="222"/>
  <c r="F34" i="222"/>
  <c r="G34" i="222"/>
  <c r="H34" i="222"/>
  <c r="I34" i="222"/>
  <c r="J34" i="222"/>
  <c r="K34" i="222"/>
  <c r="L34" i="222"/>
  <c r="M34" i="222"/>
  <c r="N34" i="222"/>
  <c r="O34" i="222"/>
  <c r="E35" i="222"/>
  <c r="F35" i="222"/>
  <c r="G35" i="222"/>
  <c r="H35" i="222"/>
  <c r="I35" i="222"/>
  <c r="J35" i="222"/>
  <c r="K35" i="222"/>
  <c r="L35" i="222"/>
  <c r="M35" i="222"/>
  <c r="N35" i="222"/>
  <c r="O35" i="222"/>
  <c r="E36" i="222"/>
  <c r="F36" i="222"/>
  <c r="G36" i="222"/>
  <c r="H36" i="222"/>
  <c r="I36" i="222"/>
  <c r="J36" i="222"/>
  <c r="K36" i="222"/>
  <c r="L36" i="222"/>
  <c r="M36" i="222"/>
  <c r="N36" i="222"/>
  <c r="O36" i="222"/>
  <c r="E37" i="222"/>
  <c r="F37" i="222"/>
  <c r="G37" i="222"/>
  <c r="H37" i="222"/>
  <c r="I37" i="222"/>
  <c r="J37" i="222"/>
  <c r="K37" i="222"/>
  <c r="L37" i="222"/>
  <c r="M37" i="222"/>
  <c r="N37" i="222"/>
  <c r="O37" i="222"/>
  <c r="E38" i="222"/>
  <c r="F38" i="222"/>
  <c r="G38" i="222"/>
  <c r="H38" i="222"/>
  <c r="I38" i="222"/>
  <c r="J38" i="222"/>
  <c r="K38" i="222"/>
  <c r="L38" i="222"/>
  <c r="M38" i="222"/>
  <c r="N38" i="222"/>
  <c r="O38" i="222"/>
  <c r="E39" i="222"/>
  <c r="F39" i="222"/>
  <c r="G39" i="222"/>
  <c r="H39" i="222"/>
  <c r="I39" i="222"/>
  <c r="J39" i="222"/>
  <c r="K39" i="222"/>
  <c r="L39" i="222"/>
  <c r="M39" i="222"/>
  <c r="N39" i="222"/>
  <c r="O39" i="222"/>
  <c r="E40" i="222"/>
  <c r="F40" i="222"/>
  <c r="G40" i="222"/>
  <c r="H40" i="222"/>
  <c r="I40" i="222"/>
  <c r="J40" i="222"/>
  <c r="K40" i="222"/>
  <c r="L40" i="222"/>
  <c r="M40" i="222"/>
  <c r="N40" i="222"/>
  <c r="O40" i="222"/>
  <c r="E41" i="222"/>
  <c r="F41" i="222"/>
  <c r="G41" i="222"/>
  <c r="H41" i="222"/>
  <c r="I41" i="222"/>
  <c r="J41" i="222"/>
  <c r="K41" i="222"/>
  <c r="L41" i="222"/>
  <c r="M41" i="222"/>
  <c r="N41" i="222"/>
  <c r="O41" i="222"/>
  <c r="E42" i="222"/>
  <c r="F42" i="222"/>
  <c r="G42" i="222"/>
  <c r="H42" i="222"/>
  <c r="I42" i="222"/>
  <c r="J42" i="222"/>
  <c r="K42" i="222"/>
  <c r="L42" i="222"/>
  <c r="M42" i="222"/>
  <c r="N42" i="222"/>
  <c r="O42" i="222"/>
  <c r="E43" i="222"/>
  <c r="F43" i="222"/>
  <c r="G43" i="222"/>
  <c r="H43" i="222"/>
  <c r="I43" i="222"/>
  <c r="J43" i="222"/>
  <c r="K43" i="222"/>
  <c r="L43" i="222"/>
  <c r="M43" i="222"/>
  <c r="N43" i="222"/>
  <c r="O43" i="222"/>
  <c r="E44" i="222"/>
  <c r="F44" i="222"/>
  <c r="G44" i="222"/>
  <c r="H44" i="222"/>
  <c r="I44" i="222"/>
  <c r="J44" i="222"/>
  <c r="K44" i="222"/>
  <c r="L44" i="222"/>
  <c r="M44" i="222"/>
  <c r="N44" i="222"/>
  <c r="O44" i="222"/>
  <c r="E45" i="222"/>
  <c r="F45" i="222"/>
  <c r="G45" i="222"/>
  <c r="H45" i="222"/>
  <c r="I45" i="222"/>
  <c r="J45" i="222"/>
  <c r="K45" i="222"/>
  <c r="L45" i="222"/>
  <c r="M45" i="222"/>
  <c r="N45" i="222"/>
  <c r="O45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5" i="222"/>
  <c r="D31" i="222"/>
  <c r="K31" i="44"/>
  <c r="L31" i="44"/>
  <c r="M31" i="44"/>
  <c r="N31" i="44"/>
  <c r="O31" i="44"/>
  <c r="K32" i="44"/>
  <c r="L32" i="44"/>
  <c r="M32" i="44"/>
  <c r="N32" i="44"/>
  <c r="O32" i="44"/>
  <c r="K33" i="44"/>
  <c r="L33" i="44"/>
  <c r="M33" i="44"/>
  <c r="N33" i="44"/>
  <c r="O33" i="44"/>
  <c r="K34" i="44"/>
  <c r="L34" i="44"/>
  <c r="M34" i="44"/>
  <c r="N34" i="44"/>
  <c r="O34" i="44"/>
  <c r="K35" i="44"/>
  <c r="L35" i="44"/>
  <c r="M35" i="44"/>
  <c r="N35" i="44"/>
  <c r="O35" i="44"/>
  <c r="K36" i="44"/>
  <c r="L36" i="44"/>
  <c r="M36" i="44"/>
  <c r="N36" i="44"/>
  <c r="O36" i="44"/>
  <c r="K37" i="44"/>
  <c r="L37" i="44"/>
  <c r="M37" i="44"/>
  <c r="O37" i="44"/>
  <c r="K38" i="44"/>
  <c r="L38" i="44"/>
  <c r="M38" i="44"/>
  <c r="N38" i="44"/>
  <c r="O38" i="44"/>
  <c r="K39" i="44"/>
  <c r="L39" i="44"/>
  <c r="M39" i="44"/>
  <c r="N39" i="44"/>
  <c r="O39" i="44"/>
  <c r="K40" i="44"/>
  <c r="L40" i="44"/>
  <c r="M40" i="44"/>
  <c r="N40" i="44"/>
  <c r="O40" i="44"/>
  <c r="K41" i="44"/>
  <c r="L41" i="44"/>
  <c r="M41" i="44"/>
  <c r="N41" i="44"/>
  <c r="O41" i="44"/>
  <c r="K42" i="44"/>
  <c r="L42" i="44"/>
  <c r="M42" i="44"/>
  <c r="N42" i="44"/>
  <c r="O42" i="44"/>
  <c r="K43" i="44"/>
  <c r="L43" i="44"/>
  <c r="M43" i="44"/>
  <c r="N43" i="44"/>
  <c r="O43" i="44"/>
  <c r="K44" i="44"/>
  <c r="L44" i="44"/>
  <c r="M44" i="44"/>
  <c r="N44" i="44"/>
  <c r="O44" i="44"/>
  <c r="K45" i="44"/>
  <c r="L45" i="44"/>
  <c r="M45" i="44"/>
  <c r="N45" i="44"/>
  <c r="O45" i="44"/>
  <c r="J32" i="44"/>
  <c r="J33" i="44"/>
  <c r="J34" i="44"/>
  <c r="J35" i="44"/>
  <c r="J36" i="44"/>
  <c r="J37" i="44"/>
  <c r="J38" i="44"/>
  <c r="J39" i="44"/>
  <c r="J40" i="44"/>
  <c r="J41" i="44"/>
  <c r="J42" i="44"/>
  <c r="J43" i="44"/>
  <c r="J44" i="44"/>
  <c r="J45" i="44"/>
  <c r="J31" i="44"/>
  <c r="N34" i="214" l="1"/>
  <c r="O34" i="214"/>
  <c r="M34" i="214"/>
  <c r="D34" i="214"/>
  <c r="E34" i="214"/>
  <c r="F34" i="214"/>
  <c r="G34" i="214"/>
  <c r="H34" i="214"/>
  <c r="I34" i="214"/>
  <c r="J34" i="214"/>
  <c r="K34" i="214"/>
  <c r="L34" i="214"/>
  <c r="C34" i="214"/>
  <c r="O29" i="214" l="1"/>
  <c r="N29" i="214"/>
  <c r="M29" i="214"/>
  <c r="L29" i="214"/>
  <c r="K29" i="214"/>
  <c r="J29" i="214"/>
  <c r="I29" i="214"/>
  <c r="H29" i="214"/>
  <c r="G29" i="214"/>
  <c r="F29" i="214"/>
  <c r="E29" i="214"/>
  <c r="D29" i="214"/>
  <c r="C29" i="214"/>
  <c r="O28" i="214"/>
  <c r="N28" i="214"/>
  <c r="M28" i="214"/>
  <c r="L28" i="214"/>
  <c r="K28" i="214"/>
  <c r="J28" i="214"/>
  <c r="I28" i="214"/>
  <c r="H28" i="214"/>
  <c r="G28" i="214"/>
  <c r="F28" i="214"/>
  <c r="E28" i="214"/>
  <c r="D28" i="214"/>
  <c r="C28" i="214"/>
  <c r="O24" i="214"/>
  <c r="N24" i="214"/>
  <c r="M24" i="214"/>
  <c r="L24" i="214"/>
  <c r="K24" i="214"/>
  <c r="J24" i="214"/>
  <c r="I24" i="214"/>
  <c r="H24" i="214"/>
  <c r="G24" i="214"/>
  <c r="F24" i="214"/>
  <c r="E24" i="214"/>
  <c r="D24" i="214"/>
  <c r="C24" i="214"/>
  <c r="O23" i="214"/>
  <c r="N23" i="214"/>
  <c r="M23" i="214"/>
  <c r="L23" i="214"/>
  <c r="K23" i="214"/>
  <c r="J23" i="214"/>
  <c r="I23" i="214"/>
  <c r="H23" i="214"/>
  <c r="G23" i="214"/>
  <c r="F23" i="214"/>
  <c r="E23" i="214"/>
  <c r="D23" i="214"/>
  <c r="C23" i="214"/>
  <c r="O19" i="214"/>
  <c r="N19" i="214"/>
  <c r="M19" i="214"/>
  <c r="L19" i="214"/>
  <c r="K19" i="214"/>
  <c r="J19" i="214"/>
  <c r="I19" i="214"/>
  <c r="H19" i="214"/>
  <c r="G19" i="214"/>
  <c r="F19" i="214"/>
  <c r="E19" i="214"/>
  <c r="D19" i="214"/>
  <c r="C19" i="214"/>
  <c r="O18" i="214"/>
  <c r="N18" i="214"/>
  <c r="M18" i="214"/>
  <c r="L18" i="214"/>
  <c r="K18" i="214"/>
  <c r="J18" i="214"/>
  <c r="I18" i="214"/>
  <c r="H18" i="214"/>
  <c r="G18" i="214"/>
  <c r="F18" i="214"/>
  <c r="E18" i="214"/>
  <c r="D18" i="214"/>
  <c r="C18" i="214"/>
  <c r="O14" i="214"/>
  <c r="N14" i="214"/>
  <c r="M14" i="214"/>
  <c r="L14" i="214"/>
  <c r="K14" i="214"/>
  <c r="J14" i="214"/>
  <c r="I14" i="214"/>
  <c r="H14" i="214"/>
  <c r="G14" i="214"/>
  <c r="F14" i="214"/>
  <c r="E14" i="214"/>
  <c r="D14" i="214"/>
  <c r="C14" i="214"/>
  <c r="O13" i="214"/>
  <c r="N13" i="214"/>
  <c r="M13" i="214"/>
  <c r="L13" i="214"/>
  <c r="K13" i="214"/>
  <c r="J13" i="214"/>
  <c r="I13" i="214"/>
  <c r="H13" i="214"/>
  <c r="G13" i="214"/>
  <c r="F13" i="214"/>
  <c r="E13" i="214"/>
  <c r="D13" i="214"/>
  <c r="C13" i="214"/>
  <c r="O29" i="216"/>
  <c r="N29" i="216"/>
  <c r="M29" i="216"/>
  <c r="L29" i="216"/>
  <c r="K29" i="216"/>
  <c r="J29" i="216"/>
  <c r="I29" i="216"/>
  <c r="H29" i="216"/>
  <c r="G29" i="216"/>
  <c r="F29" i="216"/>
  <c r="E29" i="216"/>
  <c r="D29" i="216"/>
  <c r="C29" i="216"/>
  <c r="O28" i="216"/>
  <c r="N28" i="216"/>
  <c r="M28" i="216"/>
  <c r="L28" i="216"/>
  <c r="K28" i="216"/>
  <c r="J28" i="216"/>
  <c r="I28" i="216"/>
  <c r="H28" i="216"/>
  <c r="G28" i="216"/>
  <c r="F28" i="216"/>
  <c r="E28" i="216"/>
  <c r="D28" i="216"/>
  <c r="C28" i="216"/>
  <c r="O24" i="216"/>
  <c r="N24" i="216"/>
  <c r="M24" i="216"/>
  <c r="L24" i="216"/>
  <c r="K24" i="216"/>
  <c r="J24" i="216"/>
  <c r="I24" i="216"/>
  <c r="H24" i="216"/>
  <c r="G24" i="216"/>
  <c r="F24" i="216"/>
  <c r="E24" i="216"/>
  <c r="D24" i="216"/>
  <c r="C24" i="216"/>
  <c r="O23" i="216"/>
  <c r="N23" i="216"/>
  <c r="M23" i="216"/>
  <c r="L23" i="216"/>
  <c r="K23" i="216"/>
  <c r="J23" i="216"/>
  <c r="I23" i="216"/>
  <c r="H23" i="216"/>
  <c r="G23" i="216"/>
  <c r="F23" i="216"/>
  <c r="E23" i="216"/>
  <c r="D23" i="216"/>
  <c r="C23" i="216"/>
  <c r="O19" i="216"/>
  <c r="N19" i="216"/>
  <c r="M19" i="216"/>
  <c r="L19" i="216"/>
  <c r="K19" i="216"/>
  <c r="J19" i="216"/>
  <c r="I19" i="216"/>
  <c r="H19" i="216"/>
  <c r="G19" i="216"/>
  <c r="F19" i="216"/>
  <c r="E19" i="216"/>
  <c r="D19" i="216"/>
  <c r="C19" i="216"/>
  <c r="O18" i="216"/>
  <c r="N18" i="216"/>
  <c r="M18" i="216"/>
  <c r="L18" i="216"/>
  <c r="K18" i="216"/>
  <c r="J18" i="216"/>
  <c r="I18" i="216"/>
  <c r="H18" i="216"/>
  <c r="G18" i="216"/>
  <c r="F18" i="216"/>
  <c r="E18" i="216"/>
  <c r="D18" i="216"/>
  <c r="C18" i="216"/>
  <c r="O14" i="216"/>
  <c r="N14" i="216"/>
  <c r="M14" i="216"/>
  <c r="L14" i="216"/>
  <c r="K14" i="216"/>
  <c r="J14" i="216"/>
  <c r="I14" i="216"/>
  <c r="H14" i="216"/>
  <c r="G14" i="216"/>
  <c r="F14" i="216"/>
  <c r="E14" i="216"/>
  <c r="D14" i="216"/>
  <c r="C14" i="216"/>
  <c r="O13" i="216"/>
  <c r="N13" i="216"/>
  <c r="M13" i="216"/>
  <c r="L13" i="216"/>
  <c r="K13" i="216"/>
  <c r="J13" i="216"/>
  <c r="I13" i="216"/>
  <c r="H13" i="216"/>
  <c r="G13" i="216"/>
  <c r="F13" i="216"/>
  <c r="E13" i="216"/>
  <c r="D13" i="216"/>
  <c r="C13" i="216"/>
  <c r="G28" i="42" l="1"/>
  <c r="K19" i="39"/>
  <c r="J19" i="39"/>
  <c r="I19" i="39"/>
  <c r="H19" i="39"/>
  <c r="G19" i="39"/>
  <c r="K18" i="39"/>
  <c r="J18" i="39"/>
  <c r="I18" i="39"/>
  <c r="H18" i="39"/>
  <c r="G18" i="39"/>
  <c r="K17" i="39"/>
  <c r="J17" i="39"/>
  <c r="I17" i="39"/>
  <c r="H17" i="39"/>
  <c r="G17" i="39"/>
  <c r="K16" i="39"/>
  <c r="J16" i="39"/>
  <c r="I16" i="39"/>
  <c r="H16" i="39"/>
  <c r="G16" i="39"/>
  <c r="K19" i="41"/>
  <c r="J19" i="41"/>
  <c r="I19" i="41"/>
  <c r="H19" i="41"/>
  <c r="G19" i="41"/>
  <c r="K18" i="41"/>
  <c r="J18" i="41"/>
  <c r="I18" i="41"/>
  <c r="H18" i="41"/>
  <c r="G18" i="41"/>
  <c r="K17" i="41"/>
  <c r="J17" i="41"/>
  <c r="I17" i="41"/>
  <c r="H17" i="41"/>
  <c r="G17" i="41"/>
  <c r="K16" i="41"/>
  <c r="J16" i="41"/>
  <c r="I16" i="41"/>
  <c r="H16" i="41"/>
  <c r="G16" i="41"/>
  <c r="H43" i="42"/>
  <c r="G43" i="42"/>
  <c r="F43" i="42"/>
  <c r="E43" i="42"/>
  <c r="D43" i="42"/>
  <c r="H35" i="42"/>
  <c r="J35" i="42" s="1"/>
  <c r="L35" i="42" s="1"/>
  <c r="G35" i="42"/>
  <c r="F35" i="42"/>
  <c r="E35" i="42"/>
  <c r="D35" i="42"/>
  <c r="H34" i="42"/>
  <c r="G34" i="42"/>
  <c r="F34" i="42"/>
  <c r="E34" i="42"/>
  <c r="D34" i="42"/>
  <c r="D38" i="42" s="1"/>
  <c r="H28" i="42"/>
  <c r="F28" i="42"/>
  <c r="E28" i="42"/>
  <c r="D28" i="42"/>
  <c r="H27" i="42"/>
  <c r="G27" i="42"/>
  <c r="F27" i="42"/>
  <c r="E27" i="42"/>
  <c r="D27" i="42"/>
  <c r="H26" i="42"/>
  <c r="G26" i="42"/>
  <c r="F26" i="42"/>
  <c r="E26" i="42"/>
  <c r="D26" i="42"/>
  <c r="H25" i="42"/>
  <c r="G25" i="42"/>
  <c r="F25" i="42"/>
  <c r="E25" i="42"/>
  <c r="D25" i="42"/>
  <c r="H21" i="42"/>
  <c r="G21" i="42"/>
  <c r="F21" i="42"/>
  <c r="E21" i="42"/>
  <c r="D21" i="42"/>
  <c r="H18" i="42"/>
  <c r="G18" i="42"/>
  <c r="F18" i="42"/>
  <c r="E18" i="42"/>
  <c r="D18" i="42"/>
  <c r="H17" i="42"/>
  <c r="G17" i="42"/>
  <c r="F17" i="42"/>
  <c r="E17" i="42"/>
  <c r="D17" i="42"/>
  <c r="H16" i="42"/>
  <c r="G16" i="42"/>
  <c r="F16" i="42"/>
  <c r="E16" i="42"/>
  <c r="D16" i="42"/>
  <c r="E38" i="42" l="1"/>
  <c r="F38" i="42"/>
  <c r="J34" i="42"/>
  <c r="L34" i="42" s="1"/>
  <c r="H38" i="42"/>
  <c r="G38" i="42"/>
  <c r="I25" i="99"/>
  <c r="I25" i="8"/>
  <c r="G24" i="99" l="1"/>
  <c r="E24" i="99"/>
  <c r="E23" i="99"/>
  <c r="I24" i="99" l="1"/>
  <c r="E26" i="8"/>
  <c r="I24" i="8"/>
  <c r="E34" i="8" l="1"/>
  <c r="G21" i="4" s="1"/>
  <c r="H41" i="10" s="1"/>
  <c r="N60" i="171"/>
  <c r="M60" i="171"/>
  <c r="L60" i="171"/>
  <c r="K60" i="171"/>
  <c r="J60" i="171"/>
  <c r="I60" i="171"/>
  <c r="H60" i="171"/>
  <c r="G60" i="171"/>
  <c r="F60" i="171"/>
  <c r="E60" i="171"/>
  <c r="D60" i="171"/>
  <c r="C60" i="171"/>
  <c r="I59" i="171"/>
  <c r="H59" i="171"/>
  <c r="G59" i="171"/>
  <c r="F59" i="171"/>
  <c r="E59" i="171"/>
  <c r="D59" i="171"/>
  <c r="C59" i="171"/>
  <c r="N58" i="171"/>
  <c r="M58" i="171"/>
  <c r="L58" i="171"/>
  <c r="K58" i="171"/>
  <c r="J58" i="171"/>
  <c r="I58" i="171"/>
  <c r="H58" i="171"/>
  <c r="G58" i="171"/>
  <c r="F58" i="171"/>
  <c r="E58" i="171"/>
  <c r="D58" i="171"/>
  <c r="C58" i="171"/>
  <c r="H57" i="171"/>
  <c r="G57" i="171"/>
  <c r="F57" i="171"/>
  <c r="E57" i="171"/>
  <c r="D57" i="171"/>
  <c r="C57" i="171"/>
  <c r="H56" i="171"/>
  <c r="G56" i="171"/>
  <c r="F56" i="171"/>
  <c r="E56" i="171"/>
  <c r="D56" i="171"/>
  <c r="C56" i="171"/>
  <c r="H55" i="171"/>
  <c r="G55" i="171"/>
  <c r="F55" i="171"/>
  <c r="E55" i="171"/>
  <c r="D55" i="171"/>
  <c r="C55" i="171"/>
  <c r="I45" i="171"/>
  <c r="H45" i="171"/>
  <c r="G45" i="171"/>
  <c r="F45" i="171"/>
  <c r="E45" i="171"/>
  <c r="D45" i="171"/>
  <c r="C45" i="171"/>
  <c r="H44" i="171"/>
  <c r="G44" i="171"/>
  <c r="F44" i="171"/>
  <c r="E44" i="171"/>
  <c r="D44" i="171"/>
  <c r="C44" i="171"/>
  <c r="H43" i="171"/>
  <c r="G43" i="171"/>
  <c r="F43" i="171"/>
  <c r="E43" i="171"/>
  <c r="D43" i="171"/>
  <c r="C43" i="171"/>
  <c r="H42" i="171"/>
  <c r="G42" i="171"/>
  <c r="F42" i="171"/>
  <c r="E42" i="171"/>
  <c r="D42" i="171"/>
  <c r="C4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I30" i="171"/>
  <c r="H30" i="171"/>
  <c r="G30" i="171"/>
  <c r="F30" i="171"/>
  <c r="E30" i="171"/>
  <c r="D30" i="171"/>
  <c r="C30" i="171"/>
  <c r="H29" i="171"/>
  <c r="G29" i="171"/>
  <c r="F29" i="171"/>
  <c r="E29" i="171"/>
  <c r="D29" i="171"/>
  <c r="C29" i="171"/>
  <c r="H28" i="171"/>
  <c r="G28" i="171"/>
  <c r="F28" i="171"/>
  <c r="E28" i="171"/>
  <c r="D28" i="171"/>
  <c r="C28" i="171"/>
  <c r="H27" i="171"/>
  <c r="G27" i="171"/>
  <c r="F27" i="171"/>
  <c r="E27" i="171"/>
  <c r="D27" i="171"/>
  <c r="C27" i="171"/>
  <c r="H22" i="171"/>
  <c r="G22" i="171"/>
  <c r="F22" i="171"/>
  <c r="E22" i="171"/>
  <c r="D22" i="171"/>
  <c r="C22" i="171"/>
  <c r="H21" i="171"/>
  <c r="G21" i="171"/>
  <c r="F21" i="171"/>
  <c r="E21" i="171"/>
  <c r="D21" i="171"/>
  <c r="C21" i="171"/>
  <c r="H20" i="171"/>
  <c r="G20" i="171"/>
  <c r="F20" i="171"/>
  <c r="E20" i="171"/>
  <c r="D20" i="171"/>
  <c r="C20" i="171"/>
  <c r="N19" i="171"/>
  <c r="M19" i="171"/>
  <c r="L19" i="171"/>
  <c r="H19" i="171"/>
  <c r="G19" i="171"/>
  <c r="F19" i="171"/>
  <c r="E19" i="171"/>
  <c r="D19" i="171"/>
  <c r="C19" i="171"/>
  <c r="N18" i="171"/>
  <c r="M18" i="171"/>
  <c r="L18" i="171"/>
  <c r="H18" i="171"/>
  <c r="G18" i="171"/>
  <c r="F18" i="171"/>
  <c r="E18" i="171"/>
  <c r="D18" i="171"/>
  <c r="C18" i="171"/>
  <c r="N17" i="171"/>
  <c r="M17" i="171"/>
  <c r="L17" i="171"/>
  <c r="H17" i="171"/>
  <c r="G17" i="171"/>
  <c r="F17" i="171"/>
  <c r="E17" i="171"/>
  <c r="D17" i="171"/>
  <c r="C17" i="171"/>
  <c r="H16" i="171"/>
  <c r="G16" i="171"/>
  <c r="F16" i="171"/>
  <c r="E16" i="171"/>
  <c r="D16" i="171"/>
  <c r="C16" i="171"/>
  <c r="N15" i="171"/>
  <c r="M15" i="171"/>
  <c r="L15" i="171"/>
  <c r="H15" i="171"/>
  <c r="G15" i="171"/>
  <c r="F15" i="171"/>
  <c r="E15" i="171"/>
  <c r="D15" i="171"/>
  <c r="C15" i="171"/>
  <c r="N14" i="171"/>
  <c r="M14" i="171"/>
  <c r="L14" i="171"/>
  <c r="H14" i="171"/>
  <c r="G14" i="171"/>
  <c r="F14" i="171"/>
  <c r="E14" i="171"/>
  <c r="D14" i="171"/>
  <c r="C14" i="171"/>
  <c r="N13" i="171"/>
  <c r="M13" i="171"/>
  <c r="L13" i="171"/>
  <c r="H13" i="171"/>
  <c r="G13" i="171"/>
  <c r="F13" i="171"/>
  <c r="E13" i="171"/>
  <c r="D13" i="171"/>
  <c r="C13" i="171"/>
  <c r="N12" i="171"/>
  <c r="M12" i="171"/>
  <c r="L12" i="171"/>
  <c r="H12" i="171"/>
  <c r="G12" i="171"/>
  <c r="F12" i="171"/>
  <c r="E12" i="171"/>
  <c r="D12" i="171"/>
  <c r="C12" i="171"/>
  <c r="J15" i="171" l="1"/>
  <c r="K15" i="171"/>
  <c r="J17" i="171"/>
  <c r="K17" i="171"/>
  <c r="J18" i="171"/>
  <c r="K18" i="171"/>
  <c r="J19" i="171"/>
  <c r="K19" i="171"/>
  <c r="I19" i="171"/>
  <c r="I18" i="171"/>
  <c r="I17" i="171"/>
  <c r="I15" i="171"/>
  <c r="K12" i="171" l="1"/>
  <c r="I12" i="171"/>
  <c r="J12" i="171"/>
  <c r="K14" i="171"/>
  <c r="J14" i="171"/>
  <c r="I14" i="171"/>
  <c r="K13" i="171"/>
  <c r="I13" i="171"/>
  <c r="J13" i="171"/>
  <c r="I20" i="171" l="1"/>
  <c r="I21" i="171" l="1"/>
  <c r="I22" i="171" l="1"/>
  <c r="K46" i="35" l="1"/>
  <c r="I46" i="35"/>
  <c r="K39" i="35"/>
  <c r="I39" i="35"/>
  <c r="J36" i="35"/>
  <c r="J30" i="35"/>
  <c r="K28" i="35"/>
  <c r="I28" i="35"/>
  <c r="K26" i="35"/>
  <c r="K32" i="35" s="1"/>
  <c r="I26" i="35"/>
  <c r="I32" i="35" s="1"/>
  <c r="K21" i="35"/>
  <c r="I21" i="35"/>
  <c r="K19" i="35"/>
  <c r="I19" i="35"/>
  <c r="G46" i="35"/>
  <c r="G39" i="35"/>
  <c r="G28" i="35"/>
  <c r="G26" i="35"/>
  <c r="G32" i="35" s="1"/>
  <c r="G21" i="35"/>
  <c r="G19" i="35"/>
  <c r="D50" i="35"/>
  <c r="D49" i="35"/>
  <c r="E46" i="35"/>
  <c r="C46" i="35"/>
  <c r="D43" i="35"/>
  <c r="D42" i="35"/>
  <c r="E39" i="35"/>
  <c r="C39" i="35"/>
  <c r="D36" i="35"/>
  <c r="D35" i="35"/>
  <c r="D30" i="35"/>
  <c r="E28" i="35"/>
  <c r="C28" i="35"/>
  <c r="E26" i="35"/>
  <c r="E32" i="35" s="1"/>
  <c r="C26" i="35"/>
  <c r="D25" i="35"/>
  <c r="D24" i="35"/>
  <c r="E21" i="35"/>
  <c r="C21" i="35"/>
  <c r="E19" i="35"/>
  <c r="C19" i="35"/>
  <c r="D18" i="35"/>
  <c r="D17" i="35"/>
  <c r="D19" i="35" l="1"/>
  <c r="D26" i="35"/>
  <c r="J26" i="35"/>
  <c r="C32" i="35"/>
  <c r="P22" i="241" l="1"/>
  <c r="O22" i="241"/>
  <c r="N22" i="241"/>
  <c r="M22" i="241"/>
  <c r="L22" i="241"/>
  <c r="K22" i="241"/>
  <c r="J22" i="241"/>
  <c r="I22" i="241"/>
  <c r="H22" i="241"/>
  <c r="G22" i="241"/>
  <c r="F22" i="241"/>
  <c r="E22" i="241"/>
  <c r="D22" i="241"/>
  <c r="P13" i="242"/>
  <c r="O13" i="242"/>
  <c r="N13" i="242"/>
  <c r="M13" i="242"/>
  <c r="L13" i="242"/>
  <c r="K13" i="242"/>
  <c r="J13" i="242"/>
  <c r="I13" i="242"/>
  <c r="H13" i="242"/>
  <c r="G13" i="242"/>
  <c r="F13" i="242"/>
  <c r="E13" i="242"/>
  <c r="D13" i="242"/>
  <c r="P13" i="241"/>
  <c r="O13" i="241"/>
  <c r="N13" i="241"/>
  <c r="M13" i="241"/>
  <c r="L13" i="241"/>
  <c r="K13" i="241"/>
  <c r="J13" i="241"/>
  <c r="I13" i="241"/>
  <c r="H13" i="241"/>
  <c r="G13" i="241"/>
  <c r="F13" i="241"/>
  <c r="E13" i="241"/>
  <c r="D13" i="241"/>
  <c r="E162" i="237"/>
  <c r="E161" i="237"/>
  <c r="E159" i="237"/>
  <c r="E102" i="237"/>
  <c r="E101" i="237"/>
  <c r="E100" i="237"/>
  <c r="E99" i="237"/>
  <c r="E98" i="237"/>
  <c r="G219" i="237" l="1"/>
  <c r="G220" i="237"/>
  <c r="G218" i="237"/>
  <c r="H221" i="209"/>
  <c r="H222" i="209"/>
  <c r="H220" i="209"/>
  <c r="H219" i="236"/>
  <c r="H220" i="236"/>
  <c r="H218" i="236"/>
  <c r="H219" i="207"/>
  <c r="H220" i="207"/>
  <c r="H218" i="207"/>
  <c r="D261" i="213"/>
  <c r="K261" i="213"/>
  <c r="K224" i="213"/>
  <c r="H219" i="213"/>
  <c r="H220" i="213"/>
  <c r="H218" i="213"/>
  <c r="E20" i="212" l="1"/>
  <c r="E22" i="212" l="1"/>
  <c r="H186" i="207" s="1"/>
  <c r="H187" i="207" s="1"/>
  <c r="G199" i="237" l="1"/>
  <c r="H187" i="236"/>
  <c r="H189" i="209"/>
  <c r="H218" i="209"/>
  <c r="M218" i="209" s="1"/>
  <c r="G213" i="237"/>
  <c r="H192" i="207"/>
  <c r="H214" i="209"/>
  <c r="M214" i="209" s="1"/>
  <c r="H194" i="209"/>
  <c r="M194" i="209" s="1"/>
  <c r="M222" i="209"/>
  <c r="I22" i="212"/>
  <c r="G217" i="237"/>
  <c r="G212" i="237"/>
  <c r="G192" i="237"/>
  <c r="H216" i="209"/>
  <c r="H201" i="209"/>
  <c r="M201" i="209" s="1"/>
  <c r="H188" i="209"/>
  <c r="M188" i="209" s="1"/>
  <c r="H186" i="236"/>
  <c r="H186" i="213"/>
  <c r="G216" i="237"/>
  <c r="G201" i="237"/>
  <c r="G187" i="237"/>
  <c r="M220" i="209"/>
  <c r="H215" i="209"/>
  <c r="M215" i="209" s="1"/>
  <c r="H198" i="209"/>
  <c r="M198" i="209" s="1"/>
  <c r="G214" i="237"/>
  <c r="G186" i="237"/>
  <c r="H219" i="209"/>
  <c r="M219" i="209" s="1"/>
  <c r="H203" i="209"/>
  <c r="M203" i="209" s="1"/>
  <c r="G196" i="237"/>
  <c r="F160" i="237"/>
  <c r="F161" i="237"/>
  <c r="F162" i="237"/>
  <c r="F163" i="237"/>
  <c r="F164" i="237"/>
  <c r="F165" i="237"/>
  <c r="L231" i="209"/>
  <c r="L234" i="209"/>
  <c r="L239" i="209"/>
  <c r="L240" i="209"/>
  <c r="L241" i="209"/>
  <c r="L242" i="209"/>
  <c r="L244" i="209"/>
  <c r="L246" i="209"/>
  <c r="L254" i="209"/>
  <c r="L255" i="209"/>
  <c r="L256" i="209"/>
  <c r="L257" i="209"/>
  <c r="L186" i="209"/>
  <c r="L188" i="209"/>
  <c r="L189" i="209"/>
  <c r="M189" i="209"/>
  <c r="L193" i="209"/>
  <c r="L194" i="209"/>
  <c r="L198" i="209"/>
  <c r="L201" i="209"/>
  <c r="L203" i="209"/>
  <c r="L214" i="209"/>
  <c r="L215" i="209"/>
  <c r="L216" i="209"/>
  <c r="M216" i="209"/>
  <c r="L218" i="209"/>
  <c r="L219" i="209"/>
  <c r="L220" i="209"/>
  <c r="L221" i="209"/>
  <c r="M221" i="209"/>
  <c r="L222" i="209"/>
  <c r="G160" i="209"/>
  <c r="L160" i="209" s="1"/>
  <c r="G161" i="209"/>
  <c r="L161" i="209" s="1"/>
  <c r="G162" i="209"/>
  <c r="L162" i="209" s="1"/>
  <c r="G163" i="209"/>
  <c r="L163" i="209" s="1"/>
  <c r="G164" i="209"/>
  <c r="L164" i="209" s="1"/>
  <c r="G165" i="209"/>
  <c r="L165" i="209" s="1"/>
  <c r="L232" i="236"/>
  <c r="L237" i="236"/>
  <c r="L238" i="236"/>
  <c r="L239" i="236"/>
  <c r="L240" i="236"/>
  <c r="L242" i="236"/>
  <c r="L244" i="236"/>
  <c r="L252" i="236"/>
  <c r="L253" i="236"/>
  <c r="L254" i="236"/>
  <c r="L255" i="236"/>
  <c r="G191" i="236"/>
  <c r="M186" i="213" l="1"/>
  <c r="H187" i="213"/>
  <c r="H213" i="236"/>
  <c r="M213" i="236" s="1"/>
  <c r="H212" i="236"/>
  <c r="M212" i="236" s="1"/>
  <c r="H214" i="236"/>
  <c r="H213" i="207"/>
  <c r="M213" i="207" s="1"/>
  <c r="H199" i="207"/>
  <c r="M199" i="207" s="1"/>
  <c r="H214" i="207"/>
  <c r="H196" i="207"/>
  <c r="M196" i="207" s="1"/>
  <c r="M192" i="207"/>
  <c r="H212" i="207"/>
  <c r="M212" i="207" s="1"/>
  <c r="H201" i="207"/>
  <c r="M201" i="207" s="1"/>
  <c r="H199" i="236"/>
  <c r="H201" i="236" s="1"/>
  <c r="M201" i="236" s="1"/>
  <c r="H196" i="236"/>
  <c r="H192" i="236"/>
  <c r="L184" i="236"/>
  <c r="L186" i="236"/>
  <c r="M186" i="236"/>
  <c r="L187" i="236"/>
  <c r="M187" i="236"/>
  <c r="L191" i="236"/>
  <c r="L192" i="236"/>
  <c r="M192" i="236"/>
  <c r="L196" i="236"/>
  <c r="M196" i="236"/>
  <c r="L199" i="236"/>
  <c r="L201" i="236"/>
  <c r="L203" i="236"/>
  <c r="L212" i="236"/>
  <c r="L213" i="236"/>
  <c r="L214" i="236"/>
  <c r="M214" i="236"/>
  <c r="L216" i="236"/>
  <c r="L217" i="236"/>
  <c r="L218" i="236"/>
  <c r="L219" i="236"/>
  <c r="L220" i="236"/>
  <c r="L245" i="213"/>
  <c r="L241" i="213"/>
  <c r="L240" i="213"/>
  <c r="L239" i="213"/>
  <c r="L238" i="213"/>
  <c r="L256" i="213"/>
  <c r="L241" i="207"/>
  <c r="L240" i="207"/>
  <c r="L239" i="207"/>
  <c r="L238" i="207"/>
  <c r="L245" i="207"/>
  <c r="L256" i="207"/>
  <c r="G186" i="207"/>
  <c r="L186" i="207" s="1"/>
  <c r="M199" i="236" l="1"/>
  <c r="M218" i="236"/>
  <c r="H217" i="236"/>
  <c r="M217" i="236" s="1"/>
  <c r="M219" i="236"/>
  <c r="H216" i="236"/>
  <c r="M216" i="236" s="1"/>
  <c r="M220" i="236"/>
  <c r="M187" i="213"/>
  <c r="H192" i="213"/>
  <c r="M218" i="207"/>
  <c r="M214" i="207"/>
  <c r="M219" i="207"/>
  <c r="H216" i="207"/>
  <c r="M216" i="207" s="1"/>
  <c r="H217" i="207"/>
  <c r="M217" i="207" s="1"/>
  <c r="M220" i="207"/>
  <c r="E21" i="212"/>
  <c r="M192" i="213" l="1"/>
  <c r="H196" i="213"/>
  <c r="H193" i="209"/>
  <c r="M193" i="209" s="1"/>
  <c r="H184" i="236"/>
  <c r="G255" i="237"/>
  <c r="G239" i="237"/>
  <c r="H255" i="209"/>
  <c r="M255" i="209" s="1"/>
  <c r="H242" i="209"/>
  <c r="M242" i="209" s="1"/>
  <c r="H234" i="209"/>
  <c r="M234" i="209" s="1"/>
  <c r="G232" i="237"/>
  <c r="H244" i="209"/>
  <c r="M244" i="209" s="1"/>
  <c r="G252" i="237"/>
  <c r="G244" i="237"/>
  <c r="G238" i="237"/>
  <c r="H254" i="209"/>
  <c r="M254" i="209" s="1"/>
  <c r="H241" i="209"/>
  <c r="M241" i="209" s="1"/>
  <c r="G240" i="237"/>
  <c r="H239" i="209"/>
  <c r="M239" i="209" s="1"/>
  <c r="G253" i="237"/>
  <c r="G242" i="237"/>
  <c r="G237" i="237"/>
  <c r="H257" i="209"/>
  <c r="M257" i="209" s="1"/>
  <c r="H246" i="209"/>
  <c r="M246" i="209" s="1"/>
  <c r="H240" i="209"/>
  <c r="M240" i="209" s="1"/>
  <c r="G254" i="237"/>
  <c r="H256" i="209"/>
  <c r="M256" i="209" s="1"/>
  <c r="H256" i="213"/>
  <c r="M256" i="213" s="1"/>
  <c r="H239" i="213"/>
  <c r="M239" i="213" s="1"/>
  <c r="H245" i="213"/>
  <c r="M245" i="213" s="1"/>
  <c r="H238" i="213"/>
  <c r="M238" i="213" s="1"/>
  <c r="H240" i="213"/>
  <c r="M240" i="213" s="1"/>
  <c r="H241" i="213"/>
  <c r="M241" i="213" s="1"/>
  <c r="H17" i="212"/>
  <c r="L65" i="171" s="1"/>
  <c r="D17" i="212"/>
  <c r="H15" i="212"/>
  <c r="G15" i="212"/>
  <c r="H14" i="212"/>
  <c r="L37" i="171" s="1"/>
  <c r="G14" i="212"/>
  <c r="L36" i="171" s="1"/>
  <c r="D15" i="212"/>
  <c r="L50" i="171" s="1"/>
  <c r="D14" i="212"/>
  <c r="C15" i="212"/>
  <c r="L49" i="171" s="1"/>
  <c r="C14" i="212"/>
  <c r="H199" i="213" l="1"/>
  <c r="M196" i="213"/>
  <c r="H253" i="209"/>
  <c r="M253" i="209" s="1"/>
  <c r="H251" i="209"/>
  <c r="M251" i="209" s="1"/>
  <c r="H249" i="209"/>
  <c r="M249" i="209" s="1"/>
  <c r="H247" i="209"/>
  <c r="M247" i="209" s="1"/>
  <c r="H243" i="209"/>
  <c r="M243" i="209" s="1"/>
  <c r="H237" i="209"/>
  <c r="M237" i="209" s="1"/>
  <c r="H235" i="209"/>
  <c r="M235" i="209" s="1"/>
  <c r="H232" i="209"/>
  <c r="M232" i="209" s="1"/>
  <c r="H248" i="209"/>
  <c r="M248" i="209" s="1"/>
  <c r="H236" i="209"/>
  <c r="M236" i="209" s="1"/>
  <c r="G256" i="237"/>
  <c r="G250" i="237"/>
  <c r="G248" i="237"/>
  <c r="G246" i="237"/>
  <c r="G243" i="237"/>
  <c r="G236" i="237"/>
  <c r="G234" i="237"/>
  <c r="G231" i="237"/>
  <c r="H245" i="209"/>
  <c r="M245" i="209" s="1"/>
  <c r="H252" i="209"/>
  <c r="M252" i="209" s="1"/>
  <c r="G251" i="237"/>
  <c r="G249" i="237"/>
  <c r="G247" i="237"/>
  <c r="G245" i="237"/>
  <c r="G241" i="237"/>
  <c r="G235" i="237"/>
  <c r="G233" i="237"/>
  <c r="G230" i="237"/>
  <c r="H258" i="209"/>
  <c r="M258" i="209" s="1"/>
  <c r="H250" i="209"/>
  <c r="M250" i="209" s="1"/>
  <c r="H238" i="209"/>
  <c r="M238" i="209" s="1"/>
  <c r="H233" i="209"/>
  <c r="M233" i="209" s="1"/>
  <c r="M236" i="213"/>
  <c r="H257" i="213"/>
  <c r="H235" i="213"/>
  <c r="M257" i="213"/>
  <c r="M235" i="213"/>
  <c r="H236" i="213"/>
  <c r="F251" i="237"/>
  <c r="F249" i="237"/>
  <c r="F247" i="237"/>
  <c r="F245" i="237"/>
  <c r="F241" i="237"/>
  <c r="F235" i="237"/>
  <c r="F233" i="237"/>
  <c r="F230" i="237"/>
  <c r="G253" i="209"/>
  <c r="L253" i="209" s="1"/>
  <c r="G251" i="209"/>
  <c r="L251" i="209" s="1"/>
  <c r="G249" i="209"/>
  <c r="L249" i="209" s="1"/>
  <c r="G247" i="209"/>
  <c r="L247" i="209" s="1"/>
  <c r="G243" i="209"/>
  <c r="L243" i="209" s="1"/>
  <c r="G237" i="209"/>
  <c r="L237" i="209" s="1"/>
  <c r="G235" i="209"/>
  <c r="L235" i="209" s="1"/>
  <c r="G232" i="209"/>
  <c r="L232" i="209" s="1"/>
  <c r="F256" i="237"/>
  <c r="F250" i="237"/>
  <c r="F248" i="237"/>
  <c r="F246" i="237"/>
  <c r="F243" i="237"/>
  <c r="F236" i="237"/>
  <c r="F234" i="237"/>
  <c r="F231" i="237"/>
  <c r="G258" i="209"/>
  <c r="L258" i="209" s="1"/>
  <c r="G252" i="209"/>
  <c r="L252" i="209" s="1"/>
  <c r="G250" i="209"/>
  <c r="L250" i="209" s="1"/>
  <c r="G248" i="209"/>
  <c r="L248" i="209" s="1"/>
  <c r="G245" i="209"/>
  <c r="L245" i="209" s="1"/>
  <c r="G238" i="209"/>
  <c r="L238" i="209" s="1"/>
  <c r="G236" i="209"/>
  <c r="L236" i="209" s="1"/>
  <c r="G233" i="209"/>
  <c r="L233" i="209" s="1"/>
  <c r="L257" i="213"/>
  <c r="L236" i="213"/>
  <c r="G257" i="213"/>
  <c r="G235" i="213"/>
  <c r="L235" i="213"/>
  <c r="G236" i="213"/>
  <c r="M184" i="236"/>
  <c r="H191" i="236"/>
  <c r="M191" i="236" s="1"/>
  <c r="M199" i="213" l="1"/>
  <c r="H201" i="213"/>
  <c r="F91" i="237"/>
  <c r="G91" i="237"/>
  <c r="F92" i="237"/>
  <c r="G92" i="237"/>
  <c r="F93" i="237"/>
  <c r="G93" i="237"/>
  <c r="F94" i="237"/>
  <c r="G94" i="237"/>
  <c r="F95" i="237"/>
  <c r="G95" i="237"/>
  <c r="E261" i="209"/>
  <c r="K259" i="209"/>
  <c r="D259" i="209"/>
  <c r="K93" i="209"/>
  <c r="L93" i="209"/>
  <c r="M93" i="209"/>
  <c r="L94" i="209"/>
  <c r="M94" i="209"/>
  <c r="L95" i="209"/>
  <c r="M95" i="209"/>
  <c r="L96" i="209"/>
  <c r="M96" i="209"/>
  <c r="L97" i="209"/>
  <c r="M97" i="209"/>
  <c r="L98" i="209"/>
  <c r="M98" i="209"/>
  <c r="L99" i="209"/>
  <c r="M99" i="209"/>
  <c r="G93" i="209"/>
  <c r="H93" i="209"/>
  <c r="G94" i="209"/>
  <c r="H94" i="209"/>
  <c r="G95" i="209"/>
  <c r="H95" i="209"/>
  <c r="G96" i="209"/>
  <c r="H96" i="209"/>
  <c r="G97" i="209"/>
  <c r="H97" i="209"/>
  <c r="K257" i="236"/>
  <c r="K93" i="236"/>
  <c r="D257" i="236"/>
  <c r="G185" i="236"/>
  <c r="H185" i="236"/>
  <c r="M185" i="236" s="1"/>
  <c r="G188" i="236"/>
  <c r="L188" i="236" s="1"/>
  <c r="H188" i="236"/>
  <c r="M188" i="236" s="1"/>
  <c r="G189" i="236"/>
  <c r="L189" i="236" s="1"/>
  <c r="H189" i="236"/>
  <c r="G190" i="236"/>
  <c r="L190" i="236" s="1"/>
  <c r="H190" i="236"/>
  <c r="M190" i="236" s="1"/>
  <c r="G193" i="236"/>
  <c r="L193" i="236" s="1"/>
  <c r="H193" i="236"/>
  <c r="M193" i="236" s="1"/>
  <c r="G194" i="236"/>
  <c r="L194" i="236" s="1"/>
  <c r="H194" i="236"/>
  <c r="M194" i="236" s="1"/>
  <c r="G195" i="236"/>
  <c r="L195" i="236" s="1"/>
  <c r="H195" i="236"/>
  <c r="M195" i="236" s="1"/>
  <c r="G197" i="236"/>
  <c r="L197" i="236" s="1"/>
  <c r="H197" i="236"/>
  <c r="M197" i="236" s="1"/>
  <c r="G198" i="236"/>
  <c r="L198" i="236" s="1"/>
  <c r="H198" i="236"/>
  <c r="M198" i="236" s="1"/>
  <c r="G156" i="236"/>
  <c r="L156" i="236" s="1"/>
  <c r="G157" i="236"/>
  <c r="L157" i="236" s="1"/>
  <c r="G158" i="236"/>
  <c r="L158" i="236" s="1"/>
  <c r="G159" i="236"/>
  <c r="L159" i="236" s="1"/>
  <c r="G160" i="236"/>
  <c r="L160" i="236" s="1"/>
  <c r="L103" i="236"/>
  <c r="M103" i="236"/>
  <c r="L104" i="236"/>
  <c r="M104" i="236"/>
  <c r="L105" i="236"/>
  <c r="M105" i="236"/>
  <c r="L106" i="236"/>
  <c r="M106" i="236"/>
  <c r="L107" i="236"/>
  <c r="M107" i="236"/>
  <c r="L108" i="236"/>
  <c r="M108" i="236"/>
  <c r="G103" i="236"/>
  <c r="H103" i="236"/>
  <c r="G104" i="236"/>
  <c r="H104" i="236"/>
  <c r="G105" i="236"/>
  <c r="H105" i="236"/>
  <c r="G106" i="236"/>
  <c r="H106" i="236"/>
  <c r="G107" i="236"/>
  <c r="H107" i="236"/>
  <c r="M218" i="213" l="1"/>
  <c r="H214" i="213"/>
  <c r="M214" i="213" s="1"/>
  <c r="H217" i="213"/>
  <c r="M217" i="213" s="1"/>
  <c r="H212" i="213"/>
  <c r="M212" i="213" s="1"/>
  <c r="H213" i="213"/>
  <c r="M213" i="213" s="1"/>
  <c r="M220" i="213"/>
  <c r="H216" i="213"/>
  <c r="M216" i="213" s="1"/>
  <c r="M219" i="213"/>
  <c r="M201" i="213"/>
  <c r="M189" i="236"/>
  <c r="L185" i="236"/>
  <c r="N93" i="209"/>
  <c r="E259" i="213"/>
  <c r="D224" i="213"/>
  <c r="F224" i="213" s="1"/>
  <c r="E222" i="213"/>
  <c r="K178" i="213"/>
  <c r="E222" i="207" l="1"/>
  <c r="K224" i="207"/>
  <c r="D178" i="213"/>
  <c r="G156" i="213"/>
  <c r="L156" i="213" s="1"/>
  <c r="G157" i="213"/>
  <c r="L157" i="213" s="1"/>
  <c r="G158" i="213"/>
  <c r="L158" i="213" s="1"/>
  <c r="G159" i="213"/>
  <c r="L159" i="213" s="1"/>
  <c r="G160" i="213"/>
  <c r="L160" i="213" s="1"/>
  <c r="G161" i="213"/>
  <c r="L161" i="213" s="1"/>
  <c r="G162" i="213"/>
  <c r="L162" i="213" s="1"/>
  <c r="G163" i="213"/>
  <c r="L163" i="213" s="1"/>
  <c r="G164" i="213"/>
  <c r="L164" i="213" s="1"/>
  <c r="G165" i="213"/>
  <c r="L165" i="213" s="1"/>
  <c r="G166" i="213"/>
  <c r="L166" i="213" s="1"/>
  <c r="K116" i="213"/>
  <c r="D116" i="213"/>
  <c r="L93" i="213"/>
  <c r="M93" i="213"/>
  <c r="L94" i="213"/>
  <c r="M94" i="213"/>
  <c r="L95" i="213"/>
  <c r="M95" i="213"/>
  <c r="L96" i="213"/>
  <c r="M96" i="213"/>
  <c r="L97" i="213"/>
  <c r="M97" i="213"/>
  <c r="L98" i="213"/>
  <c r="M98" i="213"/>
  <c r="L99" i="213"/>
  <c r="M99" i="213"/>
  <c r="L100" i="213"/>
  <c r="M100" i="213"/>
  <c r="L101" i="213"/>
  <c r="M101" i="213"/>
  <c r="L102" i="213"/>
  <c r="M102" i="213"/>
  <c r="L103" i="213"/>
  <c r="M103" i="213"/>
  <c r="L104" i="213"/>
  <c r="M104" i="213"/>
  <c r="L105" i="213"/>
  <c r="M105" i="213"/>
  <c r="L106" i="213"/>
  <c r="M106" i="213"/>
  <c r="L107" i="213"/>
  <c r="M107" i="213"/>
  <c r="L108" i="213"/>
  <c r="M108" i="213"/>
  <c r="L109" i="213"/>
  <c r="M109" i="213"/>
  <c r="G93" i="213"/>
  <c r="H93" i="213"/>
  <c r="G94" i="213"/>
  <c r="H94" i="213"/>
  <c r="G95" i="213"/>
  <c r="H95" i="213"/>
  <c r="G96" i="213"/>
  <c r="H96" i="213"/>
  <c r="G97" i="213"/>
  <c r="H97" i="213"/>
  <c r="G98" i="213"/>
  <c r="H98" i="213"/>
  <c r="G99" i="213"/>
  <c r="H99" i="213"/>
  <c r="G100" i="213"/>
  <c r="H100" i="213"/>
  <c r="G101" i="213"/>
  <c r="H101" i="213"/>
  <c r="G102" i="213"/>
  <c r="H102" i="213"/>
  <c r="G103" i="213"/>
  <c r="H103" i="213"/>
  <c r="G104" i="213"/>
  <c r="H104" i="213"/>
  <c r="G105" i="213"/>
  <c r="H105" i="213"/>
  <c r="G106" i="213"/>
  <c r="H106" i="213"/>
  <c r="K105" i="213"/>
  <c r="K106" i="213"/>
  <c r="K261" i="207"/>
  <c r="D261" i="207"/>
  <c r="F261" i="207" s="1"/>
  <c r="E259" i="207"/>
  <c r="D224" i="207"/>
  <c r="G156" i="207"/>
  <c r="G157" i="207"/>
  <c r="L157" i="207" s="1"/>
  <c r="G158" i="207"/>
  <c r="L158" i="207" s="1"/>
  <c r="G159" i="207"/>
  <c r="L159" i="207" s="1"/>
  <c r="G160" i="207"/>
  <c r="L160" i="207" s="1"/>
  <c r="G161" i="207"/>
  <c r="L161" i="207" s="1"/>
  <c r="G162" i="207"/>
  <c r="L162" i="207" s="1"/>
  <c r="G163" i="207"/>
  <c r="L163" i="207" s="1"/>
  <c r="G164" i="207"/>
  <c r="L164" i="207" s="1"/>
  <c r="G165" i="207"/>
  <c r="G166" i="207"/>
  <c r="L166" i="207" s="1"/>
  <c r="G167" i="207"/>
  <c r="L167" i="207" s="1"/>
  <c r="G168" i="207"/>
  <c r="L168" i="207" s="1"/>
  <c r="G169" i="207"/>
  <c r="G170" i="207"/>
  <c r="G171" i="207"/>
  <c r="G172" i="207"/>
  <c r="D116" i="207"/>
  <c r="F116" i="207" s="1"/>
  <c r="L92" i="207"/>
  <c r="M92" i="207"/>
  <c r="L93" i="207"/>
  <c r="M93" i="207"/>
  <c r="L94" i="207"/>
  <c r="M94" i="207"/>
  <c r="L95" i="207"/>
  <c r="M95" i="207"/>
  <c r="L96" i="207"/>
  <c r="M96" i="207"/>
  <c r="L97" i="207"/>
  <c r="M97" i="207"/>
  <c r="L98" i="207"/>
  <c r="M98" i="207"/>
  <c r="L99" i="207"/>
  <c r="M99" i="207"/>
  <c r="L100" i="207"/>
  <c r="M100" i="207"/>
  <c r="L101" i="207"/>
  <c r="M101" i="207"/>
  <c r="L102" i="207"/>
  <c r="M102" i="207"/>
  <c r="L103" i="207"/>
  <c r="M103" i="207"/>
  <c r="L104" i="207"/>
  <c r="M104" i="207"/>
  <c r="L105" i="207"/>
  <c r="M105" i="207"/>
  <c r="L106" i="207"/>
  <c r="M106" i="207"/>
  <c r="L107" i="207"/>
  <c r="M107" i="207"/>
  <c r="L108" i="207"/>
  <c r="M108" i="207"/>
  <c r="L109" i="207"/>
  <c r="M109" i="207"/>
  <c r="L110" i="207"/>
  <c r="M110" i="207"/>
  <c r="H92" i="207"/>
  <c r="H93" i="207"/>
  <c r="H94" i="207"/>
  <c r="H95" i="207"/>
  <c r="H96" i="207"/>
  <c r="H97" i="207"/>
  <c r="H98" i="207"/>
  <c r="H99" i="207"/>
  <c r="H100" i="207"/>
  <c r="H101" i="207"/>
  <c r="H102" i="207"/>
  <c r="H103" i="207"/>
  <c r="H104" i="207"/>
  <c r="H105" i="207"/>
  <c r="H106" i="207"/>
  <c r="H107" i="207"/>
  <c r="H108" i="207"/>
  <c r="G93" i="207"/>
  <c r="G94" i="207"/>
  <c r="G95" i="207"/>
  <c r="G96" i="207"/>
  <c r="G97" i="207"/>
  <c r="G98" i="207"/>
  <c r="G99" i="207"/>
  <c r="G100" i="207"/>
  <c r="G101" i="207"/>
  <c r="G102" i="207"/>
  <c r="G103" i="207"/>
  <c r="G104" i="207"/>
  <c r="G105" i="207"/>
  <c r="G106" i="207"/>
  <c r="G107" i="207"/>
  <c r="G108" i="207"/>
  <c r="G109" i="207"/>
  <c r="K105" i="207"/>
  <c r="K106" i="207"/>
  <c r="D265" i="213" l="1"/>
  <c r="N105" i="213"/>
  <c r="N106" i="213"/>
  <c r="L165" i="207"/>
  <c r="L156" i="207"/>
  <c r="N106" i="207"/>
  <c r="N105" i="207"/>
  <c r="K178" i="207" l="1"/>
  <c r="D178" i="207"/>
  <c r="D265" i="207" s="1"/>
  <c r="K116" i="207"/>
  <c r="K265" i="207" l="1"/>
  <c r="K26" i="95" l="1"/>
  <c r="I82" i="232" l="1"/>
  <c r="L51" i="232"/>
  <c r="J14" i="106" l="1"/>
  <c r="G23" i="4" l="1"/>
  <c r="K23" i="4" l="1"/>
  <c r="G25" i="4" l="1"/>
  <c r="H43" i="10" s="1"/>
  <c r="O17" i="238" l="1"/>
  <c r="O31" i="238"/>
  <c r="L19" i="34" l="1"/>
  <c r="L18" i="34"/>
  <c r="L23" i="34" l="1"/>
  <c r="L25" i="34"/>
  <c r="L92" i="222"/>
  <c r="H92" i="222"/>
  <c r="O92" i="222"/>
  <c r="K92" i="222"/>
  <c r="G92" i="222"/>
  <c r="N92" i="222"/>
  <c r="J92" i="222"/>
  <c r="F92" i="222"/>
  <c r="D92" i="222"/>
  <c r="M92" i="222"/>
  <c r="I92" i="222"/>
  <c r="E92" i="222"/>
  <c r="S26" i="39" l="1"/>
  <c r="S27" i="39"/>
  <c r="S28" i="39"/>
  <c r="S25" i="39"/>
  <c r="L112" i="209" l="1"/>
  <c r="M112" i="209"/>
  <c r="L113" i="209"/>
  <c r="M113" i="209"/>
  <c r="G112" i="209"/>
  <c r="H112" i="209"/>
  <c r="L112" i="236"/>
  <c r="M112" i="236"/>
  <c r="H112" i="236"/>
  <c r="G112" i="236"/>
  <c r="C83" i="248" l="1"/>
  <c r="G59" i="238" l="1"/>
  <c r="H59" i="238"/>
  <c r="I59" i="238"/>
  <c r="J59" i="238"/>
  <c r="K59" i="238"/>
  <c r="F59" i="238"/>
  <c r="G13" i="238"/>
  <c r="H13" i="238"/>
  <c r="I13" i="238"/>
  <c r="J13" i="238"/>
  <c r="K13" i="238"/>
  <c r="G14" i="238"/>
  <c r="H14" i="238"/>
  <c r="I14" i="238"/>
  <c r="J14" i="238"/>
  <c r="K14" i="238"/>
  <c r="G15" i="238"/>
  <c r="H15" i="238"/>
  <c r="I15" i="238"/>
  <c r="J15" i="238"/>
  <c r="K15" i="238"/>
  <c r="G16" i="238"/>
  <c r="H16" i="238"/>
  <c r="I16" i="238"/>
  <c r="J16" i="238"/>
  <c r="K16" i="238"/>
  <c r="G18" i="238"/>
  <c r="H18" i="238"/>
  <c r="I18" i="238"/>
  <c r="J18" i="238"/>
  <c r="K18" i="238"/>
  <c r="G19" i="238"/>
  <c r="H19" i="238"/>
  <c r="I19" i="238"/>
  <c r="J19" i="238"/>
  <c r="K19" i="238"/>
  <c r="F14" i="238"/>
  <c r="F15" i="238"/>
  <c r="F16" i="238"/>
  <c r="F18" i="238"/>
  <c r="F19" i="238"/>
  <c r="F13" i="238"/>
  <c r="L57" i="238" l="1"/>
  <c r="M57" i="238"/>
  <c r="N57" i="238"/>
  <c r="C57" i="238"/>
  <c r="D57" i="238"/>
  <c r="E57" i="238"/>
  <c r="L58" i="238"/>
  <c r="M58" i="238"/>
  <c r="N58" i="238"/>
  <c r="C58" i="238"/>
  <c r="D58" i="238"/>
  <c r="E58" i="238"/>
  <c r="L59" i="238"/>
  <c r="M59" i="238"/>
  <c r="N59" i="238"/>
  <c r="C59" i="238"/>
  <c r="D59" i="238"/>
  <c r="E59" i="238"/>
  <c r="M56" i="238"/>
  <c r="N56" i="238"/>
  <c r="C56" i="238"/>
  <c r="D56" i="238"/>
  <c r="E56" i="238"/>
  <c r="L56" i="238"/>
  <c r="L44" i="238"/>
  <c r="M44" i="238"/>
  <c r="N44" i="238"/>
  <c r="C44" i="238"/>
  <c r="D44" i="238"/>
  <c r="E44" i="238"/>
  <c r="L45" i="238"/>
  <c r="M45" i="238"/>
  <c r="N45" i="238"/>
  <c r="C45" i="238"/>
  <c r="D45" i="238"/>
  <c r="E45" i="238"/>
  <c r="E43" i="238"/>
  <c r="M43" i="238"/>
  <c r="N43" i="238"/>
  <c r="C43" i="238"/>
  <c r="D43" i="238"/>
  <c r="L43" i="238"/>
  <c r="D30" i="238"/>
  <c r="C29" i="238"/>
  <c r="D29" i="238"/>
  <c r="E29" i="238"/>
  <c r="C30" i="238"/>
  <c r="E30" i="238"/>
  <c r="M28" i="238"/>
  <c r="N28" i="238"/>
  <c r="C28" i="238"/>
  <c r="D28" i="238"/>
  <c r="E28" i="238"/>
  <c r="L28" i="238"/>
  <c r="L14" i="238"/>
  <c r="M14" i="238"/>
  <c r="N14" i="238"/>
  <c r="C14" i="238"/>
  <c r="D14" i="238"/>
  <c r="E14" i="238"/>
  <c r="L15" i="238"/>
  <c r="M15" i="238"/>
  <c r="N15" i="238"/>
  <c r="C15" i="238"/>
  <c r="D15" i="238"/>
  <c r="E15" i="238"/>
  <c r="L16" i="238"/>
  <c r="C16" i="238"/>
  <c r="D16" i="238"/>
  <c r="E16" i="238"/>
  <c r="L18" i="238"/>
  <c r="M18" i="238"/>
  <c r="N18" i="238"/>
  <c r="C18" i="238"/>
  <c r="D18" i="238"/>
  <c r="E18" i="238"/>
  <c r="L19" i="238"/>
  <c r="M19" i="238"/>
  <c r="N19" i="238"/>
  <c r="C19" i="238"/>
  <c r="D19" i="238"/>
  <c r="E19" i="238"/>
  <c r="M13" i="238"/>
  <c r="N13" i="238"/>
  <c r="C13" i="238"/>
  <c r="D13" i="238"/>
  <c r="E13" i="238"/>
  <c r="L13" i="238"/>
  <c r="P13" i="192" l="1"/>
  <c r="P13" i="190"/>
  <c r="P12" i="192" l="1"/>
  <c r="P12" i="190"/>
  <c r="P28" i="44" l="1"/>
  <c r="A13" i="228" l="1"/>
  <c r="A14" i="228" s="1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A43" i="228" s="1"/>
  <c r="A44" i="228" s="1"/>
  <c r="A45" i="228" s="1"/>
  <c r="A46" i="228" s="1"/>
  <c r="A47" i="228" s="1"/>
  <c r="A48" i="228" s="1"/>
  <c r="A49" i="228" s="1"/>
  <c r="A50" i="228" s="1"/>
  <c r="A51" i="228" s="1"/>
  <c r="A52" i="228" s="1"/>
  <c r="A53" i="228" s="1"/>
  <c r="A54" i="228" s="1"/>
  <c r="D29" i="45" l="1"/>
  <c r="K25" i="39"/>
  <c r="K26" i="39"/>
  <c r="K27" i="39"/>
  <c r="K28" i="39"/>
  <c r="J37" i="42"/>
  <c r="L37" i="42" s="1"/>
  <c r="O12" i="39"/>
  <c r="M12" i="39"/>
  <c r="O12" i="41"/>
  <c r="M12" i="41"/>
  <c r="K15" i="44" l="1"/>
  <c r="L15" i="44" s="1"/>
  <c r="M15" i="44" s="1"/>
  <c r="N15" i="44" s="1"/>
  <c r="O15" i="44" s="1"/>
  <c r="A15" i="192"/>
  <c r="A16" i="192" s="1"/>
  <c r="A17" i="192" s="1"/>
  <c r="A18" i="192" s="1"/>
  <c r="A19" i="192" s="1"/>
  <c r="A20" i="192" s="1"/>
  <c r="A21" i="192" s="1"/>
  <c r="A22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7" i="192" s="1"/>
  <c r="A38" i="192" s="1"/>
  <c r="A39" i="192" s="1"/>
  <c r="A40" i="192" s="1"/>
  <c r="A41" i="192" s="1"/>
  <c r="A42" i="192" s="1"/>
  <c r="A43" i="192" s="1"/>
  <c r="A44" i="192" s="1"/>
  <c r="A45" i="192" s="1"/>
  <c r="A46" i="192" s="1"/>
  <c r="A47" i="192" s="1"/>
  <c r="A48" i="192" s="1"/>
  <c r="A49" i="192" s="1"/>
  <c r="A50" i="192" s="1"/>
  <c r="A51" i="192" s="1"/>
  <c r="A52" i="192" s="1"/>
  <c r="A53" i="192" s="1"/>
  <c r="A54" i="192" s="1"/>
  <c r="A55" i="192" s="1"/>
  <c r="A56" i="192" s="1"/>
  <c r="D40" i="190"/>
  <c r="E40" i="190"/>
  <c r="F40" i="190"/>
  <c r="G40" i="190"/>
  <c r="H40" i="190"/>
  <c r="I40" i="190"/>
  <c r="E32" i="193"/>
  <c r="F32" i="193"/>
  <c r="G32" i="193"/>
  <c r="H32" i="193"/>
  <c r="I32" i="193"/>
  <c r="D32" i="193"/>
  <c r="P15" i="192" l="1"/>
  <c r="D30" i="193"/>
  <c r="J44" i="192" l="1"/>
  <c r="J52" i="192" s="1"/>
  <c r="P14" i="192"/>
  <c r="P18" i="42" l="1"/>
  <c r="O18" i="42"/>
  <c r="J22" i="193" l="1"/>
  <c r="P28" i="222"/>
  <c r="D25" i="79" s="1"/>
  <c r="A17" i="250" l="1"/>
  <c r="A19" i="250" s="1"/>
  <c r="A21" i="250" s="1"/>
  <c r="A23" i="250" s="1"/>
  <c r="A27" i="250" s="1"/>
  <c r="A28" i="250" s="1"/>
  <c r="A30" i="250" s="1"/>
  <c r="A31" i="250" s="1"/>
  <c r="A33" i="250" s="1"/>
  <c r="A34" i="250" s="1"/>
  <c r="A36" i="250" s="1"/>
  <c r="A37" i="250" s="1"/>
  <c r="A39" i="250" s="1"/>
  <c r="A41" i="250" s="1"/>
  <c r="F21" i="250"/>
  <c r="F8" i="250"/>
  <c r="A2" i="250"/>
  <c r="A1" i="250"/>
  <c r="A17" i="99" l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I28" i="99"/>
  <c r="G18" i="99"/>
  <c r="G19" i="99"/>
  <c r="G20" i="99"/>
  <c r="G22" i="99"/>
  <c r="G23" i="99"/>
  <c r="G17" i="99"/>
  <c r="G16" i="99"/>
  <c r="E16" i="99"/>
  <c r="E18" i="99"/>
  <c r="E19" i="99"/>
  <c r="E20" i="99"/>
  <c r="E21" i="99"/>
  <c r="E22" i="99"/>
  <c r="E17" i="99"/>
  <c r="C16" i="99"/>
  <c r="C18" i="99"/>
  <c r="C19" i="99"/>
  <c r="C20" i="99"/>
  <c r="C21" i="99"/>
  <c r="C22" i="99"/>
  <c r="C23" i="99"/>
  <c r="C17" i="99"/>
  <c r="A17" i="8"/>
  <c r="J18" i="98"/>
  <c r="E26" i="99" l="1"/>
  <c r="E34" i="99" s="1"/>
  <c r="P19" i="202" s="1"/>
  <c r="A18" i="8"/>
  <c r="A19" i="8" l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C61" i="238"/>
  <c r="D61" i="238" s="1"/>
  <c r="E61" i="238" s="1"/>
  <c r="F61" i="238" s="1"/>
  <c r="G61" i="238" s="1"/>
  <c r="H61" i="238" s="1"/>
  <c r="I61" i="238" s="1"/>
  <c r="J61" i="238" s="1"/>
  <c r="K61" i="238" s="1"/>
  <c r="L61" i="238" s="1"/>
  <c r="M61" i="238" s="1"/>
  <c r="N61" i="238" s="1"/>
  <c r="C33" i="238"/>
  <c r="D33" i="238" s="1"/>
  <c r="E33" i="238" s="1"/>
  <c r="F33" i="238" s="1"/>
  <c r="G33" i="238" s="1"/>
  <c r="H33" i="238" s="1"/>
  <c r="I33" i="238" s="1"/>
  <c r="J33" i="238" s="1"/>
  <c r="K33" i="238" s="1"/>
  <c r="L33" i="238" s="1"/>
  <c r="M33" i="238" s="1"/>
  <c r="N33" i="238" s="1"/>
  <c r="C32" i="238"/>
  <c r="D32" i="238" s="1"/>
  <c r="E32" i="238" s="1"/>
  <c r="F32" i="238" s="1"/>
  <c r="G32" i="238" s="1"/>
  <c r="H32" i="238" s="1"/>
  <c r="I32" i="238" s="1"/>
  <c r="J32" i="238" s="1"/>
  <c r="K32" i="238" s="1"/>
  <c r="L32" i="238" s="1"/>
  <c r="M32" i="238" s="1"/>
  <c r="N32" i="238" s="1"/>
  <c r="G39" i="103" l="1"/>
  <c r="G32" i="103"/>
  <c r="G25" i="103"/>
  <c r="G18" i="103"/>
  <c r="A16" i="10" l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I128" i="10"/>
  <c r="I124" i="10"/>
  <c r="I98" i="10"/>
  <c r="I55" i="10"/>
  <c r="I58" i="10" s="1"/>
  <c r="I60" i="10" s="1"/>
  <c r="I62" i="10" s="1"/>
  <c r="I45" i="10"/>
  <c r="I31" i="10"/>
  <c r="I25" i="10"/>
  <c r="I27" i="10" s="1"/>
  <c r="K33" i="39"/>
  <c r="K34" i="39"/>
  <c r="K35" i="39"/>
  <c r="K36" i="39"/>
  <c r="S30" i="39"/>
  <c r="S33" i="39"/>
  <c r="S34" i="39"/>
  <c r="S35" i="39"/>
  <c r="S36" i="39"/>
  <c r="S22" i="39"/>
  <c r="R9" i="39"/>
  <c r="K30" i="39"/>
  <c r="K22" i="39"/>
  <c r="K12" i="39"/>
  <c r="R12" i="41"/>
  <c r="S12" i="41"/>
  <c r="S12" i="39" s="1"/>
  <c r="S30" i="41"/>
  <c r="S33" i="41"/>
  <c r="S34" i="41"/>
  <c r="S35" i="41"/>
  <c r="S36" i="41"/>
  <c r="S22" i="41"/>
  <c r="K33" i="41"/>
  <c r="K34" i="41"/>
  <c r="K35" i="41"/>
  <c r="K36" i="41"/>
  <c r="K30" i="41"/>
  <c r="K22" i="41"/>
  <c r="G12" i="41"/>
  <c r="I12" i="41"/>
  <c r="J12" i="41"/>
  <c r="K12" i="41"/>
  <c r="H12" i="41"/>
  <c r="O29" i="42"/>
  <c r="H29" i="42"/>
  <c r="H19" i="42"/>
  <c r="H22" i="42" s="1"/>
  <c r="I33" i="10" l="1"/>
  <c r="I66" i="10"/>
  <c r="I64" i="10"/>
  <c r="O22" i="42"/>
  <c r="O31" i="42" s="1"/>
  <c r="O42" i="42" s="1"/>
  <c r="H31" i="42"/>
  <c r="H42" i="42" s="1"/>
  <c r="H45" i="42" s="1"/>
  <c r="L9" i="5" l="1"/>
  <c r="D45" i="233" l="1"/>
  <c r="E45" i="233" l="1"/>
  <c r="C25" i="216" l="1"/>
  <c r="C20" i="216"/>
  <c r="C15" i="216"/>
  <c r="E19" i="250" l="1"/>
  <c r="E33" i="250" l="1"/>
  <c r="E34" i="250" l="1"/>
  <c r="O8" i="238" l="1"/>
  <c r="P22" i="44" l="1"/>
  <c r="D20" i="45" l="1"/>
  <c r="F38" i="190" l="1"/>
  <c r="A15" i="190" l="1"/>
  <c r="A17" i="190" s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Q22" i="241" l="1"/>
  <c r="G113" i="236" l="1"/>
  <c r="H113" i="236"/>
  <c r="L113" i="236"/>
  <c r="M113" i="236"/>
  <c r="P24" i="44" l="1"/>
  <c r="P21" i="44"/>
  <c r="P18" i="44"/>
  <c r="D19" i="45" l="1"/>
  <c r="D16" i="45"/>
  <c r="D22" i="45"/>
  <c r="L9" i="98"/>
  <c r="V10" i="202"/>
  <c r="S8" i="9"/>
  <c r="Q12" i="41" l="1"/>
  <c r="A2" i="84" l="1"/>
  <c r="A16" i="5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8" i="51" s="1"/>
  <c r="A49" i="51" s="1"/>
  <c r="A50" i="51" s="1"/>
  <c r="A51" i="51" s="1"/>
  <c r="A13" i="50" l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M64" i="171" l="1"/>
  <c r="N64" i="171" s="1"/>
  <c r="M9" i="95" l="1"/>
  <c r="N18" i="42" l="1"/>
  <c r="M36" i="171" l="1"/>
  <c r="N36" i="171" s="1"/>
  <c r="M65" i="171"/>
  <c r="N65" i="171" s="1"/>
  <c r="M37" i="171"/>
  <c r="N37" i="171" s="1"/>
  <c r="M50" i="171"/>
  <c r="N50" i="171" s="1"/>
  <c r="M49" i="171"/>
  <c r="N49" i="171" s="1"/>
  <c r="F19" i="243" l="1"/>
  <c r="F30" i="231"/>
  <c r="E20" i="30"/>
  <c r="F39" i="231"/>
  <c r="P39" i="231" s="1"/>
  <c r="E18" i="30"/>
  <c r="F22" i="243"/>
  <c r="E16" i="243"/>
  <c r="E22" i="231"/>
  <c r="F22" i="231"/>
  <c r="F16" i="243"/>
  <c r="E19" i="30"/>
  <c r="E19" i="243"/>
  <c r="E30" i="231"/>
  <c r="E14" i="212"/>
  <c r="E15" i="212"/>
  <c r="E17" i="212"/>
  <c r="P30" i="231" l="1"/>
  <c r="P22" i="231"/>
  <c r="G113" i="209"/>
  <c r="H113" i="209"/>
  <c r="G20" i="249" l="1"/>
  <c r="G9" i="249" l="1"/>
  <c r="A2" i="249"/>
  <c r="A1" i="249"/>
  <c r="F111" i="237" l="1"/>
  <c r="G111" i="237"/>
  <c r="A15" i="106" l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F35" i="107"/>
  <c r="F22" i="107"/>
  <c r="F75" i="248"/>
  <c r="D18" i="102" l="1"/>
  <c r="I9" i="171" l="1"/>
  <c r="O45" i="10" l="1"/>
  <c r="R12" i="39" l="1"/>
  <c r="Q12" i="39"/>
  <c r="G12" i="39"/>
  <c r="H12" i="39"/>
  <c r="I12" i="39"/>
  <c r="J12" i="39"/>
  <c r="G25" i="39" l="1"/>
  <c r="H25" i="39"/>
  <c r="I25" i="39"/>
  <c r="G26" i="39"/>
  <c r="H26" i="39"/>
  <c r="I26" i="39"/>
  <c r="G27" i="39"/>
  <c r="H27" i="39"/>
  <c r="I27" i="39"/>
  <c r="G28" i="39"/>
  <c r="H28" i="39"/>
  <c r="I28" i="39"/>
  <c r="J28" i="39"/>
  <c r="J27" i="39"/>
  <c r="J26" i="39"/>
  <c r="J25" i="39"/>
  <c r="H17" i="102" l="1"/>
  <c r="A16" i="102"/>
  <c r="A17" i="102" s="1"/>
  <c r="A18" i="102" s="1"/>
  <c r="A19" i="102" s="1"/>
  <c r="A20" i="102" s="1"/>
  <c r="A21" i="102" s="1"/>
  <c r="A22" i="102" l="1"/>
  <c r="A23" i="102" l="1"/>
  <c r="A24" i="102" s="1"/>
  <c r="A25" i="102" s="1"/>
  <c r="A26" i="102" s="1"/>
  <c r="A27" i="102" s="1"/>
  <c r="A28" i="102" l="1"/>
  <c r="A29" i="102" s="1"/>
  <c r="A30" i="102" s="1"/>
  <c r="A31" i="102" s="1"/>
  <c r="A32" i="102" s="1"/>
  <c r="A33" i="102" s="1"/>
  <c r="A34" i="102" s="1"/>
  <c r="E10" i="192" l="1"/>
  <c r="D10" i="227" l="1"/>
  <c r="A52" i="51" l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l="1"/>
  <c r="A65" i="51" s="1"/>
  <c r="A66" i="51" s="1"/>
  <c r="A67" i="51" s="1"/>
  <c r="A68" i="51" s="1"/>
  <c r="A13" i="227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13" i="226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69" i="51" l="1"/>
  <c r="A13" i="193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70" i="51" l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9" i="51" s="1"/>
  <c r="A100" i="51" s="1"/>
  <c r="A101" i="51" s="1"/>
  <c r="A102" i="51" s="1"/>
  <c r="A103" i="51" s="1"/>
  <c r="A104" i="51" s="1"/>
  <c r="A105" i="51" s="1"/>
  <c r="A106" i="51" s="1"/>
  <c r="A107" i="51" s="1"/>
  <c r="A108" i="51" s="1"/>
  <c r="A109" i="51" s="1"/>
  <c r="A110" i="51" s="1"/>
  <c r="A111" i="51" s="1"/>
  <c r="A112" i="51" s="1"/>
  <c r="A113" i="51" s="1"/>
  <c r="A114" i="51" s="1"/>
  <c r="A115" i="51" s="1"/>
  <c r="A116" i="51" s="1"/>
  <c r="A117" i="51" s="1"/>
  <c r="A118" i="51" s="1"/>
  <c r="A119" i="51" s="1"/>
  <c r="A120" i="51" s="1"/>
  <c r="A121" i="51" s="1"/>
  <c r="A122" i="51" s="1"/>
  <c r="A123" i="51" s="1"/>
  <c r="A124" i="51" s="1"/>
  <c r="A125" i="51" s="1"/>
  <c r="A126" i="51" s="1"/>
  <c r="A127" i="51" s="1"/>
  <c r="A128" i="51" s="1"/>
  <c r="A129" i="51" s="1"/>
  <c r="A130" i="51" s="1"/>
  <c r="A131" i="51" s="1"/>
  <c r="A132" i="51" s="1"/>
  <c r="A134" i="51" s="1"/>
  <c r="J9" i="171" l="1"/>
  <c r="A13" i="171"/>
  <c r="A14" i="171" s="1"/>
  <c r="A15" i="171" s="1"/>
  <c r="A16" i="171" s="1"/>
  <c r="A14" i="238"/>
  <c r="A15" i="238" s="1"/>
  <c r="A16" i="238" s="1"/>
  <c r="A17" i="238" s="1"/>
  <c r="A18" i="238" s="1"/>
  <c r="A19" i="238" s="1"/>
  <c r="A20" i="238" s="1"/>
  <c r="A17" i="171" l="1"/>
  <c r="A18" i="171" s="1"/>
  <c r="A19" i="171" s="1"/>
  <c r="A20" i="171" s="1"/>
  <c r="A21" i="171" s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A43" i="171" s="1"/>
  <c r="A44" i="171" s="1"/>
  <c r="A21" i="238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l="1"/>
  <c r="A35" i="238" s="1"/>
  <c r="A36" i="238" s="1"/>
  <c r="A37" i="238" s="1"/>
  <c r="A38" i="238" s="1"/>
  <c r="A39" i="238" s="1"/>
  <c r="A40" i="238" s="1"/>
  <c r="A41" i="238" s="1"/>
  <c r="A42" i="238" s="1"/>
  <c r="A43" i="238" s="1"/>
  <c r="A44" i="238" s="1"/>
  <c r="A45" i="238" s="1"/>
  <c r="A46" i="238" s="1"/>
  <c r="A47" i="238" s="1"/>
  <c r="A48" i="238" s="1"/>
  <c r="A49" i="238" s="1"/>
  <c r="A50" i="238" s="1"/>
  <c r="A51" i="238" s="1"/>
  <c r="A52" i="238" s="1"/>
  <c r="A53" i="238" s="1"/>
  <c r="A54" i="238" s="1"/>
  <c r="A55" i="238" s="1"/>
  <c r="A56" i="238" s="1"/>
  <c r="A57" i="238" s="1"/>
  <c r="A58" i="238" s="1"/>
  <c r="A59" i="238" s="1"/>
  <c r="A60" i="238" s="1"/>
  <c r="A61" i="238" s="1"/>
  <c r="A62" i="238" s="1"/>
  <c r="A45" i="171"/>
  <c r="A46" i="171" s="1"/>
  <c r="A47" i="171" s="1"/>
  <c r="A48" i="171" s="1"/>
  <c r="A49" i="171" s="1"/>
  <c r="A50" i="171" s="1"/>
  <c r="A51" i="171" s="1"/>
  <c r="A52" i="171" s="1"/>
  <c r="A53" i="171" s="1"/>
  <c r="A54" i="171" s="1"/>
  <c r="A55" i="171" s="1"/>
  <c r="A56" i="171" s="1"/>
  <c r="A57" i="171" s="1"/>
  <c r="A58" i="171" s="1"/>
  <c r="A59" i="171" s="1"/>
  <c r="A60" i="171" s="1"/>
  <c r="A61" i="171" s="1"/>
  <c r="A62" i="171" s="1"/>
  <c r="A63" i="171" s="1"/>
  <c r="A64" i="171" s="1"/>
  <c r="A65" i="171" s="1"/>
  <c r="A66" i="171" s="1"/>
  <c r="A67" i="171" s="1"/>
  <c r="A63" i="238" l="1"/>
  <c r="A64" i="238" s="1"/>
  <c r="A65" i="238" s="1"/>
  <c r="A66" i="238" s="1"/>
  <c r="A67" i="238" s="1"/>
  <c r="A68" i="238" s="1"/>
  <c r="A14" i="233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A43" i="233" s="1"/>
  <c r="A44" i="233" s="1"/>
  <c r="A45" i="233" s="1"/>
  <c r="A46" i="233" s="1"/>
  <c r="A47" i="233" s="1"/>
  <c r="A48" i="233" s="1"/>
  <c r="A49" i="233" s="1"/>
  <c r="A14" i="230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A43" i="230" s="1"/>
  <c r="A44" i="230" s="1"/>
  <c r="A45" i="230" s="1"/>
  <c r="A46" i="230" s="1"/>
  <c r="A47" i="230" s="1"/>
  <c r="A48" i="230" s="1"/>
  <c r="A49" i="230" s="1"/>
  <c r="A14" i="244" l="1"/>
  <c r="A15" i="244" s="1"/>
  <c r="A16" i="244" s="1"/>
  <c r="A17" i="244" s="1"/>
  <c r="A18" i="244" s="1"/>
  <c r="A19" i="244" s="1"/>
  <c r="A20" i="244" s="1"/>
  <c r="A21" i="244" s="1"/>
  <c r="A22" i="244" s="1"/>
  <c r="A23" i="244" s="1"/>
  <c r="A24" i="244" s="1"/>
  <c r="A14" i="243"/>
  <c r="A15" i="243" s="1"/>
  <c r="A16" i="243" s="1"/>
  <c r="A17" i="243" s="1"/>
  <c r="A18" i="243" s="1"/>
  <c r="A19" i="243" s="1"/>
  <c r="A20" i="243" s="1"/>
  <c r="A21" i="243" s="1"/>
  <c r="A22" i="243" s="1"/>
  <c r="A23" i="243" s="1"/>
  <c r="A24" i="243" s="1"/>
  <c r="Q19" i="242"/>
  <c r="Q16" i="242"/>
  <c r="Q22" i="242" l="1"/>
  <c r="Q13" i="242"/>
  <c r="Q13" i="241"/>
  <c r="E10" i="228" l="1"/>
  <c r="E10" i="227"/>
  <c r="E10" i="226"/>
  <c r="E9" i="192"/>
  <c r="E10" i="193"/>
  <c r="E9" i="193"/>
  <c r="E10" i="190"/>
  <c r="E9" i="190"/>
  <c r="G47" i="230" l="1"/>
  <c r="F47" i="230"/>
  <c r="E47" i="230"/>
  <c r="D47" i="230"/>
  <c r="H47" i="230"/>
  <c r="I30" i="193" l="1"/>
  <c r="I33" i="193" l="1"/>
  <c r="E8" i="216"/>
  <c r="F8" i="216"/>
  <c r="G8" i="216"/>
  <c r="H8" i="216"/>
  <c r="I8" i="216"/>
  <c r="J8" i="216"/>
  <c r="K8" i="216"/>
  <c r="L8" i="216"/>
  <c r="M8" i="216"/>
  <c r="N8" i="216"/>
  <c r="O8" i="216"/>
  <c r="C8" i="216" s="1"/>
  <c r="D8" i="216"/>
  <c r="E8" i="214"/>
  <c r="F11" i="230" s="1"/>
  <c r="F8" i="214"/>
  <c r="G11" i="230" s="1"/>
  <c r="G8" i="214"/>
  <c r="H11" i="230" s="1"/>
  <c r="H8" i="214"/>
  <c r="I11" i="230" s="1"/>
  <c r="I8" i="214"/>
  <c r="J11" i="230" s="1"/>
  <c r="J8" i="214"/>
  <c r="K11" i="230" s="1"/>
  <c r="K8" i="214"/>
  <c r="L11" i="230" s="1"/>
  <c r="L8" i="214"/>
  <c r="M11" i="230" s="1"/>
  <c r="M8" i="214"/>
  <c r="N11" i="230" s="1"/>
  <c r="N8" i="214"/>
  <c r="O11" i="230" s="1"/>
  <c r="O8" i="214"/>
  <c r="C8" i="214" s="1"/>
  <c r="D8" i="214"/>
  <c r="E11" i="230" s="1"/>
  <c r="D11" i="230" l="1"/>
  <c r="P11" i="230"/>
  <c r="A14" i="212" l="1"/>
  <c r="A15" i="212" s="1"/>
  <c r="A16" i="212" s="1"/>
  <c r="A17" i="212" s="1"/>
  <c r="A18" i="212" s="1"/>
  <c r="A19" i="212" s="1"/>
  <c r="A20" i="212" l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I20" i="212"/>
  <c r="G191" i="237" s="1"/>
  <c r="H186" i="209"/>
  <c r="M186" i="209" s="1"/>
  <c r="H184" i="213"/>
  <c r="M184" i="213" s="1"/>
  <c r="I21" i="212"/>
  <c r="H231" i="209"/>
  <c r="M231" i="209" s="1"/>
  <c r="G229" i="237"/>
  <c r="H230" i="213"/>
  <c r="H244" i="236" l="1"/>
  <c r="M244" i="236" s="1"/>
  <c r="H237" i="236"/>
  <c r="H240" i="236"/>
  <c r="H242" i="236"/>
  <c r="H232" i="236"/>
  <c r="H239" i="236"/>
  <c r="H238" i="236"/>
  <c r="H191" i="213"/>
  <c r="H121" i="207"/>
  <c r="H122" i="236"/>
  <c r="G183" i="207"/>
  <c r="G183" i="236"/>
  <c r="L183" i="236" s="1"/>
  <c r="G229" i="207"/>
  <c r="G228" i="236"/>
  <c r="H229" i="207"/>
  <c r="H228" i="236"/>
  <c r="F228" i="237"/>
  <c r="G230" i="209"/>
  <c r="G229" i="213"/>
  <c r="H229" i="213"/>
  <c r="H237" i="213" s="1"/>
  <c r="M237" i="213" s="1"/>
  <c r="G228" i="237"/>
  <c r="H230" i="209"/>
  <c r="M230" i="209" s="1"/>
  <c r="G183" i="237"/>
  <c r="G203" i="237" s="1"/>
  <c r="H183" i="213"/>
  <c r="H200" i="213" s="1"/>
  <c r="M200" i="213" s="1"/>
  <c r="H185" i="209"/>
  <c r="H202" i="209" s="1"/>
  <c r="G185" i="209"/>
  <c r="G183" i="213"/>
  <c r="F183" i="237"/>
  <c r="F203" i="237" s="1"/>
  <c r="G122" i="237"/>
  <c r="H124" i="209"/>
  <c r="H121" i="213"/>
  <c r="H183" i="236"/>
  <c r="H200" i="236" s="1"/>
  <c r="H183" i="207"/>
  <c r="H229" i="236"/>
  <c r="H230" i="207"/>
  <c r="H243" i="213"/>
  <c r="H254" i="213"/>
  <c r="H255" i="213"/>
  <c r="H233" i="213"/>
  <c r="H253" i="213"/>
  <c r="G184" i="237"/>
  <c r="H184" i="207"/>
  <c r="I17" i="212"/>
  <c r="I14" i="212"/>
  <c r="I15" i="212"/>
  <c r="M186" i="207" l="1"/>
  <c r="M184" i="207"/>
  <c r="M191" i="213"/>
  <c r="G160" i="237"/>
  <c r="G162" i="237"/>
  <c r="G164" i="237"/>
  <c r="G161" i="237"/>
  <c r="G163" i="237"/>
  <c r="G165" i="237"/>
  <c r="H241" i="236"/>
  <c r="M241" i="236" s="1"/>
  <c r="H233" i="236"/>
  <c r="M233" i="236" s="1"/>
  <c r="H256" i="236"/>
  <c r="M256" i="236" s="1"/>
  <c r="H236" i="236"/>
  <c r="H234" i="236"/>
  <c r="M234" i="236" s="1"/>
  <c r="H235" i="236"/>
  <c r="M235" i="236" s="1"/>
  <c r="H245" i="236"/>
  <c r="M245" i="236" s="1"/>
  <c r="H236" i="207"/>
  <c r="M236" i="207" s="1"/>
  <c r="H235" i="207"/>
  <c r="M235" i="207" s="1"/>
  <c r="H257" i="207"/>
  <c r="M257" i="207" s="1"/>
  <c r="H160" i="209"/>
  <c r="M160" i="209" s="1"/>
  <c r="H162" i="209"/>
  <c r="M162" i="209" s="1"/>
  <c r="H164" i="209"/>
  <c r="M164" i="209" s="1"/>
  <c r="H161" i="209"/>
  <c r="M161" i="209" s="1"/>
  <c r="H163" i="209"/>
  <c r="M163" i="209" s="1"/>
  <c r="H165" i="209"/>
  <c r="M165" i="209" s="1"/>
  <c r="G205" i="209"/>
  <c r="L205" i="209" s="1"/>
  <c r="G207" i="209"/>
  <c r="L207" i="209" s="1"/>
  <c r="L185" i="209"/>
  <c r="G197" i="209"/>
  <c r="L197" i="209" s="1"/>
  <c r="G206" i="209"/>
  <c r="L206" i="209" s="1"/>
  <c r="G196" i="209"/>
  <c r="L196" i="209" s="1"/>
  <c r="G200" i="209"/>
  <c r="L200" i="209" s="1"/>
  <c r="G202" i="209"/>
  <c r="L202" i="209" s="1"/>
  <c r="G192" i="209"/>
  <c r="L192" i="209" s="1"/>
  <c r="G208" i="209"/>
  <c r="L208" i="209" s="1"/>
  <c r="G195" i="209"/>
  <c r="L195" i="209" s="1"/>
  <c r="G199" i="209"/>
  <c r="L199" i="209" s="1"/>
  <c r="G204" i="209"/>
  <c r="L204" i="209" s="1"/>
  <c r="G241" i="236"/>
  <c r="G235" i="236"/>
  <c r="G233" i="236"/>
  <c r="G245" i="236"/>
  <c r="L245" i="236" s="1"/>
  <c r="G236" i="236"/>
  <c r="L236" i="236" s="1"/>
  <c r="G234" i="236"/>
  <c r="G256" i="236"/>
  <c r="L256" i="236" s="1"/>
  <c r="H196" i="209"/>
  <c r="M196" i="209" s="1"/>
  <c r="H200" i="209"/>
  <c r="M200" i="209" s="1"/>
  <c r="M202" i="209"/>
  <c r="H192" i="209"/>
  <c r="M192" i="209" s="1"/>
  <c r="H205" i="209"/>
  <c r="M205" i="209" s="1"/>
  <c r="H207" i="209"/>
  <c r="M207" i="209" s="1"/>
  <c r="H195" i="209"/>
  <c r="M195" i="209" s="1"/>
  <c r="H199" i="209"/>
  <c r="M199" i="209" s="1"/>
  <c r="H197" i="209"/>
  <c r="M197" i="209" s="1"/>
  <c r="H204" i="209"/>
  <c r="M204" i="209" s="1"/>
  <c r="H206" i="209"/>
  <c r="M206" i="209" s="1"/>
  <c r="H208" i="209"/>
  <c r="M208" i="209" s="1"/>
  <c r="G236" i="207"/>
  <c r="G257" i="207"/>
  <c r="G235" i="207"/>
  <c r="M240" i="236"/>
  <c r="H245" i="207"/>
  <c r="H238" i="207"/>
  <c r="H239" i="207"/>
  <c r="H256" i="207"/>
  <c r="H241" i="207"/>
  <c r="H240" i="207"/>
  <c r="H253" i="236"/>
  <c r="M253" i="236" s="1"/>
  <c r="H254" i="236"/>
  <c r="M254" i="236" s="1"/>
  <c r="H252" i="236"/>
  <c r="M252" i="236" s="1"/>
  <c r="M239" i="236"/>
  <c r="M237" i="236"/>
  <c r="M242" i="236"/>
  <c r="M238" i="236"/>
  <c r="M232" i="236"/>
  <c r="G188" i="237"/>
  <c r="G185" i="237"/>
  <c r="G189" i="237"/>
  <c r="G193" i="237"/>
  <c r="G195" i="237"/>
  <c r="G197" i="237"/>
  <c r="G190" i="237"/>
  <c r="G194" i="237"/>
  <c r="G198" i="237"/>
  <c r="F185" i="237"/>
  <c r="F189" i="237"/>
  <c r="F193" i="237"/>
  <c r="F195" i="237"/>
  <c r="F197" i="237"/>
  <c r="F188" i="237"/>
  <c r="F190" i="237"/>
  <c r="F194" i="237"/>
  <c r="F198" i="237"/>
  <c r="H157" i="236"/>
  <c r="H159" i="236"/>
  <c r="H156" i="236"/>
  <c r="H158" i="236"/>
  <c r="H160" i="236"/>
  <c r="H237" i="207"/>
  <c r="M237" i="207" s="1"/>
  <c r="H261" i="207"/>
  <c r="H157" i="213"/>
  <c r="H156" i="213"/>
  <c r="H158" i="213"/>
  <c r="H160" i="213"/>
  <c r="H162" i="213"/>
  <c r="H164" i="213"/>
  <c r="H166" i="213"/>
  <c r="H159" i="213"/>
  <c r="H165" i="213"/>
  <c r="H161" i="213"/>
  <c r="H163" i="213"/>
  <c r="H156" i="207"/>
  <c r="H158" i="207"/>
  <c r="H165" i="207"/>
  <c r="M165" i="207" s="1"/>
  <c r="H167" i="207"/>
  <c r="M167" i="207" s="1"/>
  <c r="H172" i="207"/>
  <c r="H163" i="207"/>
  <c r="H168" i="207"/>
  <c r="M168" i="207" s="1"/>
  <c r="H160" i="207"/>
  <c r="M160" i="207" s="1"/>
  <c r="H162" i="207"/>
  <c r="H169" i="207"/>
  <c r="H171" i="207"/>
  <c r="H157" i="207"/>
  <c r="H159" i="207"/>
  <c r="H164" i="207"/>
  <c r="H166" i="207"/>
  <c r="H161" i="207"/>
  <c r="M161" i="207" s="1"/>
  <c r="H170" i="207"/>
  <c r="K55" i="192"/>
  <c r="J55" i="192"/>
  <c r="E17" i="250"/>
  <c r="E30" i="250" s="1"/>
  <c r="J33" i="193"/>
  <c r="K33" i="193"/>
  <c r="M41" i="190"/>
  <c r="J41" i="190"/>
  <c r="N41" i="190"/>
  <c r="K41" i="190"/>
  <c r="O41" i="190"/>
  <c r="L41" i="190"/>
  <c r="E15" i="250"/>
  <c r="E27" i="250" s="1"/>
  <c r="H211" i="213"/>
  <c r="M211" i="213" s="1"/>
  <c r="H215" i="213"/>
  <c r="M215" i="213" s="1"/>
  <c r="G215" i="213"/>
  <c r="G211" i="213"/>
  <c r="G237" i="207"/>
  <c r="H191" i="207"/>
  <c r="G237" i="213"/>
  <c r="H243" i="236"/>
  <c r="M243" i="236" s="1"/>
  <c r="G243" i="236"/>
  <c r="D27" i="102"/>
  <c r="D28" i="102" s="1"/>
  <c r="H203" i="236"/>
  <c r="M203" i="236" s="1"/>
  <c r="M33" i="193"/>
  <c r="N33" i="193"/>
  <c r="O33" i="193"/>
  <c r="L33" i="193"/>
  <c r="N55" i="192"/>
  <c r="M55" i="192"/>
  <c r="L55" i="192"/>
  <c r="O55" i="192"/>
  <c r="F21" i="247"/>
  <c r="D23" i="103"/>
  <c r="E25" i="100"/>
  <c r="D18" i="239"/>
  <c r="E21" i="105"/>
  <c r="D22" i="102"/>
  <c r="M200" i="236"/>
  <c r="H215" i="236"/>
  <c r="M215" i="236" s="1"/>
  <c r="H208" i="236"/>
  <c r="M208" i="236" s="1"/>
  <c r="H221" i="236"/>
  <c r="H210" i="236"/>
  <c r="M210" i="236" s="1"/>
  <c r="H211" i="236"/>
  <c r="M211" i="236" s="1"/>
  <c r="H204" i="236"/>
  <c r="M204" i="236" s="1"/>
  <c r="H206" i="236"/>
  <c r="M206" i="236" s="1"/>
  <c r="H207" i="236"/>
  <c r="M207" i="236" s="1"/>
  <c r="H209" i="236"/>
  <c r="M209" i="236" s="1"/>
  <c r="H202" i="236"/>
  <c r="M202" i="236" s="1"/>
  <c r="H205" i="236"/>
  <c r="M205" i="236" s="1"/>
  <c r="H255" i="236"/>
  <c r="M255" i="236" s="1"/>
  <c r="E39" i="100"/>
  <c r="D22" i="239"/>
  <c r="D37" i="103"/>
  <c r="D32" i="102"/>
  <c r="F27" i="247"/>
  <c r="E31" i="105"/>
  <c r="E26" i="105"/>
  <c r="D20" i="239"/>
  <c r="E32" i="100"/>
  <c r="D30" i="103"/>
  <c r="F24" i="247"/>
  <c r="H254" i="207"/>
  <c r="H253" i="207"/>
  <c r="H233" i="207"/>
  <c r="H243" i="207"/>
  <c r="H255" i="207"/>
  <c r="M191" i="207" l="1"/>
  <c r="L257" i="207"/>
  <c r="L236" i="207"/>
  <c r="L241" i="236"/>
  <c r="L233" i="236"/>
  <c r="M236" i="236"/>
  <c r="L243" i="236"/>
  <c r="L235" i="207"/>
  <c r="L234" i="236"/>
  <c r="L235" i="236"/>
  <c r="M256" i="207"/>
  <c r="M239" i="207"/>
  <c r="M240" i="207"/>
  <c r="M238" i="207"/>
  <c r="M241" i="207"/>
  <c r="M245" i="207"/>
  <c r="M158" i="236"/>
  <c r="M156" i="236"/>
  <c r="M159" i="236"/>
  <c r="M160" i="236"/>
  <c r="M157" i="236"/>
  <c r="M160" i="213"/>
  <c r="M163" i="213"/>
  <c r="M166" i="213"/>
  <c r="M158" i="213"/>
  <c r="M159" i="213"/>
  <c r="M161" i="213"/>
  <c r="M164" i="213"/>
  <c r="M156" i="213"/>
  <c r="M165" i="213"/>
  <c r="M162" i="213"/>
  <c r="M157" i="213"/>
  <c r="M166" i="207"/>
  <c r="M164" i="207"/>
  <c r="M158" i="207"/>
  <c r="M157" i="207"/>
  <c r="M163" i="207"/>
  <c r="M159" i="207"/>
  <c r="M162" i="207"/>
  <c r="M156" i="207"/>
  <c r="L211" i="213"/>
  <c r="L215" i="213"/>
  <c r="L237" i="207"/>
  <c r="L237" i="213"/>
  <c r="E28" i="250"/>
  <c r="E31" i="250"/>
  <c r="A13" i="222" l="1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A43" i="222" s="1"/>
  <c r="A44" i="222" s="1"/>
  <c r="A45" i="222" s="1"/>
  <c r="A46" i="222" s="1"/>
  <c r="A47" i="222" s="1"/>
  <c r="A48" i="222" s="1"/>
  <c r="A49" i="222" s="1"/>
  <c r="A50" i="222" s="1"/>
  <c r="A51" i="222" s="1"/>
  <c r="A52" i="222" s="1"/>
  <c r="A53" i="222" s="1"/>
  <c r="A54" i="222" s="1"/>
  <c r="A55" i="222" s="1"/>
  <c r="A56" i="222" s="1"/>
  <c r="A57" i="222" s="1"/>
  <c r="A58" i="222" s="1"/>
  <c r="A59" i="222" s="1"/>
  <c r="A60" i="222" s="1"/>
  <c r="A61" i="222" s="1"/>
  <c r="A62" i="222" s="1"/>
  <c r="A63" i="222" s="1"/>
  <c r="A64" i="222" s="1"/>
  <c r="A65" i="222" s="1"/>
  <c r="A66" i="222" s="1"/>
  <c r="A67" i="222" s="1"/>
  <c r="A68" i="222" s="1"/>
  <c r="A69" i="222" s="1"/>
  <c r="A70" i="222" s="1"/>
  <c r="A71" i="222" s="1"/>
  <c r="A72" i="222" s="1"/>
  <c r="A73" i="222" s="1"/>
  <c r="A74" i="222" s="1"/>
  <c r="A75" i="222" s="1"/>
  <c r="A76" i="222" s="1"/>
  <c r="A77" i="222" s="1"/>
  <c r="A78" i="222" s="1"/>
  <c r="A79" i="222" s="1"/>
  <c r="A80" i="222" s="1"/>
  <c r="A81" i="222" s="1"/>
  <c r="A82" i="222" s="1"/>
  <c r="A83" i="222" s="1"/>
  <c r="A84" i="222" s="1"/>
  <c r="A85" i="222" s="1"/>
  <c r="A86" i="222" s="1"/>
  <c r="A87" i="222" s="1"/>
  <c r="A88" i="222" s="1"/>
  <c r="A13" i="44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l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89" i="222"/>
  <c r="A90" i="222" s="1"/>
  <c r="A91" i="222" s="1"/>
  <c r="A92" i="222" s="1"/>
  <c r="A93" i="222" s="1"/>
  <c r="A94" i="222" s="1"/>
  <c r="A95" i="222" s="1"/>
  <c r="A96" i="222" s="1"/>
  <c r="A97" i="222" s="1"/>
  <c r="A98" i="222" s="1"/>
  <c r="A99" i="222" s="1"/>
  <c r="A100" i="222" s="1"/>
  <c r="A101" i="222" s="1"/>
  <c r="A102" i="222" s="1"/>
  <c r="A103" i="222" s="1"/>
  <c r="A104" i="222" s="1"/>
  <c r="A105" i="222" s="1"/>
  <c r="A106" i="222" s="1"/>
  <c r="A107" i="222" s="1"/>
  <c r="A108" i="222" s="1"/>
  <c r="A109" i="222" s="1"/>
  <c r="A110" i="222" s="1"/>
  <c r="P14" i="44"/>
  <c r="D14" i="48" l="1"/>
  <c r="D175" i="45"/>
  <c r="A14" i="79"/>
  <c r="A15" i="79" s="1"/>
  <c r="A16" i="79" s="1"/>
  <c r="A17" i="79" s="1"/>
  <c r="A18" i="79" s="1"/>
  <c r="A14" i="45"/>
  <c r="A15" i="45" s="1"/>
  <c r="A16" i="45" s="1"/>
  <c r="A17" i="45" s="1"/>
  <c r="A18" i="45" s="1"/>
  <c r="A19" i="45" s="1"/>
  <c r="A20" i="45" l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9" i="79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A45" i="79" s="1"/>
  <c r="A46" i="79" s="1"/>
  <c r="A47" i="79" s="1"/>
  <c r="A48" i="79" s="1"/>
  <c r="A49" i="79" s="1"/>
  <c r="A50" i="79" s="1"/>
  <c r="A51" i="79" s="1"/>
  <c r="A52" i="79" s="1"/>
  <c r="A53" i="79" s="1"/>
  <c r="A54" i="79" s="1"/>
  <c r="A55" i="79" s="1"/>
  <c r="A56" i="79" s="1"/>
  <c r="A57" i="79" s="1"/>
  <c r="A58" i="79" s="1"/>
  <c r="A59" i="79" s="1"/>
  <c r="A60" i="79" s="1"/>
  <c r="A61" i="79" s="1"/>
  <c r="A62" i="79" s="1"/>
  <c r="A63" i="79" s="1"/>
  <c r="A64" i="79" s="1"/>
  <c r="A65" i="79" s="1"/>
  <c r="A66" i="79" s="1"/>
  <c r="A67" i="79" s="1"/>
  <c r="A68" i="79" s="1"/>
  <c r="A69" i="79" s="1"/>
  <c r="A70" i="79" s="1"/>
  <c r="A71" i="79" s="1"/>
  <c r="A72" i="79" s="1"/>
  <c r="A73" i="79" s="1"/>
  <c r="A74" i="79" s="1"/>
  <c r="A75" i="79" s="1"/>
  <c r="A76" i="79" s="1"/>
  <c r="A77" i="79" s="1"/>
  <c r="A78" i="79" s="1"/>
  <c r="A79" i="79" s="1"/>
  <c r="A80" i="79" s="1"/>
  <c r="A81" i="79" s="1"/>
  <c r="A82" i="79" s="1"/>
  <c r="A83" i="79" s="1"/>
  <c r="A84" i="79" s="1"/>
  <c r="A85" i="79" s="1"/>
  <c r="A86" i="79" s="1"/>
  <c r="A87" i="79" s="1"/>
  <c r="A88" i="79" s="1"/>
  <c r="A89" i="79" s="1"/>
  <c r="A90" i="79" s="1"/>
  <c r="A91" i="79" s="1"/>
  <c r="A92" i="79" s="1"/>
  <c r="A93" i="79" s="1"/>
  <c r="A94" i="79" s="1"/>
  <c r="A95" i="79" s="1"/>
  <c r="A96" i="79" s="1"/>
  <c r="A97" i="79" s="1"/>
  <c r="A98" i="79" s="1"/>
  <c r="A99" i="79" s="1"/>
  <c r="A100" i="79" s="1"/>
  <c r="A101" i="79" s="1"/>
  <c r="A102" i="79" s="1"/>
  <c r="A103" i="79" s="1"/>
  <c r="A104" i="79" s="1"/>
  <c r="A105" i="79" s="1"/>
  <c r="A106" i="79" s="1"/>
  <c r="A107" i="79" s="1"/>
  <c r="A108" i="79" s="1"/>
  <c r="A109" i="79" s="1"/>
  <c r="A110" i="79" s="1"/>
  <c r="A111" i="79" s="1"/>
  <c r="A112" i="79" s="1"/>
  <c r="A113" i="79" s="1"/>
  <c r="A114" i="79" s="1"/>
  <c r="A115" i="79" s="1"/>
  <c r="A116" i="79" s="1"/>
  <c r="A117" i="79" s="1"/>
  <c r="A118" i="79" s="1"/>
  <c r="A119" i="79" s="1"/>
  <c r="A120" i="79" s="1"/>
  <c r="A121" i="79" s="1"/>
  <c r="A122" i="79" s="1"/>
  <c r="A123" i="79" s="1"/>
  <c r="A124" i="79" s="1"/>
  <c r="A125" i="79" s="1"/>
  <c r="A126" i="79" s="1"/>
  <c r="A127" i="79" s="1"/>
  <c r="A128" i="79" s="1"/>
  <c r="A129" i="79" s="1"/>
  <c r="A130" i="79" s="1"/>
  <c r="A131" i="79" s="1"/>
  <c r="A132" i="79" s="1"/>
  <c r="A133" i="79" s="1"/>
  <c r="A134" i="79" s="1"/>
  <c r="A135" i="79" s="1"/>
  <c r="A136" i="79" s="1"/>
  <c r="A137" i="79" s="1"/>
  <c r="A138" i="79" s="1"/>
  <c r="A139" i="79" s="1"/>
  <c r="A140" i="79" s="1"/>
  <c r="A141" i="79" s="1"/>
  <c r="A142" i="79" s="1"/>
  <c r="A143" i="79" s="1"/>
  <c r="A144" i="79" s="1"/>
  <c r="A145" i="79" s="1"/>
  <c r="A146" i="79" s="1"/>
  <c r="A147" i="79" s="1"/>
  <c r="A148" i="79" s="1"/>
  <c r="A149" i="79" s="1"/>
  <c r="A150" i="79" s="1"/>
  <c r="A151" i="79" s="1"/>
  <c r="A152" i="79" s="1"/>
  <c r="A153" i="79" s="1"/>
  <c r="A154" i="79" s="1"/>
  <c r="A155" i="79" s="1"/>
  <c r="A156" i="79" s="1"/>
  <c r="A157" i="79" s="1"/>
  <c r="A158" i="79" s="1"/>
  <c r="A159" i="79" s="1"/>
  <c r="A160" i="79" s="1"/>
  <c r="A161" i="79" s="1"/>
  <c r="A162" i="79" s="1"/>
  <c r="A163" i="79" s="1"/>
  <c r="A164" i="79" s="1"/>
  <c r="A165" i="79" s="1"/>
  <c r="A166" i="79" s="1"/>
  <c r="A167" i="79" s="1"/>
  <c r="A168" i="79" s="1"/>
  <c r="A169" i="79" s="1"/>
  <c r="A170" i="79" s="1"/>
  <c r="A171" i="79" s="1"/>
  <c r="A172" i="79" s="1"/>
  <c r="A173" i="79" s="1"/>
  <c r="A174" i="79" s="1"/>
  <c r="A175" i="79" s="1"/>
  <c r="A176" i="79" s="1"/>
  <c r="A177" i="79" s="1"/>
  <c r="G111" i="44" l="1"/>
  <c r="F111" i="44"/>
  <c r="I111" i="44"/>
  <c r="E111" i="44"/>
  <c r="H111" i="44"/>
  <c r="E11" i="242" l="1"/>
  <c r="F11" i="242"/>
  <c r="G11" i="242"/>
  <c r="H11" i="242"/>
  <c r="I11" i="242"/>
  <c r="J11" i="242"/>
  <c r="K11" i="242"/>
  <c r="L11" i="242"/>
  <c r="M11" i="242"/>
  <c r="N11" i="242"/>
  <c r="O11" i="242"/>
  <c r="P11" i="242"/>
  <c r="D11" i="242"/>
  <c r="E11" i="241"/>
  <c r="F11" i="241"/>
  <c r="G11" i="241"/>
  <c r="H11" i="241"/>
  <c r="I11" i="241"/>
  <c r="J11" i="241"/>
  <c r="K11" i="241"/>
  <c r="L11" i="241"/>
  <c r="M11" i="241"/>
  <c r="N11" i="241"/>
  <c r="O11" i="241"/>
  <c r="P11" i="241"/>
  <c r="D11" i="241"/>
  <c r="E11" i="233"/>
  <c r="F11" i="233"/>
  <c r="G11" i="233"/>
  <c r="H11" i="233"/>
  <c r="I11" i="233"/>
  <c r="J11" i="233"/>
  <c r="K11" i="233"/>
  <c r="L11" i="233"/>
  <c r="M11" i="233"/>
  <c r="N11" i="233"/>
  <c r="O11" i="233"/>
  <c r="P11" i="233"/>
  <c r="D11" i="233"/>
  <c r="K9" i="99" l="1"/>
  <c r="K8" i="8"/>
  <c r="L9" i="34"/>
  <c r="O9" i="35"/>
  <c r="L9" i="36"/>
  <c r="I9" i="239"/>
  <c r="I10" i="103"/>
  <c r="E9" i="106"/>
  <c r="I9" i="102"/>
  <c r="K10" i="247"/>
  <c r="J10" i="100"/>
  <c r="J10" i="105"/>
  <c r="J10" i="104"/>
  <c r="F9" i="107"/>
  <c r="F10" i="228"/>
  <c r="G10" i="228"/>
  <c r="H10" i="228"/>
  <c r="I10" i="228"/>
  <c r="J10" i="228"/>
  <c r="K10" i="228"/>
  <c r="L10" i="228"/>
  <c r="M10" i="228"/>
  <c r="N10" i="228"/>
  <c r="O10" i="228"/>
  <c r="D10" i="228"/>
  <c r="F10" i="227"/>
  <c r="G10" i="227"/>
  <c r="H10" i="227"/>
  <c r="I10" i="227"/>
  <c r="J10" i="227"/>
  <c r="K10" i="227"/>
  <c r="L10" i="227"/>
  <c r="M10" i="227"/>
  <c r="N10" i="227"/>
  <c r="O10" i="227"/>
  <c r="F10" i="226"/>
  <c r="G10" i="226"/>
  <c r="H10" i="226"/>
  <c r="I10" i="226"/>
  <c r="J10" i="226"/>
  <c r="K10" i="226"/>
  <c r="L10" i="226"/>
  <c r="M10" i="226"/>
  <c r="N10" i="226"/>
  <c r="O10" i="226"/>
  <c r="D10" i="226"/>
  <c r="A16" i="237" l="1"/>
  <c r="A17" i="237" s="1"/>
  <c r="A16" i="209"/>
  <c r="A17" i="209" s="1"/>
  <c r="A16" i="236"/>
  <c r="A17" i="236" s="1"/>
  <c r="A18" i="237" l="1"/>
  <c r="A19" i="237" s="1"/>
  <c r="A20" i="237" s="1"/>
  <c r="A21" i="237" s="1"/>
  <c r="A18" i="209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A43" i="209" s="1"/>
  <c r="A44" i="209" s="1"/>
  <c r="A45" i="209" s="1"/>
  <c r="A46" i="209" s="1"/>
  <c r="A47" i="209" s="1"/>
  <c r="A48" i="209" s="1"/>
  <c r="A49" i="209" s="1"/>
  <c r="A50" i="209" s="1"/>
  <c r="A51" i="209" s="1"/>
  <c r="A52" i="209" s="1"/>
  <c r="A53" i="209" s="1"/>
  <c r="A54" i="209" s="1"/>
  <c r="A55" i="209" s="1"/>
  <c r="A56" i="209" s="1"/>
  <c r="A57" i="209" s="1"/>
  <c r="A58" i="209" s="1"/>
  <c r="A59" i="209" s="1"/>
  <c r="A60" i="209" s="1"/>
  <c r="A61" i="209" s="1"/>
  <c r="A62" i="209" s="1"/>
  <c r="A63" i="209" s="1"/>
  <c r="A64" i="209" s="1"/>
  <c r="A65" i="209" s="1"/>
  <c r="A66" i="209" s="1"/>
  <c r="A67" i="209" s="1"/>
  <c r="A68" i="209" s="1"/>
  <c r="A69" i="209" s="1"/>
  <c r="A70" i="209" s="1"/>
  <c r="A71" i="209" s="1"/>
  <c r="A72" i="209" s="1"/>
  <c r="A73" i="209" s="1"/>
  <c r="A74" i="209" s="1"/>
  <c r="A75" i="209" s="1"/>
  <c r="A76" i="209" s="1"/>
  <c r="A77" i="209" s="1"/>
  <c r="A78" i="209" s="1"/>
  <c r="A79" i="209" s="1"/>
  <c r="A80" i="209" s="1"/>
  <c r="A81" i="209" s="1"/>
  <c r="A82" i="209" s="1"/>
  <c r="A83" i="209" s="1"/>
  <c r="A84" i="209" s="1"/>
  <c r="A85" i="209" s="1"/>
  <c r="A18" i="236"/>
  <c r="A19" i="236" s="1"/>
  <c r="A20" i="236" s="1"/>
  <c r="A21" i="236" s="1"/>
  <c r="A16" i="213"/>
  <c r="A17" i="213" s="1"/>
  <c r="A16" i="207"/>
  <c r="A17" i="207" s="1"/>
  <c r="A86" i="209" l="1"/>
  <c r="A87" i="209" s="1"/>
  <c r="A88" i="209" s="1"/>
  <c r="A89" i="209" s="1"/>
  <c r="A90" i="209" s="1"/>
  <c r="A91" i="209" s="1"/>
  <c r="A92" i="209" s="1"/>
  <c r="A93" i="209" s="1"/>
  <c r="A94" i="209" s="1"/>
  <c r="A95" i="209" s="1"/>
  <c r="A96" i="209" s="1"/>
  <c r="A97" i="209" s="1"/>
  <c r="A98" i="209" s="1"/>
  <c r="A99" i="209" s="1"/>
  <c r="A100" i="209" s="1"/>
  <c r="A101" i="209" s="1"/>
  <c r="A102" i="209" s="1"/>
  <c r="A103" i="209" s="1"/>
  <c r="A104" i="209" s="1"/>
  <c r="A105" i="209" s="1"/>
  <c r="A106" i="209" s="1"/>
  <c r="A107" i="209" s="1"/>
  <c r="A108" i="209" s="1"/>
  <c r="A109" i="209" s="1"/>
  <c r="A110" i="209" s="1"/>
  <c r="A111" i="209" s="1"/>
  <c r="A113" i="209" s="1"/>
  <c r="A114" i="209" s="1"/>
  <c r="A115" i="209" s="1"/>
  <c r="A116" i="209" s="1"/>
  <c r="A117" i="209" s="1"/>
  <c r="A118" i="209" s="1"/>
  <c r="A119" i="209" s="1"/>
  <c r="A120" i="209" s="1"/>
  <c r="A121" i="209" s="1"/>
  <c r="A122" i="209" s="1"/>
  <c r="A123" i="209" s="1"/>
  <c r="A124" i="209" s="1"/>
  <c r="A125" i="209" s="1"/>
  <c r="A126" i="209" s="1"/>
  <c r="A127" i="209" s="1"/>
  <c r="A128" i="209" s="1"/>
  <c r="A129" i="209" s="1"/>
  <c r="A130" i="209" s="1"/>
  <c r="A131" i="209" s="1"/>
  <c r="A132" i="209" s="1"/>
  <c r="A133" i="209" s="1"/>
  <c r="A134" i="209" s="1"/>
  <c r="A135" i="209" s="1"/>
  <c r="A136" i="209" s="1"/>
  <c r="A137" i="209" s="1"/>
  <c r="A138" i="209" s="1"/>
  <c r="A139" i="209" s="1"/>
  <c r="A140" i="209" s="1"/>
  <c r="A141" i="209" s="1"/>
  <c r="A142" i="209" s="1"/>
  <c r="A143" i="209" s="1"/>
  <c r="A144" i="209" s="1"/>
  <c r="A145" i="209" s="1"/>
  <c r="A146" i="209" s="1"/>
  <c r="A147" i="209" s="1"/>
  <c r="A148" i="209" s="1"/>
  <c r="A149" i="209" s="1"/>
  <c r="A150" i="209" s="1"/>
  <c r="A151" i="209" s="1"/>
  <c r="A152" i="209" s="1"/>
  <c r="A153" i="209" s="1"/>
  <c r="A154" i="209" s="1"/>
  <c r="A155" i="209" s="1"/>
  <c r="A156" i="209" s="1"/>
  <c r="A22" i="237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A36" i="237" s="1"/>
  <c r="A37" i="237" s="1"/>
  <c r="A38" i="237" s="1"/>
  <c r="A39" i="237" s="1"/>
  <c r="A40" i="237" s="1"/>
  <c r="A41" i="237" s="1"/>
  <c r="A42" i="237" s="1"/>
  <c r="A43" i="237" s="1"/>
  <c r="A44" i="237" s="1"/>
  <c r="A45" i="237" s="1"/>
  <c r="A46" i="237" s="1"/>
  <c r="A47" i="237" s="1"/>
  <c r="A48" i="237" s="1"/>
  <c r="A49" i="237" s="1"/>
  <c r="A50" i="237" s="1"/>
  <c r="A51" i="237" s="1"/>
  <c r="A52" i="237" s="1"/>
  <c r="A53" i="237" s="1"/>
  <c r="A54" i="237" s="1"/>
  <c r="A55" i="237" s="1"/>
  <c r="A56" i="237" s="1"/>
  <c r="A57" i="237" s="1"/>
  <c r="A58" i="237" s="1"/>
  <c r="A59" i="237" s="1"/>
  <c r="A60" i="237" s="1"/>
  <c r="A61" i="237" s="1"/>
  <c r="A62" i="237" s="1"/>
  <c r="A63" i="237" s="1"/>
  <c r="A64" i="237" s="1"/>
  <c r="A65" i="237" s="1"/>
  <c r="A66" i="237" s="1"/>
  <c r="A67" i="237" s="1"/>
  <c r="A68" i="237" s="1"/>
  <c r="A69" i="237" s="1"/>
  <c r="A70" i="237" s="1"/>
  <c r="A71" i="237" s="1"/>
  <c r="A72" i="237" s="1"/>
  <c r="A73" i="237" s="1"/>
  <c r="A74" i="237" s="1"/>
  <c r="A75" i="237" s="1"/>
  <c r="A76" i="237" s="1"/>
  <c r="A77" i="237" s="1"/>
  <c r="A78" i="237" s="1"/>
  <c r="A79" i="237" s="1"/>
  <c r="A80" i="237" s="1"/>
  <c r="A81" i="237" s="1"/>
  <c r="A82" i="237" s="1"/>
  <c r="A83" i="237" s="1"/>
  <c r="A84" i="237" s="1"/>
  <c r="A85" i="237" s="1"/>
  <c r="A86" i="237" s="1"/>
  <c r="A22" i="236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A43" i="236" s="1"/>
  <c r="A44" i="236" s="1"/>
  <c r="A45" i="236" s="1"/>
  <c r="A46" i="236" s="1"/>
  <c r="A47" i="236" s="1"/>
  <c r="A48" i="236" s="1"/>
  <c r="A49" i="236" s="1"/>
  <c r="A50" i="236" s="1"/>
  <c r="A51" i="236" s="1"/>
  <c r="A52" i="236" s="1"/>
  <c r="A53" i="236" s="1"/>
  <c r="A54" i="236" s="1"/>
  <c r="A55" i="236" s="1"/>
  <c r="A56" i="236" s="1"/>
  <c r="A57" i="236" s="1"/>
  <c r="A58" i="236" s="1"/>
  <c r="A59" i="236" s="1"/>
  <c r="A60" i="236" s="1"/>
  <c r="A61" i="236" s="1"/>
  <c r="A62" i="236" s="1"/>
  <c r="A63" i="236" s="1"/>
  <c r="A64" i="236" s="1"/>
  <c r="A65" i="236" s="1"/>
  <c r="A66" i="236" s="1"/>
  <c r="A67" i="236" s="1"/>
  <c r="A68" i="236" s="1"/>
  <c r="A69" i="236" s="1"/>
  <c r="A70" i="236" s="1"/>
  <c r="A71" i="236" s="1"/>
  <c r="A72" i="236" s="1"/>
  <c r="A73" i="236" s="1"/>
  <c r="A74" i="236" s="1"/>
  <c r="A75" i="236" s="1"/>
  <c r="A76" i="236" s="1"/>
  <c r="A77" i="236" s="1"/>
  <c r="A78" i="236" s="1"/>
  <c r="A79" i="236" s="1"/>
  <c r="A80" i="236" s="1"/>
  <c r="A81" i="236" s="1"/>
  <c r="A82" i="236" s="1"/>
  <c r="A83" i="236" s="1"/>
  <c r="A84" i="236" s="1"/>
  <c r="A85" i="236" s="1"/>
  <c r="A86" i="236" s="1"/>
  <c r="A87" i="236" s="1"/>
  <c r="A88" i="236" s="1"/>
  <c r="A89" i="236" s="1"/>
  <c r="A90" i="236" s="1"/>
  <c r="A91" i="236" s="1"/>
  <c r="A92" i="236" s="1"/>
  <c r="A93" i="236" s="1"/>
  <c r="A18" i="213"/>
  <c r="A19" i="213" s="1"/>
  <c r="A20" i="213" s="1"/>
  <c r="A21" i="213" s="1"/>
  <c r="A18" i="207"/>
  <c r="A19" i="207" s="1"/>
  <c r="A20" i="207" s="1"/>
  <c r="A21" i="207" s="1"/>
  <c r="A87" i="237" l="1"/>
  <c r="A88" i="237" s="1"/>
  <c r="A89" i="237" s="1"/>
  <c r="A90" i="237" s="1"/>
  <c r="A91" i="237" s="1"/>
  <c r="A92" i="237" s="1"/>
  <c r="A93" i="237" s="1"/>
  <c r="A94" i="237" s="1"/>
  <c r="A95" i="237" s="1"/>
  <c r="A96" i="237" s="1"/>
  <c r="A97" i="237" s="1"/>
  <c r="A98" i="237" s="1"/>
  <c r="A99" i="237" s="1"/>
  <c r="A100" i="237" s="1"/>
  <c r="A101" i="237" s="1"/>
  <c r="A102" i="237" s="1"/>
  <c r="A103" i="237" s="1"/>
  <c r="A104" i="237" s="1"/>
  <c r="A105" i="237" s="1"/>
  <c r="A106" i="237" s="1"/>
  <c r="A107" i="237" s="1"/>
  <c r="A108" i="237" s="1"/>
  <c r="A109" i="237" s="1"/>
  <c r="A110" i="237" s="1"/>
  <c r="A111" i="237" s="1"/>
  <c r="A112" i="237" s="1"/>
  <c r="A113" i="237" s="1"/>
  <c r="A114" i="237" s="1"/>
  <c r="A115" i="237" s="1"/>
  <c r="A116" i="237" s="1"/>
  <c r="A117" i="237" s="1"/>
  <c r="A118" i="237" s="1"/>
  <c r="A119" i="237" s="1"/>
  <c r="A120" i="237" s="1"/>
  <c r="A121" i="237" s="1"/>
  <c r="A122" i="237" s="1"/>
  <c r="A123" i="237" s="1"/>
  <c r="A124" i="237" s="1"/>
  <c r="A125" i="237" s="1"/>
  <c r="A126" i="237" s="1"/>
  <c r="A127" i="237" s="1"/>
  <c r="A128" i="237" s="1"/>
  <c r="A129" i="237" s="1"/>
  <c r="A130" i="237" s="1"/>
  <c r="A131" i="237" s="1"/>
  <c r="A132" i="237" s="1"/>
  <c r="A133" i="237" s="1"/>
  <c r="A134" i="237" s="1"/>
  <c r="A135" i="237" s="1"/>
  <c r="A136" i="237" s="1"/>
  <c r="A137" i="237" s="1"/>
  <c r="A138" i="237" s="1"/>
  <c r="A139" i="237" s="1"/>
  <c r="A140" i="237" s="1"/>
  <c r="A141" i="237" s="1"/>
  <c r="A142" i="237" s="1"/>
  <c r="A143" i="237" s="1"/>
  <c r="A144" i="237" s="1"/>
  <c r="A145" i="237" s="1"/>
  <c r="A146" i="237" s="1"/>
  <c r="A147" i="237" s="1"/>
  <c r="A148" i="237" s="1"/>
  <c r="A149" i="237" s="1"/>
  <c r="A150" i="237" s="1"/>
  <c r="A151" i="237" s="1"/>
  <c r="A152" i="237" s="1"/>
  <c r="A153" i="237" s="1"/>
  <c r="A154" i="237" s="1"/>
  <c r="A155" i="237" s="1"/>
  <c r="A156" i="237" s="1"/>
  <c r="A157" i="209"/>
  <c r="A158" i="209" s="1"/>
  <c r="A159" i="209" s="1"/>
  <c r="A160" i="209" s="1"/>
  <c r="A161" i="209" s="1"/>
  <c r="A162" i="209" s="1"/>
  <c r="A163" i="209" s="1"/>
  <c r="A164" i="209" s="1"/>
  <c r="A165" i="209" s="1"/>
  <c r="A166" i="209" s="1"/>
  <c r="A167" i="209" s="1"/>
  <c r="A168" i="209" s="1"/>
  <c r="A169" i="209" s="1"/>
  <c r="A170" i="209" s="1"/>
  <c r="A171" i="209" s="1"/>
  <c r="A172" i="209" s="1"/>
  <c r="A173" i="209" s="1"/>
  <c r="A174" i="209" s="1"/>
  <c r="A175" i="209" s="1"/>
  <c r="A176" i="209" s="1"/>
  <c r="A177" i="209" s="1"/>
  <c r="A178" i="209" s="1"/>
  <c r="A179" i="209" s="1"/>
  <c r="A180" i="209" s="1"/>
  <c r="A181" i="209" s="1"/>
  <c r="A182" i="209" s="1"/>
  <c r="A183" i="209" s="1"/>
  <c r="A184" i="209" s="1"/>
  <c r="A185" i="209" s="1"/>
  <c r="A94" i="236"/>
  <c r="A95" i="236" s="1"/>
  <c r="A96" i="236" s="1"/>
  <c r="A97" i="236" s="1"/>
  <c r="A98" i="236" s="1"/>
  <c r="A99" i="236" s="1"/>
  <c r="A100" i="236" s="1"/>
  <c r="A101" i="236" s="1"/>
  <c r="A102" i="236" s="1"/>
  <c r="A103" i="236" s="1"/>
  <c r="A104" i="236" s="1"/>
  <c r="A105" i="236" s="1"/>
  <c r="A106" i="236" s="1"/>
  <c r="A107" i="236" s="1"/>
  <c r="A108" i="236" s="1"/>
  <c r="A109" i="236" s="1"/>
  <c r="A110" i="236" s="1"/>
  <c r="A111" i="236" s="1"/>
  <c r="A112" i="236" s="1"/>
  <c r="A113" i="236" s="1"/>
  <c r="A114" i="236" s="1"/>
  <c r="A115" i="236" s="1"/>
  <c r="A116" i="236" s="1"/>
  <c r="A117" i="236" s="1"/>
  <c r="A118" i="236" s="1"/>
  <c r="A119" i="236" s="1"/>
  <c r="A120" i="236" s="1"/>
  <c r="A121" i="236" s="1"/>
  <c r="A122" i="236" s="1"/>
  <c r="A123" i="236" s="1"/>
  <c r="A124" i="236" s="1"/>
  <c r="A125" i="236" s="1"/>
  <c r="A126" i="236" s="1"/>
  <c r="A127" i="236" s="1"/>
  <c r="A128" i="236" s="1"/>
  <c r="A129" i="236" s="1"/>
  <c r="A130" i="236" s="1"/>
  <c r="A131" i="236" s="1"/>
  <c r="A132" i="236" s="1"/>
  <c r="A133" i="236" s="1"/>
  <c r="A134" i="236" s="1"/>
  <c r="A135" i="236" s="1"/>
  <c r="A136" i="236" s="1"/>
  <c r="A137" i="236" s="1"/>
  <c r="A138" i="236" s="1"/>
  <c r="A139" i="236" s="1"/>
  <c r="A140" i="236" s="1"/>
  <c r="A141" i="236" s="1"/>
  <c r="A142" i="236" s="1"/>
  <c r="A143" i="236" s="1"/>
  <c r="A144" i="236" s="1"/>
  <c r="A145" i="236" s="1"/>
  <c r="A146" i="236" s="1"/>
  <c r="A147" i="236" s="1"/>
  <c r="A148" i="236" s="1"/>
  <c r="A149" i="236" s="1"/>
  <c r="A22" i="213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A43" i="213" s="1"/>
  <c r="A44" i="213" s="1"/>
  <c r="A45" i="213" s="1"/>
  <c r="A46" i="213" s="1"/>
  <c r="A47" i="213" s="1"/>
  <c r="A48" i="213" s="1"/>
  <c r="A49" i="213" s="1"/>
  <c r="A50" i="213" s="1"/>
  <c r="A51" i="213" s="1"/>
  <c r="A52" i="213" s="1"/>
  <c r="A53" i="213" s="1"/>
  <c r="A54" i="213" s="1"/>
  <c r="A55" i="213" s="1"/>
  <c r="A56" i="213" s="1"/>
  <c r="A57" i="213" s="1"/>
  <c r="A58" i="213" s="1"/>
  <c r="A59" i="213" s="1"/>
  <c r="A60" i="213" s="1"/>
  <c r="A61" i="213" s="1"/>
  <c r="A62" i="213" s="1"/>
  <c r="A63" i="213" s="1"/>
  <c r="A64" i="213" s="1"/>
  <c r="A65" i="213" s="1"/>
  <c r="A66" i="213" s="1"/>
  <c r="A67" i="213" s="1"/>
  <c r="A68" i="213" s="1"/>
  <c r="A69" i="213" s="1"/>
  <c r="A70" i="213" s="1"/>
  <c r="A71" i="213" s="1"/>
  <c r="A72" i="213" s="1"/>
  <c r="A73" i="213" s="1"/>
  <c r="A74" i="213" s="1"/>
  <c r="A75" i="213" s="1"/>
  <c r="A76" i="213" s="1"/>
  <c r="A77" i="213" s="1"/>
  <c r="A78" i="213" s="1"/>
  <c r="A79" i="213" s="1"/>
  <c r="A80" i="213" s="1"/>
  <c r="A81" i="213" s="1"/>
  <c r="A82" i="213" s="1"/>
  <c r="A83" i="213" s="1"/>
  <c r="A84" i="213" s="1"/>
  <c r="A85" i="213" s="1"/>
  <c r="A86" i="213" s="1"/>
  <c r="A22" i="207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A43" i="207" s="1"/>
  <c r="A44" i="207" s="1"/>
  <c r="A45" i="207" s="1"/>
  <c r="A46" i="207" s="1"/>
  <c r="A47" i="207" s="1"/>
  <c r="A48" i="207" s="1"/>
  <c r="A49" i="207" s="1"/>
  <c r="A50" i="207" s="1"/>
  <c r="A51" i="207" s="1"/>
  <c r="A52" i="207" s="1"/>
  <c r="A53" i="207" s="1"/>
  <c r="A54" i="207" s="1"/>
  <c r="A55" i="207" s="1"/>
  <c r="A56" i="207" s="1"/>
  <c r="A57" i="207" s="1"/>
  <c r="A58" i="207" s="1"/>
  <c r="A59" i="207" s="1"/>
  <c r="A60" i="207" s="1"/>
  <c r="A61" i="207" s="1"/>
  <c r="A62" i="207" s="1"/>
  <c r="A63" i="207" s="1"/>
  <c r="A64" i="207" s="1"/>
  <c r="A65" i="207" s="1"/>
  <c r="A66" i="207" s="1"/>
  <c r="A67" i="207" s="1"/>
  <c r="A68" i="207" s="1"/>
  <c r="A69" i="207" s="1"/>
  <c r="A70" i="207" s="1"/>
  <c r="A71" i="207" s="1"/>
  <c r="A72" i="207" s="1"/>
  <c r="A73" i="207" s="1"/>
  <c r="A74" i="207" s="1"/>
  <c r="A75" i="207" s="1"/>
  <c r="A76" i="207" s="1"/>
  <c r="A77" i="207" s="1"/>
  <c r="A78" i="207" s="1"/>
  <c r="A79" i="207" s="1"/>
  <c r="A80" i="207" s="1"/>
  <c r="A81" i="207" s="1"/>
  <c r="A82" i="207" s="1"/>
  <c r="A83" i="207" s="1"/>
  <c r="A84" i="207" s="1"/>
  <c r="A157" i="237" l="1"/>
  <c r="A158" i="237" s="1"/>
  <c r="A159" i="237" s="1"/>
  <c r="A160" i="237" s="1"/>
  <c r="A161" i="237" s="1"/>
  <c r="A162" i="237" s="1"/>
  <c r="A163" i="237" s="1"/>
  <c r="A164" i="237" s="1"/>
  <c r="A165" i="237" s="1"/>
  <c r="A166" i="237" s="1"/>
  <c r="A167" i="237" s="1"/>
  <c r="A168" i="237" s="1"/>
  <c r="A169" i="237" s="1"/>
  <c r="A170" i="237" s="1"/>
  <c r="A171" i="237" s="1"/>
  <c r="A172" i="237" s="1"/>
  <c r="A173" i="237" s="1"/>
  <c r="A174" i="237" s="1"/>
  <c r="A175" i="237" s="1"/>
  <c r="A176" i="237" s="1"/>
  <c r="A177" i="237" s="1"/>
  <c r="A178" i="237" s="1"/>
  <c r="A179" i="237" s="1"/>
  <c r="A180" i="237" s="1"/>
  <c r="A181" i="237" s="1"/>
  <c r="A182" i="237" s="1"/>
  <c r="A183" i="237" s="1"/>
  <c r="A186" i="209"/>
  <c r="A187" i="209" s="1"/>
  <c r="A188" i="209" s="1"/>
  <c r="A189" i="209" s="1"/>
  <c r="A190" i="209" s="1"/>
  <c r="A191" i="209" s="1"/>
  <c r="A192" i="209" s="1"/>
  <c r="A193" i="209" s="1"/>
  <c r="A194" i="209" s="1"/>
  <c r="A195" i="209" s="1"/>
  <c r="A196" i="209" s="1"/>
  <c r="A197" i="209" s="1"/>
  <c r="A198" i="209" s="1"/>
  <c r="A199" i="209" s="1"/>
  <c r="A200" i="209" s="1"/>
  <c r="A201" i="209" s="1"/>
  <c r="A202" i="209" s="1"/>
  <c r="A203" i="209" s="1"/>
  <c r="A204" i="209" s="1"/>
  <c r="A205" i="209" s="1"/>
  <c r="A206" i="209" s="1"/>
  <c r="A207" i="209" s="1"/>
  <c r="A208" i="209" s="1"/>
  <c r="A209" i="209" s="1"/>
  <c r="A210" i="209" s="1"/>
  <c r="A211" i="209" s="1"/>
  <c r="A212" i="209" s="1"/>
  <c r="A213" i="209" s="1"/>
  <c r="A214" i="209" s="1"/>
  <c r="A215" i="209" s="1"/>
  <c r="A216" i="209" s="1"/>
  <c r="A217" i="209" s="1"/>
  <c r="A218" i="209" s="1"/>
  <c r="A219" i="209" s="1"/>
  <c r="A220" i="209" s="1"/>
  <c r="A221" i="209" s="1"/>
  <c r="A222" i="209" s="1"/>
  <c r="A223" i="209" s="1"/>
  <c r="A224" i="209" s="1"/>
  <c r="A225" i="209" s="1"/>
  <c r="A226" i="209" s="1"/>
  <c r="A227" i="209" s="1"/>
  <c r="A228" i="209" s="1"/>
  <c r="A150" i="236"/>
  <c r="A151" i="236" s="1"/>
  <c r="A152" i="236" s="1"/>
  <c r="A153" i="236" s="1"/>
  <c r="A154" i="236" s="1"/>
  <c r="A155" i="236" s="1"/>
  <c r="A156" i="236" s="1"/>
  <c r="A157" i="236" s="1"/>
  <c r="A158" i="236" s="1"/>
  <c r="A159" i="236" s="1"/>
  <c r="A160" i="236" s="1"/>
  <c r="A161" i="236" s="1"/>
  <c r="A162" i="236" s="1"/>
  <c r="A163" i="236" s="1"/>
  <c r="A164" i="236" s="1"/>
  <c r="A165" i="236" s="1"/>
  <c r="A166" i="236" s="1"/>
  <c r="A167" i="236" s="1"/>
  <c r="A168" i="236" s="1"/>
  <c r="A169" i="236" s="1"/>
  <c r="A170" i="236" s="1"/>
  <c r="A171" i="236" s="1"/>
  <c r="A172" i="236" s="1"/>
  <c r="A173" i="236" s="1"/>
  <c r="A174" i="236" s="1"/>
  <c r="A175" i="236" s="1"/>
  <c r="A176" i="236" s="1"/>
  <c r="A177" i="236" s="1"/>
  <c r="A178" i="236" s="1"/>
  <c r="A179" i="236" s="1"/>
  <c r="A180" i="236" s="1"/>
  <c r="A181" i="236" s="1"/>
  <c r="A87" i="213"/>
  <c r="A88" i="213" s="1"/>
  <c r="A89" i="213" s="1"/>
  <c r="A90" i="213" s="1"/>
  <c r="A91" i="213" s="1"/>
  <c r="A92" i="213" s="1"/>
  <c r="A93" i="213" s="1"/>
  <c r="A94" i="213" s="1"/>
  <c r="A95" i="213" s="1"/>
  <c r="A96" i="213" s="1"/>
  <c r="A97" i="213" s="1"/>
  <c r="A98" i="213" s="1"/>
  <c r="A99" i="213" s="1"/>
  <c r="A100" i="213" s="1"/>
  <c r="A101" i="213" s="1"/>
  <c r="A102" i="213" s="1"/>
  <c r="A103" i="213" s="1"/>
  <c r="A104" i="213" s="1"/>
  <c r="A105" i="213" s="1"/>
  <c r="A106" i="213" s="1"/>
  <c r="A107" i="213" s="1"/>
  <c r="A108" i="213" s="1"/>
  <c r="A109" i="213" s="1"/>
  <c r="A110" i="213" s="1"/>
  <c r="A111" i="213" s="1"/>
  <c r="A112" i="213" s="1"/>
  <c r="A113" i="213" s="1"/>
  <c r="A114" i="213" s="1"/>
  <c r="A115" i="213" s="1"/>
  <c r="A116" i="213" s="1"/>
  <c r="A117" i="213" s="1"/>
  <c r="A118" i="213" s="1"/>
  <c r="A119" i="213" s="1"/>
  <c r="A120" i="213" s="1"/>
  <c r="A121" i="213" s="1"/>
  <c r="A122" i="213" s="1"/>
  <c r="A123" i="213" s="1"/>
  <c r="A124" i="213" s="1"/>
  <c r="A125" i="213" s="1"/>
  <c r="A126" i="213" s="1"/>
  <c r="A127" i="213" s="1"/>
  <c r="A128" i="213" s="1"/>
  <c r="A129" i="213" s="1"/>
  <c r="A130" i="213" s="1"/>
  <c r="A131" i="213" s="1"/>
  <c r="A132" i="213" s="1"/>
  <c r="A133" i="213" s="1"/>
  <c r="A134" i="213" s="1"/>
  <c r="A135" i="213" s="1"/>
  <c r="A136" i="213" s="1"/>
  <c r="A137" i="213" s="1"/>
  <c r="A138" i="213" s="1"/>
  <c r="A139" i="213" s="1"/>
  <c r="A140" i="213" s="1"/>
  <c r="A141" i="213" s="1"/>
  <c r="A142" i="213" s="1"/>
  <c r="A143" i="213" s="1"/>
  <c r="A144" i="213" s="1"/>
  <c r="A145" i="213" s="1"/>
  <c r="A146" i="213" s="1"/>
  <c r="A147" i="213" s="1"/>
  <c r="A148" i="213" s="1"/>
  <c r="A149" i="213" s="1"/>
  <c r="A150" i="213" s="1"/>
  <c r="A151" i="213" s="1"/>
  <c r="A152" i="213" s="1"/>
  <c r="A153" i="213" s="1"/>
  <c r="A85" i="207"/>
  <c r="A86" i="207" s="1"/>
  <c r="A87" i="207" s="1"/>
  <c r="A88" i="207" s="1"/>
  <c r="A89" i="207" s="1"/>
  <c r="A90" i="207" s="1"/>
  <c r="A91" i="207" s="1"/>
  <c r="A92" i="207" s="1"/>
  <c r="A93" i="207" s="1"/>
  <c r="A94" i="207" s="1"/>
  <c r="A95" i="207" s="1"/>
  <c r="A96" i="207" s="1"/>
  <c r="A97" i="207" s="1"/>
  <c r="A98" i="207" s="1"/>
  <c r="A99" i="207" s="1"/>
  <c r="A100" i="207" s="1"/>
  <c r="A101" i="207" s="1"/>
  <c r="A102" i="207" s="1"/>
  <c r="A103" i="207" s="1"/>
  <c r="A104" i="207" s="1"/>
  <c r="A105" i="207" s="1"/>
  <c r="A106" i="207" s="1"/>
  <c r="A107" i="207" s="1"/>
  <c r="A108" i="207" s="1"/>
  <c r="A109" i="207" s="1"/>
  <c r="A110" i="207" s="1"/>
  <c r="A111" i="207" s="1"/>
  <c r="A112" i="207" s="1"/>
  <c r="A113" i="207" s="1"/>
  <c r="A114" i="207" s="1"/>
  <c r="A115" i="207" s="1"/>
  <c r="A116" i="207" s="1"/>
  <c r="A117" i="207" s="1"/>
  <c r="A118" i="207" s="1"/>
  <c r="A119" i="207" s="1"/>
  <c r="A120" i="207" s="1"/>
  <c r="A121" i="207" s="1"/>
  <c r="A122" i="207" s="1"/>
  <c r="A123" i="207" s="1"/>
  <c r="A124" i="207" s="1"/>
  <c r="A125" i="207" s="1"/>
  <c r="A126" i="207" s="1"/>
  <c r="A127" i="207" s="1"/>
  <c r="A128" i="207" s="1"/>
  <c r="A129" i="207" s="1"/>
  <c r="A130" i="207" s="1"/>
  <c r="A131" i="207" s="1"/>
  <c r="A132" i="207" s="1"/>
  <c r="A133" i="207" s="1"/>
  <c r="A134" i="207" s="1"/>
  <c r="A135" i="207" s="1"/>
  <c r="A136" i="207" s="1"/>
  <c r="A137" i="207" s="1"/>
  <c r="A138" i="207" s="1"/>
  <c r="A139" i="207" s="1"/>
  <c r="A140" i="207" s="1"/>
  <c r="A141" i="207" s="1"/>
  <c r="A142" i="207" s="1"/>
  <c r="A143" i="207" s="1"/>
  <c r="A144" i="207" s="1"/>
  <c r="A145" i="207" s="1"/>
  <c r="A146" i="207" s="1"/>
  <c r="A147" i="207" s="1"/>
  <c r="A148" i="207" s="1"/>
  <c r="A149" i="207" s="1"/>
  <c r="D12" i="237"/>
  <c r="A229" i="209" l="1"/>
  <c r="A230" i="209" s="1"/>
  <c r="A231" i="209" s="1"/>
  <c r="A232" i="209" s="1"/>
  <c r="A233" i="209" s="1"/>
  <c r="A234" i="209" s="1"/>
  <c r="A235" i="209" s="1"/>
  <c r="A236" i="209" s="1"/>
  <c r="A237" i="209" s="1"/>
  <c r="A238" i="209" s="1"/>
  <c r="A239" i="209" s="1"/>
  <c r="A240" i="209" s="1"/>
  <c r="A241" i="209" s="1"/>
  <c r="A242" i="209" s="1"/>
  <c r="A243" i="209" s="1"/>
  <c r="A244" i="209" s="1"/>
  <c r="A245" i="209" s="1"/>
  <c r="A246" i="209" s="1"/>
  <c r="A247" i="209" s="1"/>
  <c r="A248" i="209" s="1"/>
  <c r="A249" i="209" s="1"/>
  <c r="A250" i="209" s="1"/>
  <c r="A251" i="209" s="1"/>
  <c r="A252" i="209" s="1"/>
  <c r="A253" i="209" s="1"/>
  <c r="A254" i="209" s="1"/>
  <c r="A255" i="209" s="1"/>
  <c r="A256" i="209" s="1"/>
  <c r="A257" i="209" s="1"/>
  <c r="A258" i="209" s="1"/>
  <c r="A259" i="209" s="1"/>
  <c r="A260" i="209" s="1"/>
  <c r="A261" i="209" s="1"/>
  <c r="A262" i="209" s="1"/>
  <c r="A263" i="209" s="1"/>
  <c r="A184" i="237"/>
  <c r="A185" i="237" s="1"/>
  <c r="A186" i="237" s="1"/>
  <c r="A187" i="237" s="1"/>
  <c r="A188" i="237" s="1"/>
  <c r="A189" i="237" s="1"/>
  <c r="A190" i="237" s="1"/>
  <c r="A191" i="237" s="1"/>
  <c r="A192" i="237" s="1"/>
  <c r="A193" i="237" s="1"/>
  <c r="A194" i="237" s="1"/>
  <c r="A195" i="237" s="1"/>
  <c r="A196" i="237" s="1"/>
  <c r="A197" i="237" s="1"/>
  <c r="A198" i="237" s="1"/>
  <c r="A199" i="237" s="1"/>
  <c r="A200" i="237" s="1"/>
  <c r="A201" i="237" s="1"/>
  <c r="A202" i="237" s="1"/>
  <c r="A203" i="237" s="1"/>
  <c r="A204" i="237" s="1"/>
  <c r="A205" i="237" s="1"/>
  <c r="A206" i="237" s="1"/>
  <c r="A207" i="237" s="1"/>
  <c r="A208" i="237" s="1"/>
  <c r="A209" i="237" s="1"/>
  <c r="A210" i="237" s="1"/>
  <c r="A211" i="237" s="1"/>
  <c r="A212" i="237" s="1"/>
  <c r="A213" i="237" s="1"/>
  <c r="A214" i="237" s="1"/>
  <c r="A215" i="237" s="1"/>
  <c r="A216" i="237" s="1"/>
  <c r="A217" i="237" s="1"/>
  <c r="A218" i="237" s="1"/>
  <c r="A219" i="237" s="1"/>
  <c r="A220" i="237" s="1"/>
  <c r="A221" i="237" s="1"/>
  <c r="A222" i="237" s="1"/>
  <c r="A223" i="237" s="1"/>
  <c r="A224" i="237" s="1"/>
  <c r="A225" i="237" s="1"/>
  <c r="A226" i="237" s="1"/>
  <c r="A227" i="237" s="1"/>
  <c r="A228" i="237" s="1"/>
  <c r="A229" i="237" s="1"/>
  <c r="A230" i="237" s="1"/>
  <c r="A231" i="237" s="1"/>
  <c r="A232" i="237" s="1"/>
  <c r="A233" i="237" s="1"/>
  <c r="A234" i="237" s="1"/>
  <c r="A235" i="237" s="1"/>
  <c r="A236" i="237" s="1"/>
  <c r="A237" i="237" s="1"/>
  <c r="A238" i="237" s="1"/>
  <c r="A239" i="237" s="1"/>
  <c r="A240" i="237" s="1"/>
  <c r="A241" i="237" s="1"/>
  <c r="A242" i="237" s="1"/>
  <c r="A243" i="237" s="1"/>
  <c r="A244" i="237" s="1"/>
  <c r="A245" i="237" s="1"/>
  <c r="A246" i="237" s="1"/>
  <c r="A182" i="236"/>
  <c r="A183" i="236" s="1"/>
  <c r="A184" i="236" s="1"/>
  <c r="A185" i="236" s="1"/>
  <c r="A186" i="236" s="1"/>
  <c r="A187" i="236" s="1"/>
  <c r="A188" i="236" s="1"/>
  <c r="A189" i="236" s="1"/>
  <c r="A190" i="236" s="1"/>
  <c r="A191" i="236" s="1"/>
  <c r="A192" i="236" s="1"/>
  <c r="A193" i="236" s="1"/>
  <c r="A194" i="236" s="1"/>
  <c r="A195" i="236" s="1"/>
  <c r="A196" i="236" s="1"/>
  <c r="A197" i="236" s="1"/>
  <c r="A198" i="236" s="1"/>
  <c r="A199" i="236" s="1"/>
  <c r="A200" i="236" s="1"/>
  <c r="A201" i="236" s="1"/>
  <c r="A202" i="236" s="1"/>
  <c r="A203" i="236" s="1"/>
  <c r="A204" i="236" s="1"/>
  <c r="A205" i="236" s="1"/>
  <c r="A206" i="236" s="1"/>
  <c r="A207" i="236" s="1"/>
  <c r="A208" i="236" s="1"/>
  <c r="A209" i="236" s="1"/>
  <c r="A210" i="236" s="1"/>
  <c r="A211" i="236" s="1"/>
  <c r="A212" i="236" s="1"/>
  <c r="A213" i="236" s="1"/>
  <c r="A214" i="236" s="1"/>
  <c r="A215" i="236" s="1"/>
  <c r="A216" i="236" s="1"/>
  <c r="A217" i="236" s="1"/>
  <c r="A218" i="236" s="1"/>
  <c r="A219" i="236" s="1"/>
  <c r="A220" i="236" s="1"/>
  <c r="A221" i="236" s="1"/>
  <c r="A222" i="236" s="1"/>
  <c r="A223" i="236" s="1"/>
  <c r="A224" i="236" s="1"/>
  <c r="A225" i="236" s="1"/>
  <c r="A226" i="236" s="1"/>
  <c r="A227" i="236" s="1"/>
  <c r="A154" i="213"/>
  <c r="A155" i="213" s="1"/>
  <c r="A156" i="213" s="1"/>
  <c r="A157" i="213" s="1"/>
  <c r="A158" i="213" s="1"/>
  <c r="A159" i="213" s="1"/>
  <c r="A160" i="213" s="1"/>
  <c r="A161" i="213" s="1"/>
  <c r="A162" i="213" s="1"/>
  <c r="A163" i="213" s="1"/>
  <c r="A164" i="213" s="1"/>
  <c r="A165" i="213" s="1"/>
  <c r="A166" i="213" s="1"/>
  <c r="A167" i="213" s="1"/>
  <c r="A168" i="213" s="1"/>
  <c r="A169" i="213" s="1"/>
  <c r="A170" i="213" s="1"/>
  <c r="A171" i="213" s="1"/>
  <c r="A172" i="213" s="1"/>
  <c r="A173" i="213" s="1"/>
  <c r="A174" i="213" s="1"/>
  <c r="A175" i="213" s="1"/>
  <c r="A176" i="213" s="1"/>
  <c r="A177" i="213" s="1"/>
  <c r="A178" i="213" s="1"/>
  <c r="A179" i="213" s="1"/>
  <c r="A180" i="213" s="1"/>
  <c r="A181" i="213" s="1"/>
  <c r="A182" i="213" s="1"/>
  <c r="A183" i="213" s="1"/>
  <c r="A184" i="213" s="1"/>
  <c r="A185" i="213" s="1"/>
  <c r="A186" i="213" s="1"/>
  <c r="A187" i="213" s="1"/>
  <c r="A188" i="213" s="1"/>
  <c r="A189" i="213" s="1"/>
  <c r="A190" i="213" s="1"/>
  <c r="A191" i="213" s="1"/>
  <c r="A192" i="213" s="1"/>
  <c r="A193" i="213" s="1"/>
  <c r="A194" i="213" s="1"/>
  <c r="A195" i="213" s="1"/>
  <c r="A196" i="213" s="1"/>
  <c r="A197" i="213" s="1"/>
  <c r="A198" i="213" s="1"/>
  <c r="A199" i="213" s="1"/>
  <c r="A200" i="213" s="1"/>
  <c r="A201" i="213" s="1"/>
  <c r="A202" i="213" s="1"/>
  <c r="A203" i="213" s="1"/>
  <c r="A204" i="213" s="1"/>
  <c r="A205" i="213" s="1"/>
  <c r="A206" i="213" s="1"/>
  <c r="A207" i="213" s="1"/>
  <c r="A208" i="213" s="1"/>
  <c r="A209" i="213" s="1"/>
  <c r="A210" i="213" s="1"/>
  <c r="A211" i="213" s="1"/>
  <c r="A212" i="213" s="1"/>
  <c r="A213" i="213" s="1"/>
  <c r="A214" i="213" s="1"/>
  <c r="A215" i="213" s="1"/>
  <c r="A216" i="213" s="1"/>
  <c r="A217" i="213" s="1"/>
  <c r="A218" i="213" s="1"/>
  <c r="A219" i="213" s="1"/>
  <c r="A220" i="213" s="1"/>
  <c r="A221" i="213" s="1"/>
  <c r="A222" i="213" s="1"/>
  <c r="A223" i="213" s="1"/>
  <c r="A224" i="213" s="1"/>
  <c r="A225" i="213" s="1"/>
  <c r="A226" i="213" s="1"/>
  <c r="A227" i="213" s="1"/>
  <c r="A228" i="213" s="1"/>
  <c r="A229" i="213" s="1"/>
  <c r="A230" i="213" s="1"/>
  <c r="A150" i="207"/>
  <c r="A151" i="207" s="1"/>
  <c r="A152" i="207" s="1"/>
  <c r="A153" i="207" s="1"/>
  <c r="A154" i="207" s="1"/>
  <c r="A155" i="207" s="1"/>
  <c r="A156" i="207" s="1"/>
  <c r="A157" i="207" s="1"/>
  <c r="A158" i="207" s="1"/>
  <c r="A159" i="207" s="1"/>
  <c r="A160" i="207" s="1"/>
  <c r="A161" i="207" s="1"/>
  <c r="A162" i="207" s="1"/>
  <c r="A163" i="207" s="1"/>
  <c r="A164" i="207" s="1"/>
  <c r="A165" i="207" s="1"/>
  <c r="A166" i="207" s="1"/>
  <c r="A167" i="207" s="1"/>
  <c r="A168" i="207" s="1"/>
  <c r="A169" i="207" s="1"/>
  <c r="A170" i="207" s="1"/>
  <c r="A171" i="207" s="1"/>
  <c r="A172" i="207" s="1"/>
  <c r="A173" i="207" s="1"/>
  <c r="A174" i="207" s="1"/>
  <c r="A175" i="207" s="1"/>
  <c r="A176" i="207" s="1"/>
  <c r="A177" i="207" s="1"/>
  <c r="A178" i="207" s="1"/>
  <c r="A179" i="207" s="1"/>
  <c r="A180" i="207" s="1"/>
  <c r="C12" i="215"/>
  <c r="C12" i="30"/>
  <c r="H12" i="30" s="1"/>
  <c r="A228" i="236" l="1"/>
  <c r="A229" i="236" s="1"/>
  <c r="A230" i="236" s="1"/>
  <c r="A231" i="236" s="1"/>
  <c r="A232" i="236" s="1"/>
  <c r="A233" i="236" s="1"/>
  <c r="A234" i="236" s="1"/>
  <c r="A235" i="236" s="1"/>
  <c r="A236" i="236" s="1"/>
  <c r="A237" i="236" s="1"/>
  <c r="A238" i="236" s="1"/>
  <c r="A239" i="236" s="1"/>
  <c r="A240" i="236" s="1"/>
  <c r="A241" i="236" s="1"/>
  <c r="A242" i="236" s="1"/>
  <c r="A243" i="236" s="1"/>
  <c r="A244" i="236" s="1"/>
  <c r="A245" i="236" s="1"/>
  <c r="A246" i="236" s="1"/>
  <c r="A247" i="236" s="1"/>
  <c r="A248" i="236" s="1"/>
  <c r="A249" i="236" s="1"/>
  <c r="A250" i="236" s="1"/>
  <c r="A251" i="236" s="1"/>
  <c r="A252" i="236" s="1"/>
  <c r="A253" i="236" s="1"/>
  <c r="A254" i="236" s="1"/>
  <c r="A255" i="236" s="1"/>
  <c r="A256" i="236" s="1"/>
  <c r="A257" i="236" s="1"/>
  <c r="A258" i="236" s="1"/>
  <c r="A259" i="236" s="1"/>
  <c r="A260" i="236" s="1"/>
  <c r="A261" i="236" s="1"/>
  <c r="A231" i="213"/>
  <c r="A232" i="213" s="1"/>
  <c r="A233" i="213" s="1"/>
  <c r="A234" i="213" s="1"/>
  <c r="A235" i="213" s="1"/>
  <c r="A236" i="213" s="1"/>
  <c r="A237" i="213" s="1"/>
  <c r="A238" i="213" s="1"/>
  <c r="A239" i="213" s="1"/>
  <c r="A240" i="213" s="1"/>
  <c r="A241" i="213" s="1"/>
  <c r="A242" i="213" s="1"/>
  <c r="A243" i="213" s="1"/>
  <c r="A244" i="213" s="1"/>
  <c r="A245" i="213" s="1"/>
  <c r="A246" i="213" s="1"/>
  <c r="A247" i="213" s="1"/>
  <c r="A248" i="213" s="1"/>
  <c r="A249" i="213" s="1"/>
  <c r="A250" i="213" s="1"/>
  <c r="A251" i="213" s="1"/>
  <c r="A252" i="213" s="1"/>
  <c r="A253" i="213" s="1"/>
  <c r="A254" i="213" s="1"/>
  <c r="A255" i="213" s="1"/>
  <c r="A256" i="213" s="1"/>
  <c r="A257" i="213" s="1"/>
  <c r="A258" i="213" s="1"/>
  <c r="A259" i="213" s="1"/>
  <c r="A260" i="213" s="1"/>
  <c r="A261" i="213" s="1"/>
  <c r="A262" i="213" s="1"/>
  <c r="A263" i="213" s="1"/>
  <c r="A264" i="213" s="1"/>
  <c r="A265" i="213" s="1"/>
  <c r="A266" i="213" s="1"/>
  <c r="A267" i="213" s="1"/>
  <c r="A268" i="213" s="1"/>
  <c r="A269" i="213" s="1"/>
  <c r="A270" i="213" s="1"/>
  <c r="A247" i="237"/>
  <c r="A248" i="237" s="1"/>
  <c r="A249" i="237" s="1"/>
  <c r="A250" i="237" s="1"/>
  <c r="A251" i="237" s="1"/>
  <c r="A252" i="237" s="1"/>
  <c r="A253" i="237" s="1"/>
  <c r="A254" i="237" s="1"/>
  <c r="A255" i="237" s="1"/>
  <c r="A256" i="237" s="1"/>
  <c r="A257" i="237" s="1"/>
  <c r="A258" i="237" s="1"/>
  <c r="A259" i="237" s="1"/>
  <c r="A260" i="237" s="1"/>
  <c r="A261" i="237" s="1"/>
  <c r="A181" i="207"/>
  <c r="A182" i="207" s="1"/>
  <c r="A183" i="207" s="1"/>
  <c r="A184" i="207" s="1"/>
  <c r="A185" i="207" s="1"/>
  <c r="A186" i="207" s="1"/>
  <c r="A187" i="207" s="1"/>
  <c r="A188" i="207" s="1"/>
  <c r="A189" i="207" s="1"/>
  <c r="A190" i="207" s="1"/>
  <c r="A191" i="207" s="1"/>
  <c r="A192" i="207" s="1"/>
  <c r="A193" i="207" s="1"/>
  <c r="A194" i="207" s="1"/>
  <c r="A195" i="207" s="1"/>
  <c r="A196" i="207" s="1"/>
  <c r="A197" i="207" s="1"/>
  <c r="A198" i="207" s="1"/>
  <c r="A199" i="207" s="1"/>
  <c r="A200" i="207" s="1"/>
  <c r="A201" i="207" s="1"/>
  <c r="A202" i="207" s="1"/>
  <c r="A203" i="207" s="1"/>
  <c r="A204" i="207" s="1"/>
  <c r="A205" i="207" s="1"/>
  <c r="A206" i="207" s="1"/>
  <c r="A207" i="207" s="1"/>
  <c r="A208" i="207" s="1"/>
  <c r="A209" i="207" s="1"/>
  <c r="A210" i="207" s="1"/>
  <c r="A211" i="207" s="1"/>
  <c r="A212" i="207" s="1"/>
  <c r="A213" i="207" s="1"/>
  <c r="G207" i="236"/>
  <c r="L207" i="236" s="1"/>
  <c r="G211" i="236"/>
  <c r="L211" i="236" s="1"/>
  <c r="G204" i="236"/>
  <c r="L204" i="236" s="1"/>
  <c r="G208" i="236"/>
  <c r="L208" i="236" s="1"/>
  <c r="G210" i="236"/>
  <c r="L210" i="236" s="1"/>
  <c r="G215" i="236"/>
  <c r="L215" i="236" s="1"/>
  <c r="G200" i="236"/>
  <c r="L200" i="236" s="1"/>
  <c r="G205" i="236"/>
  <c r="L205" i="236" s="1"/>
  <c r="G209" i="236"/>
  <c r="L209" i="236" s="1"/>
  <c r="G221" i="236"/>
  <c r="G206" i="236"/>
  <c r="L206" i="236" s="1"/>
  <c r="G202" i="236"/>
  <c r="L202" i="236" s="1"/>
  <c r="H185" i="207"/>
  <c r="M185" i="207" s="1"/>
  <c r="G185" i="207"/>
  <c r="G187" i="207" s="1"/>
  <c r="G122" i="10"/>
  <c r="H122" i="10"/>
  <c r="G121" i="10"/>
  <c r="H121" i="10"/>
  <c r="G120" i="10"/>
  <c r="H120" i="10"/>
  <c r="G119" i="10"/>
  <c r="H119" i="10"/>
  <c r="R28" i="39"/>
  <c r="R36" i="39" s="1"/>
  <c r="Q28" i="39"/>
  <c r="O28" i="39"/>
  <c r="O36" i="39" s="1"/>
  <c r="R27" i="39"/>
  <c r="R35" i="39" s="1"/>
  <c r="Q27" i="39"/>
  <c r="Q35" i="39" s="1"/>
  <c r="O27" i="39"/>
  <c r="O35" i="39" s="1"/>
  <c r="M27" i="39"/>
  <c r="M35" i="39" s="1"/>
  <c r="R26" i="39"/>
  <c r="R34" i="39" s="1"/>
  <c r="O26" i="39"/>
  <c r="O34" i="39" s="1"/>
  <c r="M26" i="39"/>
  <c r="M34" i="39" s="1"/>
  <c r="R25" i="39"/>
  <c r="R33" i="39" s="1"/>
  <c r="Q25" i="39"/>
  <c r="M25" i="39"/>
  <c r="M33" i="39" s="1"/>
  <c r="C24" i="30"/>
  <c r="D53" i="50"/>
  <c r="H36" i="35"/>
  <c r="H30" i="35"/>
  <c r="H25" i="35"/>
  <c r="H18" i="35"/>
  <c r="H17" i="35"/>
  <c r="D38" i="79"/>
  <c r="F130" i="209"/>
  <c r="F131" i="209"/>
  <c r="F132" i="209"/>
  <c r="F133" i="209"/>
  <c r="F134" i="209"/>
  <c r="F135" i="209"/>
  <c r="F136" i="209"/>
  <c r="F137" i="209"/>
  <c r="F138" i="209"/>
  <c r="F139" i="209"/>
  <c r="F140" i="209"/>
  <c r="F141" i="209"/>
  <c r="F142" i="209"/>
  <c r="F143" i="209"/>
  <c r="F144" i="209"/>
  <c r="F145" i="209"/>
  <c r="F146" i="209"/>
  <c r="F147" i="209"/>
  <c r="F148" i="209"/>
  <c r="F149" i="209"/>
  <c r="F150" i="209"/>
  <c r="F127" i="213"/>
  <c r="F128" i="213"/>
  <c r="F129" i="213"/>
  <c r="F130" i="213"/>
  <c r="F131" i="213"/>
  <c r="F133" i="213"/>
  <c r="F132" i="213"/>
  <c r="F134" i="213"/>
  <c r="F135" i="213"/>
  <c r="F136" i="213"/>
  <c r="F137" i="213"/>
  <c r="F138" i="213"/>
  <c r="F139" i="213"/>
  <c r="F140" i="213"/>
  <c r="F141" i="213"/>
  <c r="F142" i="213"/>
  <c r="F143" i="213"/>
  <c r="F144" i="213"/>
  <c r="F145" i="213"/>
  <c r="F146" i="213"/>
  <c r="F147" i="213"/>
  <c r="F16" i="105"/>
  <c r="F18" i="105" s="1"/>
  <c r="C38" i="238"/>
  <c r="H38" i="238" s="1"/>
  <c r="C66" i="238"/>
  <c r="F66" i="238" s="1"/>
  <c r="C50" i="238"/>
  <c r="G50" i="238" s="1"/>
  <c r="C37" i="238"/>
  <c r="E37" i="238" s="1"/>
  <c r="D42" i="45"/>
  <c r="D73" i="51"/>
  <c r="D74" i="51"/>
  <c r="D75" i="51"/>
  <c r="D106" i="51"/>
  <c r="G252" i="213"/>
  <c r="L183" i="213"/>
  <c r="M183" i="213"/>
  <c r="H122" i="213"/>
  <c r="M122" i="213" s="1"/>
  <c r="M185" i="209"/>
  <c r="M124" i="209"/>
  <c r="E18" i="215"/>
  <c r="J18" i="215" s="1"/>
  <c r="J25" i="215" s="1"/>
  <c r="D19" i="215"/>
  <c r="I19" i="215" s="1"/>
  <c r="E19" i="215"/>
  <c r="J19" i="215" s="1"/>
  <c r="J26" i="215" s="1"/>
  <c r="D20" i="215"/>
  <c r="E20" i="215"/>
  <c r="J20" i="215" s="1"/>
  <c r="F22" i="244"/>
  <c r="K22" i="244" s="1"/>
  <c r="E19" i="244"/>
  <c r="J19" i="244" s="1"/>
  <c r="F19" i="244"/>
  <c r="K19" i="244" s="1"/>
  <c r="E16" i="244"/>
  <c r="J16" i="244" s="1"/>
  <c r="F16" i="244"/>
  <c r="K16" i="244" s="1"/>
  <c r="F38" i="232"/>
  <c r="E30" i="232"/>
  <c r="F30" i="232"/>
  <c r="K30" i="232" s="1"/>
  <c r="E22" i="232"/>
  <c r="F22" i="232"/>
  <c r="F24" i="232" s="1"/>
  <c r="K24" i="232" s="1"/>
  <c r="H133" i="207"/>
  <c r="M133" i="207" s="1"/>
  <c r="G251" i="236"/>
  <c r="L251" i="236" s="1"/>
  <c r="H257" i="236"/>
  <c r="H153" i="236"/>
  <c r="J18" i="30"/>
  <c r="D19" i="30"/>
  <c r="I19" i="30" s="1"/>
  <c r="J19" i="30"/>
  <c r="J26" i="30" s="1"/>
  <c r="D20" i="30"/>
  <c r="J20" i="30"/>
  <c r="J34" i="30" s="1"/>
  <c r="K22" i="243"/>
  <c r="J19" i="243"/>
  <c r="K19" i="243"/>
  <c r="J16" i="243"/>
  <c r="K16" i="243"/>
  <c r="F43" i="231"/>
  <c r="E32" i="231"/>
  <c r="K30" i="231"/>
  <c r="J22" i="231"/>
  <c r="F24" i="231"/>
  <c r="E18" i="106"/>
  <c r="E29" i="106" s="1"/>
  <c r="I14" i="106" s="1"/>
  <c r="E42" i="232"/>
  <c r="E44" i="232"/>
  <c r="J44" i="232" s="1"/>
  <c r="E40" i="232"/>
  <c r="J40" i="232" s="1"/>
  <c r="E15" i="232"/>
  <c r="J15" i="232" s="1"/>
  <c r="F15" i="232"/>
  <c r="E17" i="232"/>
  <c r="J17" i="232" s="1"/>
  <c r="F17" i="232"/>
  <c r="K17" i="232" s="1"/>
  <c r="H16" i="104"/>
  <c r="J16" i="104" s="1"/>
  <c r="J18" i="247"/>
  <c r="G16" i="239"/>
  <c r="H16" i="239"/>
  <c r="G18" i="239"/>
  <c r="G20" i="239"/>
  <c r="G22" i="239"/>
  <c r="E41" i="231"/>
  <c r="E15" i="231"/>
  <c r="F15" i="231"/>
  <c r="E17" i="231"/>
  <c r="F17" i="231"/>
  <c r="D65" i="238"/>
  <c r="E65" i="238"/>
  <c r="F65" i="238"/>
  <c r="G65" i="238"/>
  <c r="H65" i="238"/>
  <c r="I65" i="238"/>
  <c r="J65" i="238"/>
  <c r="K65" i="238"/>
  <c r="L65" i="238"/>
  <c r="M65" i="238"/>
  <c r="N65" i="238"/>
  <c r="A4" i="244"/>
  <c r="A4" i="243"/>
  <c r="A4" i="232"/>
  <c r="A4" i="237"/>
  <c r="A4" i="231"/>
  <c r="A4" i="69"/>
  <c r="A4" i="24"/>
  <c r="A4" i="215"/>
  <c r="A4" i="30"/>
  <c r="A4" i="31"/>
  <c r="A4" i="247"/>
  <c r="J2" i="9"/>
  <c r="J1" i="9"/>
  <c r="F122" i="237"/>
  <c r="F123" i="237"/>
  <c r="F128" i="237"/>
  <c r="F129" i="237"/>
  <c r="F130" i="237"/>
  <c r="F131" i="237"/>
  <c r="F132" i="237"/>
  <c r="F133" i="237"/>
  <c r="F134" i="237"/>
  <c r="F135" i="237"/>
  <c r="F136" i="237"/>
  <c r="F137" i="237"/>
  <c r="F138" i="237"/>
  <c r="F139" i="237"/>
  <c r="F140" i="237"/>
  <c r="F141" i="237"/>
  <c r="F142" i="237"/>
  <c r="F143" i="237"/>
  <c r="F144" i="237"/>
  <c r="F145" i="237"/>
  <c r="F146" i="237"/>
  <c r="F147" i="237"/>
  <c r="F148" i="237"/>
  <c r="F153" i="237"/>
  <c r="F154" i="237"/>
  <c r="F155" i="237"/>
  <c r="F156" i="237"/>
  <c r="F157" i="237"/>
  <c r="F158" i="237"/>
  <c r="F159" i="237"/>
  <c r="F166" i="237"/>
  <c r="F167" i="237"/>
  <c r="F168" i="237"/>
  <c r="F169" i="237"/>
  <c r="F170" i="237"/>
  <c r="F171" i="237"/>
  <c r="F172" i="237"/>
  <c r="F173" i="237"/>
  <c r="F86" i="237"/>
  <c r="G86" i="237"/>
  <c r="F87" i="237"/>
  <c r="G87" i="237"/>
  <c r="F88" i="237"/>
  <c r="G88" i="237"/>
  <c r="F89" i="237"/>
  <c r="G89" i="237"/>
  <c r="F90" i="237"/>
  <c r="G90" i="237"/>
  <c r="F96" i="237"/>
  <c r="G96" i="237"/>
  <c r="F97" i="237"/>
  <c r="G97" i="237"/>
  <c r="F98" i="237"/>
  <c r="G98" i="237"/>
  <c r="F99" i="237"/>
  <c r="G99" i="237"/>
  <c r="F100" i="237"/>
  <c r="G100" i="237"/>
  <c r="F101" i="237"/>
  <c r="G101" i="237"/>
  <c r="F102" i="237"/>
  <c r="G102" i="237"/>
  <c r="F103" i="237"/>
  <c r="G103" i="237"/>
  <c r="F104" i="237"/>
  <c r="G104" i="237"/>
  <c r="F105" i="237"/>
  <c r="G105" i="237"/>
  <c r="F106" i="237"/>
  <c r="G106" i="237"/>
  <c r="F107" i="237"/>
  <c r="G107" i="237"/>
  <c r="F108" i="237"/>
  <c r="G108" i="237"/>
  <c r="F109" i="237"/>
  <c r="G109" i="237"/>
  <c r="F110" i="237"/>
  <c r="G110" i="237"/>
  <c r="F62" i="237"/>
  <c r="G62" i="237"/>
  <c r="F63" i="237"/>
  <c r="G63" i="237"/>
  <c r="F64" i="237"/>
  <c r="G64" i="237"/>
  <c r="F65" i="237"/>
  <c r="G65" i="237"/>
  <c r="F66" i="237"/>
  <c r="G66" i="237"/>
  <c r="F67" i="237"/>
  <c r="G67" i="237"/>
  <c r="F68" i="237"/>
  <c r="G68" i="237"/>
  <c r="F69" i="237"/>
  <c r="G69" i="237"/>
  <c r="F70" i="237"/>
  <c r="G70" i="237"/>
  <c r="F71" i="237"/>
  <c r="G71" i="237"/>
  <c r="F72" i="237"/>
  <c r="G72" i="237"/>
  <c r="F73" i="237"/>
  <c r="G73" i="237"/>
  <c r="F74" i="237"/>
  <c r="G74" i="237"/>
  <c r="F75" i="237"/>
  <c r="G75" i="237"/>
  <c r="F76" i="237"/>
  <c r="G76" i="237"/>
  <c r="F77" i="237"/>
  <c r="G77" i="237"/>
  <c r="F78" i="237"/>
  <c r="G78" i="237"/>
  <c r="F79" i="237"/>
  <c r="G79" i="237"/>
  <c r="F80" i="237"/>
  <c r="G80" i="237"/>
  <c r="F81" i="237"/>
  <c r="G81" i="237"/>
  <c r="F50" i="237"/>
  <c r="G50" i="237"/>
  <c r="F51" i="237"/>
  <c r="G51" i="237"/>
  <c r="F52" i="237"/>
  <c r="G52" i="237"/>
  <c r="F53" i="237"/>
  <c r="G53" i="237"/>
  <c r="F54" i="237"/>
  <c r="G54" i="237"/>
  <c r="F55" i="237"/>
  <c r="G55" i="237"/>
  <c r="F56" i="237"/>
  <c r="G56" i="237"/>
  <c r="F57" i="237"/>
  <c r="G57" i="237"/>
  <c r="F29" i="237"/>
  <c r="G29" i="237"/>
  <c r="F30" i="237"/>
  <c r="G30" i="237"/>
  <c r="F31" i="237"/>
  <c r="G31" i="237"/>
  <c r="F32" i="237"/>
  <c r="G32" i="237"/>
  <c r="F33" i="237"/>
  <c r="G33" i="237"/>
  <c r="F34" i="237"/>
  <c r="G34" i="237"/>
  <c r="F35" i="237"/>
  <c r="G35" i="237"/>
  <c r="F36" i="237"/>
  <c r="G36" i="237"/>
  <c r="F37" i="237"/>
  <c r="G37" i="237"/>
  <c r="F38" i="237"/>
  <c r="G38" i="237"/>
  <c r="F39" i="237"/>
  <c r="G39" i="237"/>
  <c r="F40" i="237"/>
  <c r="G40" i="237"/>
  <c r="F41" i="237"/>
  <c r="G41" i="237"/>
  <c r="F42" i="237"/>
  <c r="G42" i="237"/>
  <c r="F43" i="237"/>
  <c r="G43" i="237"/>
  <c r="F44" i="237"/>
  <c r="G44" i="237"/>
  <c r="F45" i="237"/>
  <c r="G45" i="237"/>
  <c r="F22" i="237"/>
  <c r="G22" i="237"/>
  <c r="F23" i="237"/>
  <c r="G23" i="237"/>
  <c r="F24" i="237"/>
  <c r="G24" i="237"/>
  <c r="G16" i="237"/>
  <c r="F17" i="237"/>
  <c r="G17" i="237"/>
  <c r="G121" i="213"/>
  <c r="G122" i="213"/>
  <c r="G127" i="213"/>
  <c r="L127" i="213" s="1"/>
  <c r="G128" i="213"/>
  <c r="L128" i="213" s="1"/>
  <c r="G129" i="213"/>
  <c r="L129" i="213" s="1"/>
  <c r="G130" i="213"/>
  <c r="L130" i="213" s="1"/>
  <c r="G131" i="213"/>
  <c r="L131" i="213" s="1"/>
  <c r="G133" i="213"/>
  <c r="L133" i="213" s="1"/>
  <c r="G132" i="213"/>
  <c r="L132" i="213" s="1"/>
  <c r="G134" i="213"/>
  <c r="L134" i="213" s="1"/>
  <c r="G135" i="213"/>
  <c r="L135" i="213" s="1"/>
  <c r="G136" i="213"/>
  <c r="L136" i="213" s="1"/>
  <c r="G137" i="213"/>
  <c r="L137" i="213" s="1"/>
  <c r="G138" i="213"/>
  <c r="L138" i="213" s="1"/>
  <c r="G139" i="213"/>
  <c r="L139" i="213" s="1"/>
  <c r="G140" i="213"/>
  <c r="L140" i="213" s="1"/>
  <c r="G141" i="213"/>
  <c r="L141" i="213" s="1"/>
  <c r="G142" i="213"/>
  <c r="L142" i="213" s="1"/>
  <c r="G143" i="213"/>
  <c r="L143" i="213" s="1"/>
  <c r="G144" i="213"/>
  <c r="L144" i="213" s="1"/>
  <c r="G145" i="213"/>
  <c r="L145" i="213" s="1"/>
  <c r="G146" i="213"/>
  <c r="L146" i="213" s="1"/>
  <c r="G147" i="213"/>
  <c r="L147" i="213" s="1"/>
  <c r="G152" i="213"/>
  <c r="G153" i="213"/>
  <c r="G154" i="213"/>
  <c r="G155" i="213"/>
  <c r="G167" i="213"/>
  <c r="L167" i="213" s="1"/>
  <c r="G168" i="213"/>
  <c r="G169" i="213"/>
  <c r="G170" i="213"/>
  <c r="G171" i="213"/>
  <c r="G172" i="213"/>
  <c r="L16" i="213"/>
  <c r="M16" i="213"/>
  <c r="L17" i="213"/>
  <c r="M17" i="213"/>
  <c r="L22" i="213"/>
  <c r="M22" i="213"/>
  <c r="L23" i="213"/>
  <c r="M23" i="213"/>
  <c r="L24" i="213"/>
  <c r="M24" i="213"/>
  <c r="L29" i="213"/>
  <c r="M29" i="213"/>
  <c r="L30" i="213"/>
  <c r="M30" i="213"/>
  <c r="L31" i="213"/>
  <c r="M31" i="213"/>
  <c r="L32" i="213"/>
  <c r="M32" i="213"/>
  <c r="L33" i="213"/>
  <c r="M33" i="213"/>
  <c r="L34" i="213"/>
  <c r="M34" i="213"/>
  <c r="L35" i="213"/>
  <c r="M35" i="213"/>
  <c r="L36" i="213"/>
  <c r="M36" i="213"/>
  <c r="L37" i="213"/>
  <c r="M37" i="213"/>
  <c r="L38" i="213"/>
  <c r="M38" i="213"/>
  <c r="L39" i="213"/>
  <c r="M39" i="213"/>
  <c r="L40" i="213"/>
  <c r="M40" i="213"/>
  <c r="L41" i="213"/>
  <c r="M41" i="213"/>
  <c r="L42" i="213"/>
  <c r="M42" i="213"/>
  <c r="L43" i="213"/>
  <c r="M43" i="213"/>
  <c r="L44" i="213"/>
  <c r="M44" i="213"/>
  <c r="L45" i="213"/>
  <c r="M45" i="213"/>
  <c r="L50" i="213"/>
  <c r="M50" i="213"/>
  <c r="L51" i="213"/>
  <c r="M51" i="213"/>
  <c r="L52" i="213"/>
  <c r="M52" i="213"/>
  <c r="L53" i="213"/>
  <c r="M53" i="213"/>
  <c r="L54" i="213"/>
  <c r="M54" i="213"/>
  <c r="L55" i="213"/>
  <c r="M55" i="213"/>
  <c r="L56" i="213"/>
  <c r="M56" i="213"/>
  <c r="L57" i="213"/>
  <c r="M57" i="213"/>
  <c r="L62" i="213"/>
  <c r="M62" i="213"/>
  <c r="L63" i="213"/>
  <c r="M63" i="213"/>
  <c r="L64" i="213"/>
  <c r="M64" i="213"/>
  <c r="L65" i="213"/>
  <c r="M65" i="213"/>
  <c r="L66" i="213"/>
  <c r="M66" i="213"/>
  <c r="L67" i="213"/>
  <c r="M67" i="213"/>
  <c r="L68" i="213"/>
  <c r="M68" i="213"/>
  <c r="L69" i="213"/>
  <c r="M69" i="213"/>
  <c r="L70" i="213"/>
  <c r="M70" i="213"/>
  <c r="L71" i="213"/>
  <c r="M71" i="213"/>
  <c r="L72" i="213"/>
  <c r="M72" i="213"/>
  <c r="L73" i="213"/>
  <c r="M73" i="213"/>
  <c r="L74" i="213"/>
  <c r="M74" i="213"/>
  <c r="L75" i="213"/>
  <c r="M75" i="213"/>
  <c r="L76" i="213"/>
  <c r="M76" i="213"/>
  <c r="L77" i="213"/>
  <c r="M77" i="213"/>
  <c r="L78" i="213"/>
  <c r="M78" i="213"/>
  <c r="L79" i="213"/>
  <c r="M79" i="213"/>
  <c r="L80" i="213"/>
  <c r="M80" i="213"/>
  <c r="L81" i="213"/>
  <c r="M81" i="213"/>
  <c r="L86" i="213"/>
  <c r="M86" i="213"/>
  <c r="L87" i="213"/>
  <c r="M87" i="213"/>
  <c r="L88" i="213"/>
  <c r="M88" i="213"/>
  <c r="L89" i="213"/>
  <c r="M89" i="213"/>
  <c r="L90" i="213"/>
  <c r="M90" i="213"/>
  <c r="L91" i="213"/>
  <c r="M91" i="213"/>
  <c r="L92" i="213"/>
  <c r="M92" i="213"/>
  <c r="L110" i="213"/>
  <c r="M110" i="213"/>
  <c r="G178" i="213"/>
  <c r="L178" i="213" s="1"/>
  <c r="L116" i="213"/>
  <c r="M116" i="213"/>
  <c r="G124" i="209"/>
  <c r="L124" i="209" s="1"/>
  <c r="G125" i="209"/>
  <c r="G130" i="209"/>
  <c r="G131" i="209"/>
  <c r="L131" i="209" s="1"/>
  <c r="G132" i="209"/>
  <c r="L132" i="209" s="1"/>
  <c r="G133" i="209"/>
  <c r="L133" i="209" s="1"/>
  <c r="G134" i="209"/>
  <c r="L134" i="209" s="1"/>
  <c r="G135" i="209"/>
  <c r="G136" i="209"/>
  <c r="L136" i="209" s="1"/>
  <c r="G137" i="209"/>
  <c r="L137" i="209" s="1"/>
  <c r="G138" i="209"/>
  <c r="L138" i="209" s="1"/>
  <c r="G139" i="209"/>
  <c r="L139" i="209" s="1"/>
  <c r="G140" i="209"/>
  <c r="L140" i="209" s="1"/>
  <c r="G141" i="209"/>
  <c r="L141" i="209" s="1"/>
  <c r="G142" i="209"/>
  <c r="L142" i="209" s="1"/>
  <c r="G143" i="209"/>
  <c r="L143" i="209" s="1"/>
  <c r="G144" i="209"/>
  <c r="L144" i="209" s="1"/>
  <c r="G145" i="209"/>
  <c r="L145" i="209" s="1"/>
  <c r="G146" i="209"/>
  <c r="L146" i="209" s="1"/>
  <c r="G147" i="209"/>
  <c r="L147" i="209" s="1"/>
  <c r="G148" i="209"/>
  <c r="L148" i="209" s="1"/>
  <c r="G149" i="209"/>
  <c r="L149" i="209" s="1"/>
  <c r="G150" i="209"/>
  <c r="L150" i="209" s="1"/>
  <c r="G155" i="209"/>
  <c r="L155" i="209" s="1"/>
  <c r="G156" i="209"/>
  <c r="L156" i="209" s="1"/>
  <c r="G157" i="209"/>
  <c r="L157" i="209" s="1"/>
  <c r="G158" i="209"/>
  <c r="L158" i="209" s="1"/>
  <c r="G159" i="209"/>
  <c r="L159" i="209" s="1"/>
  <c r="G166" i="209"/>
  <c r="L166" i="209" s="1"/>
  <c r="G167" i="209"/>
  <c r="L167" i="209" s="1"/>
  <c r="G168" i="209"/>
  <c r="L168" i="209" s="1"/>
  <c r="G169" i="209"/>
  <c r="L169" i="209" s="1"/>
  <c r="G170" i="209"/>
  <c r="L170" i="209" s="1"/>
  <c r="G171" i="209"/>
  <c r="L171" i="209" s="1"/>
  <c r="G172" i="209"/>
  <c r="L172" i="209" s="1"/>
  <c r="G173" i="209"/>
  <c r="L173" i="209" s="1"/>
  <c r="G174" i="209"/>
  <c r="L174" i="209" s="1"/>
  <c r="G175" i="209"/>
  <c r="L175" i="209" s="1"/>
  <c r="G176" i="209"/>
  <c r="L176" i="209" s="1"/>
  <c r="L86" i="209"/>
  <c r="M86" i="209"/>
  <c r="L87" i="209"/>
  <c r="M87" i="209"/>
  <c r="L88" i="209"/>
  <c r="M88" i="209"/>
  <c r="L89" i="209"/>
  <c r="M89" i="209"/>
  <c r="L90" i="209"/>
  <c r="M90" i="209"/>
  <c r="L91" i="209"/>
  <c r="M91" i="209"/>
  <c r="L92" i="209"/>
  <c r="M92" i="209"/>
  <c r="L100" i="209"/>
  <c r="M100" i="209"/>
  <c r="L101" i="209"/>
  <c r="M101" i="209"/>
  <c r="L102" i="209"/>
  <c r="M102" i="209"/>
  <c r="L103" i="209"/>
  <c r="M103" i="209"/>
  <c r="L104" i="209"/>
  <c r="M104" i="209"/>
  <c r="L105" i="209"/>
  <c r="M105" i="209"/>
  <c r="L106" i="209"/>
  <c r="M106" i="209"/>
  <c r="L107" i="209"/>
  <c r="M107" i="209"/>
  <c r="L108" i="209"/>
  <c r="M108" i="209"/>
  <c r="L109" i="209"/>
  <c r="M109" i="209"/>
  <c r="L110" i="209"/>
  <c r="M110" i="209"/>
  <c r="L111" i="209"/>
  <c r="M111" i="209"/>
  <c r="L62" i="209"/>
  <c r="M62" i="209"/>
  <c r="L63" i="209"/>
  <c r="M63" i="209"/>
  <c r="L64" i="209"/>
  <c r="M64" i="209"/>
  <c r="L65" i="209"/>
  <c r="M65" i="209"/>
  <c r="L66" i="209"/>
  <c r="M66" i="209"/>
  <c r="L67" i="209"/>
  <c r="M67" i="209"/>
  <c r="L68" i="209"/>
  <c r="M68" i="209"/>
  <c r="L69" i="209"/>
  <c r="M69" i="209"/>
  <c r="L70" i="209"/>
  <c r="M70" i="209"/>
  <c r="L71" i="209"/>
  <c r="M71" i="209"/>
  <c r="L72" i="209"/>
  <c r="M72" i="209"/>
  <c r="L73" i="209"/>
  <c r="M73" i="209"/>
  <c r="L74" i="209"/>
  <c r="M74" i="209"/>
  <c r="L75" i="209"/>
  <c r="M75" i="209"/>
  <c r="L76" i="209"/>
  <c r="M76" i="209"/>
  <c r="L77" i="209"/>
  <c r="M77" i="209"/>
  <c r="L78" i="209"/>
  <c r="M78" i="209"/>
  <c r="L79" i="209"/>
  <c r="M79" i="209"/>
  <c r="L80" i="209"/>
  <c r="M80" i="209"/>
  <c r="L81" i="209"/>
  <c r="M81" i="209"/>
  <c r="L50" i="209"/>
  <c r="M50" i="209"/>
  <c r="L51" i="209"/>
  <c r="M51" i="209"/>
  <c r="L52" i="209"/>
  <c r="M52" i="209"/>
  <c r="L53" i="209"/>
  <c r="M53" i="209"/>
  <c r="L54" i="209"/>
  <c r="M54" i="209"/>
  <c r="L55" i="209"/>
  <c r="M55" i="209"/>
  <c r="L56" i="209"/>
  <c r="M56" i="209"/>
  <c r="L57" i="209"/>
  <c r="M57" i="209"/>
  <c r="L29" i="209"/>
  <c r="M29" i="209"/>
  <c r="L30" i="209"/>
  <c r="M30" i="209"/>
  <c r="L31" i="209"/>
  <c r="M31" i="209"/>
  <c r="L32" i="209"/>
  <c r="M32" i="209"/>
  <c r="L33" i="209"/>
  <c r="M33" i="209"/>
  <c r="L34" i="209"/>
  <c r="M34" i="209"/>
  <c r="L35" i="209"/>
  <c r="M35" i="209"/>
  <c r="L36" i="209"/>
  <c r="M36" i="209"/>
  <c r="L37" i="209"/>
  <c r="M37" i="209"/>
  <c r="L38" i="209"/>
  <c r="M38" i="209"/>
  <c r="L39" i="209"/>
  <c r="M39" i="209"/>
  <c r="L40" i="209"/>
  <c r="M40" i="209"/>
  <c r="L41" i="209"/>
  <c r="M41" i="209"/>
  <c r="L42" i="209"/>
  <c r="M42" i="209"/>
  <c r="L43" i="209"/>
  <c r="M43" i="209"/>
  <c r="L44" i="209"/>
  <c r="M44" i="209"/>
  <c r="L45" i="209"/>
  <c r="M45" i="209"/>
  <c r="L22" i="209"/>
  <c r="M22" i="209"/>
  <c r="L23" i="209"/>
  <c r="M23" i="209"/>
  <c r="L24" i="209"/>
  <c r="M24" i="209"/>
  <c r="L16" i="209"/>
  <c r="M16" i="209"/>
  <c r="L17" i="209"/>
  <c r="M17" i="209"/>
  <c r="D20" i="216"/>
  <c r="E20" i="216"/>
  <c r="F20" i="216"/>
  <c r="G20" i="216"/>
  <c r="H20" i="216"/>
  <c r="I20" i="216"/>
  <c r="J20" i="216"/>
  <c r="K20" i="216"/>
  <c r="L20" i="216"/>
  <c r="M20" i="216"/>
  <c r="N20" i="216"/>
  <c r="O20" i="216"/>
  <c r="C18" i="215" s="1"/>
  <c r="I18" i="215"/>
  <c r="I32" i="215"/>
  <c r="D25" i="216"/>
  <c r="E25" i="216"/>
  <c r="F25" i="216"/>
  <c r="G25" i="216"/>
  <c r="H25" i="216"/>
  <c r="I25" i="216"/>
  <c r="J25" i="216"/>
  <c r="K25" i="216"/>
  <c r="L25" i="216"/>
  <c r="M25" i="216"/>
  <c r="N25" i="216"/>
  <c r="O25" i="216"/>
  <c r="C19" i="215" s="1"/>
  <c r="H20" i="215"/>
  <c r="D15" i="216"/>
  <c r="E15" i="216"/>
  <c r="F15" i="216"/>
  <c r="G15" i="216"/>
  <c r="H15" i="216"/>
  <c r="I15" i="216"/>
  <c r="J15" i="216"/>
  <c r="K15" i="216"/>
  <c r="L15" i="216"/>
  <c r="M15" i="216"/>
  <c r="N15" i="216"/>
  <c r="O15" i="216"/>
  <c r="C17" i="215" s="1"/>
  <c r="F17" i="215" s="1"/>
  <c r="I17" i="215"/>
  <c r="I24" i="215" s="1"/>
  <c r="J17" i="215"/>
  <c r="J24" i="215" s="1"/>
  <c r="P36" i="216"/>
  <c r="H25" i="215" s="1"/>
  <c r="P38" i="216"/>
  <c r="H26" i="215" s="1"/>
  <c r="P40" i="216"/>
  <c r="H27" i="215" s="1"/>
  <c r="J31" i="215"/>
  <c r="C33" i="215"/>
  <c r="C34" i="215"/>
  <c r="D22" i="244"/>
  <c r="I19" i="244"/>
  <c r="I16" i="244"/>
  <c r="I13" i="244"/>
  <c r="J13" i="244"/>
  <c r="F13" i="244"/>
  <c r="K13" i="244" s="1"/>
  <c r="J38" i="232"/>
  <c r="J42" i="232"/>
  <c r="J13" i="232"/>
  <c r="K13" i="232"/>
  <c r="K15" i="232"/>
  <c r="G121" i="207"/>
  <c r="G122" i="207"/>
  <c r="G127" i="207"/>
  <c r="L127" i="207" s="1"/>
  <c r="G128" i="207"/>
  <c r="L128" i="207" s="1"/>
  <c r="G129" i="207"/>
  <c r="L129" i="207" s="1"/>
  <c r="G130" i="207"/>
  <c r="L130" i="207" s="1"/>
  <c r="G131" i="207"/>
  <c r="L131" i="207" s="1"/>
  <c r="G133" i="207"/>
  <c r="L133" i="207" s="1"/>
  <c r="G132" i="207"/>
  <c r="L132" i="207" s="1"/>
  <c r="G134" i="207"/>
  <c r="L134" i="207" s="1"/>
  <c r="G135" i="207"/>
  <c r="L135" i="207" s="1"/>
  <c r="G136" i="207"/>
  <c r="L136" i="207" s="1"/>
  <c r="G137" i="207"/>
  <c r="L137" i="207" s="1"/>
  <c r="G138" i="207"/>
  <c r="L138" i="207" s="1"/>
  <c r="G139" i="207"/>
  <c r="L139" i="207" s="1"/>
  <c r="G140" i="207"/>
  <c r="L140" i="207" s="1"/>
  <c r="G141" i="207"/>
  <c r="L141" i="207" s="1"/>
  <c r="G142" i="207"/>
  <c r="L142" i="207" s="1"/>
  <c r="G143" i="207"/>
  <c r="L143" i="207" s="1"/>
  <c r="G144" i="207"/>
  <c r="L144" i="207" s="1"/>
  <c r="G145" i="207"/>
  <c r="L145" i="207" s="1"/>
  <c r="G146" i="207"/>
  <c r="L146" i="207" s="1"/>
  <c r="G147" i="207"/>
  <c r="L147" i="207" s="1"/>
  <c r="G152" i="207"/>
  <c r="G153" i="207"/>
  <c r="G154" i="207"/>
  <c r="G155" i="207"/>
  <c r="L16" i="207"/>
  <c r="M16" i="207"/>
  <c r="L17" i="207"/>
  <c r="M17" i="207"/>
  <c r="L22" i="207"/>
  <c r="M22" i="207"/>
  <c r="L23" i="207"/>
  <c r="M23" i="207"/>
  <c r="L24" i="207"/>
  <c r="M24" i="207"/>
  <c r="L29" i="207"/>
  <c r="M29" i="207"/>
  <c r="L30" i="207"/>
  <c r="M30" i="207"/>
  <c r="L31" i="207"/>
  <c r="M31" i="207"/>
  <c r="L32" i="207"/>
  <c r="M32" i="207"/>
  <c r="L33" i="207"/>
  <c r="M33" i="207"/>
  <c r="L34" i="207"/>
  <c r="M34" i="207"/>
  <c r="L35" i="207"/>
  <c r="M35" i="207"/>
  <c r="L36" i="207"/>
  <c r="M36" i="207"/>
  <c r="L37" i="207"/>
  <c r="M37" i="207"/>
  <c r="L38" i="207"/>
  <c r="M38" i="207"/>
  <c r="L39" i="207"/>
  <c r="M39" i="207"/>
  <c r="L40" i="207"/>
  <c r="M40" i="207"/>
  <c r="L41" i="207"/>
  <c r="M41" i="207"/>
  <c r="L42" i="207"/>
  <c r="M42" i="207"/>
  <c r="L43" i="207"/>
  <c r="M43" i="207"/>
  <c r="L44" i="207"/>
  <c r="M44" i="207"/>
  <c r="L45" i="207"/>
  <c r="M45" i="207"/>
  <c r="L50" i="207"/>
  <c r="M50" i="207"/>
  <c r="L51" i="207"/>
  <c r="M51" i="207"/>
  <c r="L52" i="207"/>
  <c r="M52" i="207"/>
  <c r="L53" i="207"/>
  <c r="M53" i="207"/>
  <c r="L54" i="207"/>
  <c r="M54" i="207"/>
  <c r="L55" i="207"/>
  <c r="M55" i="207"/>
  <c r="L56" i="207"/>
  <c r="M56" i="207"/>
  <c r="L57" i="207"/>
  <c r="M57" i="207"/>
  <c r="L62" i="207"/>
  <c r="M62" i="207"/>
  <c r="L63" i="207"/>
  <c r="M63" i="207"/>
  <c r="L64" i="207"/>
  <c r="M64" i="207"/>
  <c r="L65" i="207"/>
  <c r="M65" i="207"/>
  <c r="L66" i="207"/>
  <c r="M66" i="207"/>
  <c r="L67" i="207"/>
  <c r="M67" i="207"/>
  <c r="L68" i="207"/>
  <c r="M68" i="207"/>
  <c r="L69" i="207"/>
  <c r="M69" i="207"/>
  <c r="L70" i="207"/>
  <c r="M70" i="207"/>
  <c r="L71" i="207"/>
  <c r="M71" i="207"/>
  <c r="L72" i="207"/>
  <c r="M72" i="207"/>
  <c r="L73" i="207"/>
  <c r="M73" i="207"/>
  <c r="L74" i="207"/>
  <c r="M74" i="207"/>
  <c r="L75" i="207"/>
  <c r="M75" i="207"/>
  <c r="L76" i="207"/>
  <c r="M76" i="207"/>
  <c r="L77" i="207"/>
  <c r="M77" i="207"/>
  <c r="L78" i="207"/>
  <c r="M78" i="207"/>
  <c r="L79" i="207"/>
  <c r="M79" i="207"/>
  <c r="L80" i="207"/>
  <c r="M80" i="207"/>
  <c r="L81" i="207"/>
  <c r="M81" i="207"/>
  <c r="L86" i="207"/>
  <c r="M86" i="207"/>
  <c r="L87" i="207"/>
  <c r="M87" i="207"/>
  <c r="L88" i="207"/>
  <c r="M88" i="207"/>
  <c r="L89" i="207"/>
  <c r="M89" i="207"/>
  <c r="L90" i="207"/>
  <c r="M90" i="207"/>
  <c r="L91" i="207"/>
  <c r="M91" i="207"/>
  <c r="G178" i="207"/>
  <c r="L178" i="207" s="1"/>
  <c r="L116" i="207"/>
  <c r="M116" i="207"/>
  <c r="G122" i="236"/>
  <c r="L122" i="236" s="1"/>
  <c r="G123" i="236"/>
  <c r="L123" i="236" s="1"/>
  <c r="G128" i="236"/>
  <c r="L128" i="236" s="1"/>
  <c r="G129" i="236"/>
  <c r="L129" i="236" s="1"/>
  <c r="G130" i="236"/>
  <c r="L130" i="236" s="1"/>
  <c r="G131" i="236"/>
  <c r="L131" i="236" s="1"/>
  <c r="G132" i="236"/>
  <c r="L132" i="236" s="1"/>
  <c r="G133" i="236"/>
  <c r="L133" i="236" s="1"/>
  <c r="G134" i="236"/>
  <c r="L134" i="236" s="1"/>
  <c r="G135" i="236"/>
  <c r="L135" i="236" s="1"/>
  <c r="G136" i="236"/>
  <c r="L136" i="236" s="1"/>
  <c r="G137" i="236"/>
  <c r="L137" i="236" s="1"/>
  <c r="G138" i="236"/>
  <c r="L138" i="236" s="1"/>
  <c r="G139" i="236"/>
  <c r="L139" i="236" s="1"/>
  <c r="G140" i="236"/>
  <c r="L140" i="236" s="1"/>
  <c r="G141" i="236"/>
  <c r="L141" i="236" s="1"/>
  <c r="G142" i="236"/>
  <c r="L142" i="236" s="1"/>
  <c r="G143" i="236"/>
  <c r="L143" i="236" s="1"/>
  <c r="G144" i="236"/>
  <c r="L144" i="236" s="1"/>
  <c r="G145" i="236"/>
  <c r="L145" i="236" s="1"/>
  <c r="G146" i="236"/>
  <c r="L146" i="236" s="1"/>
  <c r="G147" i="236"/>
  <c r="L147" i="236" s="1"/>
  <c r="G148" i="236"/>
  <c r="L148" i="236" s="1"/>
  <c r="G153" i="236"/>
  <c r="L153" i="236" s="1"/>
  <c r="G154" i="236"/>
  <c r="L154" i="236" s="1"/>
  <c r="G155" i="236"/>
  <c r="L155" i="236" s="1"/>
  <c r="G161" i="236"/>
  <c r="G162" i="236"/>
  <c r="G163" i="236"/>
  <c r="L163" i="236" s="1"/>
  <c r="G164" i="236"/>
  <c r="L164" i="236" s="1"/>
  <c r="G165" i="236"/>
  <c r="L165" i="236" s="1"/>
  <c r="G166" i="236"/>
  <c r="L166" i="236" s="1"/>
  <c r="G167" i="236"/>
  <c r="L167" i="236" s="1"/>
  <c r="G168" i="236"/>
  <c r="L168" i="236" s="1"/>
  <c r="G169" i="236"/>
  <c r="L169" i="236" s="1"/>
  <c r="G170" i="236"/>
  <c r="L170" i="236" s="1"/>
  <c r="G171" i="236"/>
  <c r="L171" i="236" s="1"/>
  <c r="G172" i="236"/>
  <c r="L172" i="236" s="1"/>
  <c r="G173" i="236"/>
  <c r="L173" i="236" s="1"/>
  <c r="G174" i="236"/>
  <c r="L174" i="236" s="1"/>
  <c r="L86" i="236"/>
  <c r="M86" i="236"/>
  <c r="L87" i="236"/>
  <c r="M87" i="236"/>
  <c r="L88" i="236"/>
  <c r="M88" i="236"/>
  <c r="L89" i="236"/>
  <c r="M89" i="236"/>
  <c r="L90" i="236"/>
  <c r="M90" i="236"/>
  <c r="L91" i="236"/>
  <c r="M91" i="236"/>
  <c r="L92" i="236"/>
  <c r="M92" i="236"/>
  <c r="L93" i="236"/>
  <c r="M93" i="236"/>
  <c r="L94" i="236"/>
  <c r="M94" i="236"/>
  <c r="L95" i="236"/>
  <c r="M95" i="236"/>
  <c r="L96" i="236"/>
  <c r="M96" i="236"/>
  <c r="L97" i="236"/>
  <c r="M97" i="236"/>
  <c r="L98" i="236"/>
  <c r="M98" i="236"/>
  <c r="L99" i="236"/>
  <c r="M99" i="236"/>
  <c r="L100" i="236"/>
  <c r="M100" i="236"/>
  <c r="L101" i="236"/>
  <c r="M101" i="236"/>
  <c r="L102" i="236"/>
  <c r="M102" i="236"/>
  <c r="L109" i="236"/>
  <c r="M109" i="236"/>
  <c r="L110" i="236"/>
  <c r="M110" i="236"/>
  <c r="L111" i="236"/>
  <c r="M111" i="236"/>
  <c r="L62" i="236"/>
  <c r="M62" i="236"/>
  <c r="L63" i="236"/>
  <c r="M63" i="236"/>
  <c r="L64" i="236"/>
  <c r="M64" i="236"/>
  <c r="L65" i="236"/>
  <c r="M65" i="236"/>
  <c r="L66" i="236"/>
  <c r="M66" i="236"/>
  <c r="L67" i="236"/>
  <c r="M67" i="236"/>
  <c r="L68" i="236"/>
  <c r="M68" i="236"/>
  <c r="L69" i="236"/>
  <c r="M69" i="236"/>
  <c r="L70" i="236"/>
  <c r="M70" i="236"/>
  <c r="L71" i="236"/>
  <c r="M71" i="236"/>
  <c r="L72" i="236"/>
  <c r="M72" i="236"/>
  <c r="L73" i="236"/>
  <c r="M73" i="236"/>
  <c r="L74" i="236"/>
  <c r="M74" i="236"/>
  <c r="L75" i="236"/>
  <c r="M75" i="236"/>
  <c r="L76" i="236"/>
  <c r="M76" i="236"/>
  <c r="L77" i="236"/>
  <c r="M77" i="236"/>
  <c r="L78" i="236"/>
  <c r="M78" i="236"/>
  <c r="L79" i="236"/>
  <c r="M79" i="236"/>
  <c r="L80" i="236"/>
  <c r="M80" i="236"/>
  <c r="L81" i="236"/>
  <c r="M81" i="236"/>
  <c r="L50" i="236"/>
  <c r="M50" i="236"/>
  <c r="L51" i="236"/>
  <c r="M51" i="236"/>
  <c r="L52" i="236"/>
  <c r="M52" i="236"/>
  <c r="L53" i="236"/>
  <c r="M53" i="236"/>
  <c r="L54" i="236"/>
  <c r="M54" i="236"/>
  <c r="L55" i="236"/>
  <c r="M55" i="236"/>
  <c r="L56" i="236"/>
  <c r="M56" i="236"/>
  <c r="L57" i="236"/>
  <c r="M57" i="236"/>
  <c r="L29" i="236"/>
  <c r="M29" i="236"/>
  <c r="L30" i="236"/>
  <c r="M30" i="236"/>
  <c r="L31" i="236"/>
  <c r="M31" i="236"/>
  <c r="L32" i="236"/>
  <c r="M32" i="236"/>
  <c r="L33" i="236"/>
  <c r="M33" i="236"/>
  <c r="L34" i="236"/>
  <c r="M34" i="236"/>
  <c r="L35" i="236"/>
  <c r="M35" i="236"/>
  <c r="L36" i="236"/>
  <c r="M36" i="236"/>
  <c r="L37" i="236"/>
  <c r="M37" i="236"/>
  <c r="L38" i="236"/>
  <c r="M38" i="236"/>
  <c r="L39" i="236"/>
  <c r="M39" i="236"/>
  <c r="L40" i="236"/>
  <c r="M40" i="236"/>
  <c r="L41" i="236"/>
  <c r="M41" i="236"/>
  <c r="L42" i="236"/>
  <c r="M42" i="236"/>
  <c r="L43" i="236"/>
  <c r="M43" i="236"/>
  <c r="L44" i="236"/>
  <c r="M44" i="236"/>
  <c r="L45" i="236"/>
  <c r="M45" i="236"/>
  <c r="L22" i="236"/>
  <c r="M22" i="236"/>
  <c r="L23" i="236"/>
  <c r="M23" i="236"/>
  <c r="L24" i="236"/>
  <c r="M24" i="236"/>
  <c r="L16" i="236"/>
  <c r="M16" i="236"/>
  <c r="L17" i="236"/>
  <c r="M17" i="236"/>
  <c r="C31" i="30"/>
  <c r="I17" i="30"/>
  <c r="I31" i="30" s="1"/>
  <c r="J17" i="30"/>
  <c r="J31" i="30" s="1"/>
  <c r="C32" i="30"/>
  <c r="I18" i="30"/>
  <c r="I25" i="30" s="1"/>
  <c r="C33" i="30"/>
  <c r="C34" i="30"/>
  <c r="P36" i="214"/>
  <c r="H25" i="30" s="1"/>
  <c r="P38" i="214"/>
  <c r="H26" i="30" s="1"/>
  <c r="P40" i="214"/>
  <c r="H27" i="30" s="1"/>
  <c r="C20" i="214"/>
  <c r="D20" i="214"/>
  <c r="E20" i="214"/>
  <c r="F20" i="214"/>
  <c r="G20" i="214"/>
  <c r="H20" i="214"/>
  <c r="I20" i="214"/>
  <c r="J20" i="214"/>
  <c r="K20" i="214"/>
  <c r="L20" i="214"/>
  <c r="M20" i="214"/>
  <c r="N20" i="214"/>
  <c r="O20" i="214"/>
  <c r="C18" i="30" s="1"/>
  <c r="C25" i="214"/>
  <c r="D25" i="214"/>
  <c r="E25" i="214"/>
  <c r="F25" i="214"/>
  <c r="G25" i="214"/>
  <c r="H25" i="214"/>
  <c r="I25" i="214"/>
  <c r="J25" i="214"/>
  <c r="K25" i="214"/>
  <c r="L25" i="214"/>
  <c r="M25" i="214"/>
  <c r="N25" i="214"/>
  <c r="O25" i="214"/>
  <c r="C19" i="30" s="1"/>
  <c r="C30" i="214"/>
  <c r="D30" i="214"/>
  <c r="E30" i="214"/>
  <c r="F30" i="214"/>
  <c r="G30" i="214"/>
  <c r="H30" i="214"/>
  <c r="I30" i="214"/>
  <c r="J30" i="214"/>
  <c r="K30" i="214"/>
  <c r="L30" i="214"/>
  <c r="M30" i="214"/>
  <c r="N30" i="214"/>
  <c r="O30" i="214"/>
  <c r="C20" i="30" s="1"/>
  <c r="C15" i="214"/>
  <c r="D15" i="214"/>
  <c r="E15" i="214"/>
  <c r="F15" i="214"/>
  <c r="G15" i="214"/>
  <c r="H15" i="214"/>
  <c r="I15" i="214"/>
  <c r="J15" i="214"/>
  <c r="K15" i="214"/>
  <c r="L15" i="214"/>
  <c r="M15" i="214"/>
  <c r="N15" i="214"/>
  <c r="O15" i="214"/>
  <c r="C17" i="30" s="1"/>
  <c r="F17" i="30" s="1"/>
  <c r="D22" i="243"/>
  <c r="Q19" i="241"/>
  <c r="I19" i="243" s="1"/>
  <c r="Q16" i="241"/>
  <c r="I16" i="243" s="1"/>
  <c r="I13" i="243"/>
  <c r="J13" i="243"/>
  <c r="F13" i="243"/>
  <c r="K13" i="243" s="1"/>
  <c r="J41" i="231"/>
  <c r="J15" i="231"/>
  <c r="K15" i="231"/>
  <c r="J17" i="231"/>
  <c r="K17" i="231"/>
  <c r="O49" i="35"/>
  <c r="O17" i="35" s="1"/>
  <c r="J17" i="35" s="1"/>
  <c r="M49" i="35"/>
  <c r="M17" i="35" s="1"/>
  <c r="L17" i="35" s="1"/>
  <c r="H16" i="207"/>
  <c r="P8" i="228"/>
  <c r="P8" i="227"/>
  <c r="P8" i="226"/>
  <c r="P8" i="192"/>
  <c r="P8" i="193"/>
  <c r="P8" i="190"/>
  <c r="P8" i="44"/>
  <c r="P8" i="222" s="1"/>
  <c r="D8" i="79"/>
  <c r="D8" i="45"/>
  <c r="O9" i="46"/>
  <c r="J19" i="34"/>
  <c r="J29" i="34"/>
  <c r="A5" i="104"/>
  <c r="A4" i="104"/>
  <c r="A2" i="104"/>
  <c r="A1" i="104"/>
  <c r="F15" i="107"/>
  <c r="D37" i="107"/>
  <c r="F37" i="107" s="1"/>
  <c r="F36" i="107"/>
  <c r="F34" i="107"/>
  <c r="F33" i="107"/>
  <c r="F32" i="107"/>
  <c r="F31" i="107"/>
  <c r="F30" i="107"/>
  <c r="F29" i="107"/>
  <c r="F28" i="107"/>
  <c r="D24" i="107"/>
  <c r="F24" i="107" s="1"/>
  <c r="F23" i="107"/>
  <c r="F21" i="107"/>
  <c r="F20" i="107"/>
  <c r="F19" i="107"/>
  <c r="F18" i="107"/>
  <c r="F17" i="107"/>
  <c r="F16" i="107"/>
  <c r="A5" i="107"/>
  <c r="A4" i="107"/>
  <c r="A2" i="107"/>
  <c r="A1" i="107"/>
  <c r="J128" i="10"/>
  <c r="K128" i="10"/>
  <c r="L128" i="10"/>
  <c r="F83" i="248"/>
  <c r="F84" i="248"/>
  <c r="F85" i="248"/>
  <c r="F86" i="248"/>
  <c r="F87" i="248"/>
  <c r="F88" i="248"/>
  <c r="F89" i="248"/>
  <c r="F90" i="248"/>
  <c r="F91" i="248"/>
  <c r="F92" i="248"/>
  <c r="F93" i="248"/>
  <c r="F94" i="248"/>
  <c r="F95" i="248"/>
  <c r="F96" i="248"/>
  <c r="F97" i="248"/>
  <c r="F98" i="248"/>
  <c r="F99" i="248"/>
  <c r="F100" i="248"/>
  <c r="F101" i="248"/>
  <c r="F102" i="248"/>
  <c r="F103" i="248"/>
  <c r="F104" i="248"/>
  <c r="F105" i="248"/>
  <c r="F106" i="248"/>
  <c r="F107" i="248"/>
  <c r="F108" i="248"/>
  <c r="F109" i="248"/>
  <c r="F110" i="248"/>
  <c r="F111" i="248"/>
  <c r="F112" i="248"/>
  <c r="F113" i="248"/>
  <c r="F114" i="248"/>
  <c r="F115" i="248"/>
  <c r="F116" i="248"/>
  <c r="F117" i="248"/>
  <c r="F118" i="248"/>
  <c r="F119" i="248"/>
  <c r="F120" i="248"/>
  <c r="F121" i="248"/>
  <c r="F122" i="248"/>
  <c r="F123" i="248"/>
  <c r="F124" i="248"/>
  <c r="F125" i="248"/>
  <c r="F126" i="248"/>
  <c r="F127" i="248"/>
  <c r="F128" i="248"/>
  <c r="F129" i="248"/>
  <c r="F130" i="248"/>
  <c r="F131" i="248"/>
  <c r="F132" i="248"/>
  <c r="F133" i="248"/>
  <c r="D147" i="248"/>
  <c r="F15" i="248"/>
  <c r="F17" i="248"/>
  <c r="F18" i="248"/>
  <c r="F19" i="248"/>
  <c r="F20" i="248"/>
  <c r="F21" i="248"/>
  <c r="F22" i="248"/>
  <c r="F23" i="248"/>
  <c r="F24" i="248"/>
  <c r="F25" i="248"/>
  <c r="F26" i="248"/>
  <c r="F27" i="248"/>
  <c r="F28" i="248"/>
  <c r="F29" i="248"/>
  <c r="F30" i="248"/>
  <c r="F31" i="248"/>
  <c r="F32" i="248"/>
  <c r="F33" i="248"/>
  <c r="F34" i="248"/>
  <c r="F35" i="248"/>
  <c r="F36" i="248"/>
  <c r="F37" i="248"/>
  <c r="F38" i="248"/>
  <c r="F39" i="248"/>
  <c r="F40" i="248"/>
  <c r="F41" i="248"/>
  <c r="F42" i="248"/>
  <c r="F43" i="248"/>
  <c r="F44" i="248"/>
  <c r="F45" i="248"/>
  <c r="F46" i="248"/>
  <c r="F47" i="248"/>
  <c r="F48" i="248"/>
  <c r="F49" i="248"/>
  <c r="F50" i="248"/>
  <c r="F51" i="248"/>
  <c r="F52" i="248"/>
  <c r="F53" i="248"/>
  <c r="F54" i="248"/>
  <c r="F55" i="248"/>
  <c r="F56" i="248"/>
  <c r="F57" i="248"/>
  <c r="F58" i="248"/>
  <c r="F59" i="248"/>
  <c r="F60" i="248"/>
  <c r="F61" i="248"/>
  <c r="F62" i="248"/>
  <c r="F63" i="248"/>
  <c r="F64" i="248"/>
  <c r="F65" i="248"/>
  <c r="F71" i="248"/>
  <c r="F72" i="248"/>
  <c r="F73" i="248"/>
  <c r="F74" i="248"/>
  <c r="D79" i="248"/>
  <c r="A5" i="248"/>
  <c r="A4" i="248"/>
  <c r="A2" i="248"/>
  <c r="A1" i="248"/>
  <c r="A84" i="248"/>
  <c r="A85" i="248" s="1"/>
  <c r="A86" i="248" s="1"/>
  <c r="A87" i="248" s="1"/>
  <c r="A88" i="248" s="1"/>
  <c r="A89" i="248" s="1"/>
  <c r="A90" i="248" s="1"/>
  <c r="A91" i="248" s="1"/>
  <c r="A92" i="248" s="1"/>
  <c r="A93" i="248" s="1"/>
  <c r="A94" i="248" s="1"/>
  <c r="A95" i="248" s="1"/>
  <c r="A96" i="248" s="1"/>
  <c r="A97" i="248" s="1"/>
  <c r="A98" i="248" s="1"/>
  <c r="A99" i="248" s="1"/>
  <c r="A101" i="248"/>
  <c r="A102" i="248" s="1"/>
  <c r="A103" i="248" s="1"/>
  <c r="A104" i="248" s="1"/>
  <c r="A106" i="248"/>
  <c r="A107" i="248" s="1"/>
  <c r="A108" i="248" s="1"/>
  <c r="A109" i="248" s="1"/>
  <c r="A110" i="248" s="1"/>
  <c r="A111" i="248" s="1"/>
  <c r="A112" i="248" s="1"/>
  <c r="A113" i="248" s="1"/>
  <c r="A114" i="248" s="1"/>
  <c r="A115" i="248" s="1"/>
  <c r="A116" i="248" s="1"/>
  <c r="A117" i="248" s="1"/>
  <c r="A118" i="248" s="1"/>
  <c r="A119" i="248" s="1"/>
  <c r="A120" i="248" s="1"/>
  <c r="A121" i="248" s="1"/>
  <c r="A122" i="248" s="1"/>
  <c r="A123" i="248" s="1"/>
  <c r="A124" i="248" s="1"/>
  <c r="A125" i="248" s="1"/>
  <c r="A126" i="248" s="1"/>
  <c r="A127" i="248" s="1"/>
  <c r="A128" i="248" s="1"/>
  <c r="A129" i="248" s="1"/>
  <c r="A130" i="248" s="1"/>
  <c r="A131" i="248" s="1"/>
  <c r="A132" i="248" s="1"/>
  <c r="A133" i="248" s="1"/>
  <c r="A134" i="248" s="1"/>
  <c r="A135" i="248" s="1"/>
  <c r="A136" i="248" s="1"/>
  <c r="A137" i="248" s="1"/>
  <c r="A138" i="248" s="1"/>
  <c r="A139" i="248" s="1"/>
  <c r="A140" i="248" s="1"/>
  <c r="A141" i="248" s="1"/>
  <c r="A142" i="248" s="1"/>
  <c r="A143" i="248" s="1"/>
  <c r="A144" i="248" s="1"/>
  <c r="A145" i="248" s="1"/>
  <c r="G34" i="103"/>
  <c r="G27" i="103"/>
  <c r="G20" i="103"/>
  <c r="A1" i="247"/>
  <c r="A2" i="247"/>
  <c r="J13" i="247"/>
  <c r="J14" i="247"/>
  <c r="H16" i="213"/>
  <c r="G17" i="213"/>
  <c r="H17" i="213"/>
  <c r="G17" i="207"/>
  <c r="H17" i="207"/>
  <c r="G22" i="213"/>
  <c r="H22" i="213"/>
  <c r="G23" i="213"/>
  <c r="H23" i="213"/>
  <c r="G24" i="213"/>
  <c r="H24" i="213"/>
  <c r="G22" i="207"/>
  <c r="H22" i="207"/>
  <c r="G23" i="207"/>
  <c r="H23" i="207"/>
  <c r="G24" i="207"/>
  <c r="H24" i="207"/>
  <c r="G29" i="213"/>
  <c r="H29" i="213"/>
  <c r="G30" i="213"/>
  <c r="H30" i="213"/>
  <c r="G31" i="213"/>
  <c r="H31" i="213"/>
  <c r="G32" i="213"/>
  <c r="H32" i="213"/>
  <c r="G33" i="213"/>
  <c r="H33" i="213"/>
  <c r="G34" i="213"/>
  <c r="H34" i="213"/>
  <c r="G35" i="213"/>
  <c r="H35" i="213"/>
  <c r="G36" i="213"/>
  <c r="H36" i="213"/>
  <c r="G37" i="213"/>
  <c r="H37" i="213"/>
  <c r="G38" i="213"/>
  <c r="H38" i="213"/>
  <c r="G39" i="213"/>
  <c r="H39" i="213"/>
  <c r="G40" i="213"/>
  <c r="H40" i="213"/>
  <c r="G41" i="213"/>
  <c r="H41" i="213"/>
  <c r="G42" i="213"/>
  <c r="H42" i="213"/>
  <c r="G43" i="213"/>
  <c r="H43" i="213"/>
  <c r="G44" i="213"/>
  <c r="H44" i="213"/>
  <c r="G45" i="213"/>
  <c r="H45" i="213"/>
  <c r="G29" i="207"/>
  <c r="H29" i="207"/>
  <c r="G30" i="207"/>
  <c r="H30" i="207"/>
  <c r="G31" i="207"/>
  <c r="H31" i="207"/>
  <c r="G32" i="207"/>
  <c r="H32" i="207"/>
  <c r="G33" i="207"/>
  <c r="H33" i="207"/>
  <c r="G34" i="207"/>
  <c r="H34" i="207"/>
  <c r="G35" i="207"/>
  <c r="H35" i="207"/>
  <c r="G36" i="207"/>
  <c r="H36" i="207"/>
  <c r="G37" i="207"/>
  <c r="H37" i="207"/>
  <c r="G38" i="207"/>
  <c r="H38" i="207"/>
  <c r="G39" i="207"/>
  <c r="H39" i="207"/>
  <c r="G40" i="207"/>
  <c r="H40" i="207"/>
  <c r="G41" i="207"/>
  <c r="H41" i="207"/>
  <c r="G42" i="207"/>
  <c r="H42" i="207"/>
  <c r="G43" i="207"/>
  <c r="H43" i="207"/>
  <c r="G44" i="207"/>
  <c r="H44" i="207"/>
  <c r="G45" i="207"/>
  <c r="H45" i="207"/>
  <c r="G50" i="213"/>
  <c r="H50" i="213"/>
  <c r="G51" i="213"/>
  <c r="H51" i="213"/>
  <c r="G52" i="213"/>
  <c r="H52" i="213"/>
  <c r="G53" i="213"/>
  <c r="H53" i="213"/>
  <c r="G54" i="213"/>
  <c r="H54" i="213"/>
  <c r="G55" i="213"/>
  <c r="H55" i="213"/>
  <c r="G56" i="213"/>
  <c r="H56" i="213"/>
  <c r="G57" i="213"/>
  <c r="H57" i="213"/>
  <c r="G50" i="207"/>
  <c r="H50" i="207"/>
  <c r="G51" i="207"/>
  <c r="H51" i="207"/>
  <c r="G52" i="207"/>
  <c r="H52" i="207"/>
  <c r="G53" i="207"/>
  <c r="H53" i="207"/>
  <c r="G54" i="207"/>
  <c r="H54" i="207"/>
  <c r="G55" i="207"/>
  <c r="H55" i="207"/>
  <c r="G56" i="207"/>
  <c r="H56" i="207"/>
  <c r="G57" i="207"/>
  <c r="H57" i="207"/>
  <c r="G62" i="213"/>
  <c r="H62" i="213"/>
  <c r="G63" i="213"/>
  <c r="H63" i="213"/>
  <c r="G64" i="213"/>
  <c r="H64" i="213"/>
  <c r="G65" i="213"/>
  <c r="H65" i="213"/>
  <c r="G66" i="213"/>
  <c r="H66" i="213"/>
  <c r="G67" i="213"/>
  <c r="H67" i="213"/>
  <c r="G68" i="213"/>
  <c r="H68" i="213"/>
  <c r="G69" i="213"/>
  <c r="H69" i="213"/>
  <c r="G70" i="213"/>
  <c r="H70" i="213"/>
  <c r="G71" i="213"/>
  <c r="H71" i="213"/>
  <c r="G72" i="213"/>
  <c r="H72" i="213"/>
  <c r="G73" i="213"/>
  <c r="H73" i="213"/>
  <c r="G74" i="213"/>
  <c r="H74" i="213"/>
  <c r="G75" i="213"/>
  <c r="H75" i="213"/>
  <c r="G76" i="213"/>
  <c r="H76" i="213"/>
  <c r="G77" i="213"/>
  <c r="H77" i="213"/>
  <c r="G78" i="213"/>
  <c r="H78" i="213"/>
  <c r="G79" i="213"/>
  <c r="H79" i="213"/>
  <c r="G80" i="213"/>
  <c r="H80" i="213"/>
  <c r="G81" i="213"/>
  <c r="H81" i="213"/>
  <c r="G62" i="207"/>
  <c r="H62" i="207"/>
  <c r="G63" i="207"/>
  <c r="H63" i="207"/>
  <c r="G64" i="207"/>
  <c r="H64" i="207"/>
  <c r="G65" i="207"/>
  <c r="H65" i="207"/>
  <c r="G66" i="207"/>
  <c r="H66" i="207"/>
  <c r="G67" i="207"/>
  <c r="H67" i="207"/>
  <c r="G68" i="207"/>
  <c r="H68" i="207"/>
  <c r="G69" i="207"/>
  <c r="H69" i="207"/>
  <c r="G70" i="207"/>
  <c r="H70" i="207"/>
  <c r="G71" i="207"/>
  <c r="H71" i="207"/>
  <c r="G72" i="207"/>
  <c r="H72" i="207"/>
  <c r="G73" i="207"/>
  <c r="H73" i="207"/>
  <c r="G74" i="207"/>
  <c r="H74" i="207"/>
  <c r="G75" i="207"/>
  <c r="H75" i="207"/>
  <c r="G76" i="207"/>
  <c r="H76" i="207"/>
  <c r="G77" i="207"/>
  <c r="H77" i="207"/>
  <c r="G78" i="207"/>
  <c r="H78" i="207"/>
  <c r="G79" i="207"/>
  <c r="H79" i="207"/>
  <c r="G80" i="207"/>
  <c r="H80" i="207"/>
  <c r="G81" i="207"/>
  <c r="H81" i="207"/>
  <c r="F127" i="207"/>
  <c r="F128" i="207"/>
  <c r="F129" i="207"/>
  <c r="F130" i="207"/>
  <c r="F131" i="207"/>
  <c r="F133" i="207"/>
  <c r="F132" i="207"/>
  <c r="F134" i="207"/>
  <c r="F135" i="207"/>
  <c r="F136" i="207"/>
  <c r="F137" i="207"/>
  <c r="F138" i="207"/>
  <c r="F139" i="207"/>
  <c r="F140" i="207"/>
  <c r="F141" i="207"/>
  <c r="F142" i="207"/>
  <c r="F143" i="207"/>
  <c r="F144" i="207"/>
  <c r="F145" i="207"/>
  <c r="F146" i="207"/>
  <c r="F147" i="207"/>
  <c r="G86" i="213"/>
  <c r="H86" i="213"/>
  <c r="G87" i="213"/>
  <c r="H87" i="213"/>
  <c r="G88" i="213"/>
  <c r="H88" i="213"/>
  <c r="G89" i="213"/>
  <c r="H89" i="213"/>
  <c r="G90" i="213"/>
  <c r="H90" i="213"/>
  <c r="G91" i="213"/>
  <c r="H91" i="213"/>
  <c r="G92" i="213"/>
  <c r="H92" i="213"/>
  <c r="G107" i="213"/>
  <c r="H107" i="213"/>
  <c r="G108" i="213"/>
  <c r="H108" i="213"/>
  <c r="G109" i="213"/>
  <c r="H109" i="213"/>
  <c r="G110" i="213"/>
  <c r="H110" i="213"/>
  <c r="G86" i="207"/>
  <c r="H86" i="207"/>
  <c r="G87" i="207"/>
  <c r="H87" i="207"/>
  <c r="G88" i="207"/>
  <c r="H88" i="207"/>
  <c r="G89" i="207"/>
  <c r="H89" i="207"/>
  <c r="G90" i="207"/>
  <c r="H90" i="207"/>
  <c r="G91" i="207"/>
  <c r="H91" i="207"/>
  <c r="G92" i="207"/>
  <c r="H109" i="207"/>
  <c r="G110" i="207"/>
  <c r="H110" i="207"/>
  <c r="G86" i="209"/>
  <c r="H86" i="209"/>
  <c r="G87" i="209"/>
  <c r="H87" i="209"/>
  <c r="G88" i="209"/>
  <c r="H88" i="209"/>
  <c r="G89" i="209"/>
  <c r="H89" i="209"/>
  <c r="G90" i="209"/>
  <c r="H90" i="209"/>
  <c r="G91" i="209"/>
  <c r="H91" i="209"/>
  <c r="G92" i="209"/>
  <c r="H92" i="209"/>
  <c r="G98" i="209"/>
  <c r="H98" i="209"/>
  <c r="G99" i="209"/>
  <c r="H99" i="209"/>
  <c r="G100" i="209"/>
  <c r="H100" i="209"/>
  <c r="G101" i="209"/>
  <c r="H101" i="209"/>
  <c r="G102" i="209"/>
  <c r="H102" i="209"/>
  <c r="G103" i="209"/>
  <c r="H103" i="209"/>
  <c r="G104" i="209"/>
  <c r="H104" i="209"/>
  <c r="G105" i="209"/>
  <c r="H105" i="209"/>
  <c r="G106" i="209"/>
  <c r="H106" i="209"/>
  <c r="G107" i="209"/>
  <c r="H107" i="209"/>
  <c r="G108" i="209"/>
  <c r="H108" i="209"/>
  <c r="G109" i="209"/>
  <c r="H109" i="209"/>
  <c r="G110" i="209"/>
  <c r="H110" i="209"/>
  <c r="G111" i="209"/>
  <c r="H111" i="209"/>
  <c r="G62" i="209"/>
  <c r="H62" i="209"/>
  <c r="G63" i="209"/>
  <c r="H63" i="209"/>
  <c r="G64" i="209"/>
  <c r="H64" i="209"/>
  <c r="G65" i="209"/>
  <c r="H65" i="209"/>
  <c r="G66" i="209"/>
  <c r="H66" i="209"/>
  <c r="G67" i="209"/>
  <c r="H67" i="209"/>
  <c r="G68" i="209"/>
  <c r="H68" i="209"/>
  <c r="G69" i="209"/>
  <c r="H69" i="209"/>
  <c r="G70" i="209"/>
  <c r="H70" i="209"/>
  <c r="G71" i="209"/>
  <c r="H71" i="209"/>
  <c r="G72" i="209"/>
  <c r="H72" i="209"/>
  <c r="G73" i="209"/>
  <c r="H73" i="209"/>
  <c r="G74" i="209"/>
  <c r="H74" i="209"/>
  <c r="G75" i="209"/>
  <c r="H75" i="209"/>
  <c r="G76" i="209"/>
  <c r="H76" i="209"/>
  <c r="G77" i="209"/>
  <c r="H77" i="209"/>
  <c r="G78" i="209"/>
  <c r="H78" i="209"/>
  <c r="G79" i="209"/>
  <c r="H79" i="209"/>
  <c r="G80" i="209"/>
  <c r="H80" i="209"/>
  <c r="G81" i="209"/>
  <c r="H81" i="209"/>
  <c r="G50" i="209"/>
  <c r="H50" i="209"/>
  <c r="G51" i="209"/>
  <c r="H51" i="209"/>
  <c r="G52" i="209"/>
  <c r="H52" i="209"/>
  <c r="G53" i="209"/>
  <c r="H53" i="209"/>
  <c r="G54" i="209"/>
  <c r="H54" i="209"/>
  <c r="G55" i="209"/>
  <c r="H55" i="209"/>
  <c r="G56" i="209"/>
  <c r="H56" i="209"/>
  <c r="G57" i="209"/>
  <c r="H57" i="209"/>
  <c r="G29" i="209"/>
  <c r="H29" i="209"/>
  <c r="G30" i="209"/>
  <c r="H30" i="209"/>
  <c r="G31" i="209"/>
  <c r="H31" i="209"/>
  <c r="G32" i="209"/>
  <c r="H32" i="209"/>
  <c r="G33" i="209"/>
  <c r="H33" i="209"/>
  <c r="G34" i="209"/>
  <c r="H34" i="209"/>
  <c r="G35" i="209"/>
  <c r="H35" i="209"/>
  <c r="G36" i="209"/>
  <c r="H36" i="209"/>
  <c r="G37" i="209"/>
  <c r="H37" i="209"/>
  <c r="G38" i="209"/>
  <c r="H38" i="209"/>
  <c r="G39" i="209"/>
  <c r="H39" i="209"/>
  <c r="G40" i="209"/>
  <c r="H40" i="209"/>
  <c r="G41" i="209"/>
  <c r="H41" i="209"/>
  <c r="G42" i="209"/>
  <c r="H42" i="209"/>
  <c r="G43" i="209"/>
  <c r="H43" i="209"/>
  <c r="G44" i="209"/>
  <c r="H44" i="209"/>
  <c r="G45" i="209"/>
  <c r="H45" i="209"/>
  <c r="G22" i="209"/>
  <c r="H22" i="209"/>
  <c r="G23" i="209"/>
  <c r="H23" i="209"/>
  <c r="G24" i="209"/>
  <c r="H24" i="209"/>
  <c r="H16" i="209"/>
  <c r="G17" i="209"/>
  <c r="H17" i="209"/>
  <c r="F128" i="236"/>
  <c r="F129" i="236"/>
  <c r="F130" i="236"/>
  <c r="F131" i="236"/>
  <c r="F132" i="236"/>
  <c r="F133" i="236"/>
  <c r="F134" i="236"/>
  <c r="F135" i="236"/>
  <c r="F136" i="236"/>
  <c r="F137" i="236"/>
  <c r="F138" i="236"/>
  <c r="F139" i="236"/>
  <c r="F140" i="236"/>
  <c r="F141" i="236"/>
  <c r="F142" i="236"/>
  <c r="F143" i="236"/>
  <c r="F144" i="236"/>
  <c r="F145" i="236"/>
  <c r="F146" i="236"/>
  <c r="F147" i="236"/>
  <c r="F148" i="236"/>
  <c r="G86" i="236"/>
  <c r="H86" i="236"/>
  <c r="G87" i="236"/>
  <c r="H87" i="236"/>
  <c r="G88" i="236"/>
  <c r="H88" i="236"/>
  <c r="G89" i="236"/>
  <c r="H89" i="236"/>
  <c r="G90" i="236"/>
  <c r="H90" i="236"/>
  <c r="G91" i="236"/>
  <c r="H91" i="236"/>
  <c r="G92" i="236"/>
  <c r="H92" i="236"/>
  <c r="G93" i="236"/>
  <c r="H93" i="236"/>
  <c r="G94" i="236"/>
  <c r="H94" i="236"/>
  <c r="G95" i="236"/>
  <c r="H95" i="236"/>
  <c r="G96" i="236"/>
  <c r="H96" i="236"/>
  <c r="G97" i="236"/>
  <c r="H97" i="236"/>
  <c r="G98" i="236"/>
  <c r="H98" i="236"/>
  <c r="G99" i="236"/>
  <c r="H99" i="236"/>
  <c r="G100" i="236"/>
  <c r="H100" i="236"/>
  <c r="G101" i="236"/>
  <c r="H101" i="236"/>
  <c r="G102" i="236"/>
  <c r="H102" i="236"/>
  <c r="G108" i="236"/>
  <c r="H108" i="236"/>
  <c r="G109" i="236"/>
  <c r="H109" i="236"/>
  <c r="G110" i="236"/>
  <c r="H110" i="236"/>
  <c r="G111" i="236"/>
  <c r="H111" i="236"/>
  <c r="G62" i="236"/>
  <c r="H62" i="236"/>
  <c r="G63" i="236"/>
  <c r="H63" i="236"/>
  <c r="G64" i="236"/>
  <c r="H64" i="236"/>
  <c r="G65" i="236"/>
  <c r="H65" i="236"/>
  <c r="G66" i="236"/>
  <c r="H66" i="236"/>
  <c r="G67" i="236"/>
  <c r="H67" i="236"/>
  <c r="G68" i="236"/>
  <c r="H68" i="236"/>
  <c r="G69" i="236"/>
  <c r="H69" i="236"/>
  <c r="G70" i="236"/>
  <c r="H70" i="236"/>
  <c r="G71" i="236"/>
  <c r="H71" i="236"/>
  <c r="G72" i="236"/>
  <c r="H72" i="236"/>
  <c r="G73" i="236"/>
  <c r="H73" i="236"/>
  <c r="G74" i="236"/>
  <c r="H74" i="236"/>
  <c r="G75" i="236"/>
  <c r="H75" i="236"/>
  <c r="G76" i="236"/>
  <c r="H76" i="236"/>
  <c r="G77" i="236"/>
  <c r="H77" i="236"/>
  <c r="G78" i="236"/>
  <c r="H78" i="236"/>
  <c r="G79" i="236"/>
  <c r="H79" i="236"/>
  <c r="G80" i="236"/>
  <c r="H80" i="236"/>
  <c r="G81" i="236"/>
  <c r="H81" i="236"/>
  <c r="G50" i="236"/>
  <c r="H50" i="236"/>
  <c r="G51" i="236"/>
  <c r="H51" i="236"/>
  <c r="G52" i="236"/>
  <c r="H52" i="236"/>
  <c r="G53" i="236"/>
  <c r="H53" i="236"/>
  <c r="G54" i="236"/>
  <c r="H54" i="236"/>
  <c r="G55" i="236"/>
  <c r="H55" i="236"/>
  <c r="G56" i="236"/>
  <c r="H56" i="236"/>
  <c r="G57" i="236"/>
  <c r="H57" i="236"/>
  <c r="G29" i="236"/>
  <c r="H29" i="236"/>
  <c r="G30" i="236"/>
  <c r="H30" i="236"/>
  <c r="G31" i="236"/>
  <c r="H31" i="236"/>
  <c r="G32" i="236"/>
  <c r="H32" i="236"/>
  <c r="G33" i="236"/>
  <c r="H33" i="236"/>
  <c r="G34" i="236"/>
  <c r="H34" i="236"/>
  <c r="G35" i="236"/>
  <c r="H35" i="236"/>
  <c r="G36" i="236"/>
  <c r="H36" i="236"/>
  <c r="G37" i="236"/>
  <c r="H37" i="236"/>
  <c r="G38" i="236"/>
  <c r="H38" i="236"/>
  <c r="G39" i="236"/>
  <c r="H39" i="236"/>
  <c r="G40" i="236"/>
  <c r="H40" i="236"/>
  <c r="G41" i="236"/>
  <c r="H41" i="236"/>
  <c r="G42" i="236"/>
  <c r="H42" i="236"/>
  <c r="G43" i="236"/>
  <c r="H43" i="236"/>
  <c r="G44" i="236"/>
  <c r="H44" i="236"/>
  <c r="G45" i="236"/>
  <c r="H45" i="236"/>
  <c r="G22" i="236"/>
  <c r="H22" i="236"/>
  <c r="G23" i="236"/>
  <c r="H23" i="236"/>
  <c r="G24" i="236"/>
  <c r="H24" i="236"/>
  <c r="H16" i="236"/>
  <c r="G17" i="236"/>
  <c r="H17" i="236"/>
  <c r="G116" i="213"/>
  <c r="H116" i="213"/>
  <c r="G116" i="207"/>
  <c r="H116" i="207"/>
  <c r="L98" i="10"/>
  <c r="K98" i="10"/>
  <c r="J98" i="10"/>
  <c r="D13" i="244"/>
  <c r="M98" i="10"/>
  <c r="N98" i="10"/>
  <c r="O98" i="10"/>
  <c r="P98" i="10"/>
  <c r="Q98" i="10"/>
  <c r="R98" i="10"/>
  <c r="A2" i="212"/>
  <c r="A2" i="244" s="1"/>
  <c r="D40" i="51"/>
  <c r="D146" i="51" s="1"/>
  <c r="A1" i="245"/>
  <c r="A2" i="245"/>
  <c r="A3" i="245"/>
  <c r="A4" i="245"/>
  <c r="H18" i="102"/>
  <c r="E45" i="231"/>
  <c r="J45" i="231" s="1"/>
  <c r="E43" i="231"/>
  <c r="J43" i="231"/>
  <c r="J39" i="231"/>
  <c r="D19" i="244"/>
  <c r="D16" i="244"/>
  <c r="A1" i="212"/>
  <c r="A1" i="244" s="1"/>
  <c r="A3" i="212"/>
  <c r="A4" i="242" s="1"/>
  <c r="F8" i="137"/>
  <c r="L8" i="244" s="1"/>
  <c r="J22" i="244"/>
  <c r="D19" i="243"/>
  <c r="D16" i="243"/>
  <c r="L8" i="243"/>
  <c r="J22" i="243"/>
  <c r="A7" i="137"/>
  <c r="A7" i="237" s="1"/>
  <c r="A8" i="242"/>
  <c r="A6" i="242"/>
  <c r="A8" i="233"/>
  <c r="A6" i="233"/>
  <c r="A7" i="3"/>
  <c r="A7" i="241" s="1"/>
  <c r="A6" i="241"/>
  <c r="A8" i="241"/>
  <c r="A2" i="34"/>
  <c r="A1" i="34"/>
  <c r="A5" i="34"/>
  <c r="A4" i="34"/>
  <c r="J33" i="39"/>
  <c r="I34" i="39"/>
  <c r="J34" i="41"/>
  <c r="J36" i="41"/>
  <c r="I34" i="41"/>
  <c r="I36" i="41"/>
  <c r="H34" i="41"/>
  <c r="H36" i="41"/>
  <c r="H33" i="41"/>
  <c r="H16" i="103"/>
  <c r="I16" i="103" s="1"/>
  <c r="D17" i="103"/>
  <c r="H17" i="103" s="1"/>
  <c r="I17" i="103" s="1"/>
  <c r="D18" i="103"/>
  <c r="H18" i="103" s="1"/>
  <c r="D19" i="103"/>
  <c r="E19" i="103" s="1"/>
  <c r="G41" i="103"/>
  <c r="E16" i="103"/>
  <c r="E18" i="103"/>
  <c r="C41" i="103"/>
  <c r="A5" i="103"/>
  <c r="A4" i="103"/>
  <c r="A2" i="103"/>
  <c r="A1" i="103"/>
  <c r="H13" i="103"/>
  <c r="H12" i="103"/>
  <c r="E16" i="239"/>
  <c r="A1" i="239"/>
  <c r="A2" i="239"/>
  <c r="H11" i="239"/>
  <c r="H12" i="239"/>
  <c r="H15" i="239"/>
  <c r="A5" i="37"/>
  <c r="A4" i="37"/>
  <c r="A2" i="37"/>
  <c r="A1" i="37"/>
  <c r="A2" i="98"/>
  <c r="A1" i="98"/>
  <c r="A2" i="95"/>
  <c r="A1" i="95"/>
  <c r="A5" i="202"/>
  <c r="A4" i="202"/>
  <c r="A2" i="202"/>
  <c r="A1" i="202"/>
  <c r="A4" i="99"/>
  <c r="A2" i="99"/>
  <c r="A1" i="99"/>
  <c r="A2" i="106"/>
  <c r="A1" i="106"/>
  <c r="I16" i="105"/>
  <c r="J16" i="105" s="1"/>
  <c r="J18" i="105" s="1"/>
  <c r="A5" i="105"/>
  <c r="A4" i="105"/>
  <c r="A2" i="105"/>
  <c r="A1" i="105"/>
  <c r="H12" i="102"/>
  <c r="H11" i="102"/>
  <c r="A5" i="102"/>
  <c r="A4" i="102"/>
  <c r="A2" i="102"/>
  <c r="A1" i="102"/>
  <c r="A5" i="100"/>
  <c r="A4" i="100"/>
  <c r="A2" i="100"/>
  <c r="A1" i="100"/>
  <c r="H73" i="100"/>
  <c r="D73" i="100"/>
  <c r="E48" i="100"/>
  <c r="E19" i="100"/>
  <c r="E49" i="100" s="1"/>
  <c r="E20" i="100"/>
  <c r="I20" i="100" s="1"/>
  <c r="E21" i="100"/>
  <c r="E51" i="100" s="1"/>
  <c r="I18" i="100"/>
  <c r="I48" i="100" s="1"/>
  <c r="I13" i="100"/>
  <c r="I12" i="100"/>
  <c r="L8" i="231"/>
  <c r="A5" i="10"/>
  <c r="A4" i="10"/>
  <c r="A2" i="10"/>
  <c r="A1" i="10"/>
  <c r="A5" i="36"/>
  <c r="A4" i="36"/>
  <c r="A2" i="36"/>
  <c r="A1" i="36"/>
  <c r="A4" i="8"/>
  <c r="A2" i="8"/>
  <c r="A1" i="8"/>
  <c r="A8" i="5"/>
  <c r="A9" i="5"/>
  <c r="A7" i="5"/>
  <c r="A2" i="5"/>
  <c r="A1" i="5"/>
  <c r="A5" i="84"/>
  <c r="A4" i="84"/>
  <c r="A1" i="84"/>
  <c r="D9" i="238"/>
  <c r="E9" i="238"/>
  <c r="F9" i="238"/>
  <c r="G9" i="238"/>
  <c r="H9" i="238"/>
  <c r="I9" i="238"/>
  <c r="J9" i="238"/>
  <c r="K9" i="238"/>
  <c r="L9" i="238"/>
  <c r="M9" i="238"/>
  <c r="N9" i="238"/>
  <c r="D10" i="238"/>
  <c r="E10" i="238"/>
  <c r="F10" i="238"/>
  <c r="G10" i="238"/>
  <c r="H10" i="238"/>
  <c r="I10" i="238"/>
  <c r="J10" i="238"/>
  <c r="K10" i="238"/>
  <c r="L10" i="238"/>
  <c r="M10" i="238"/>
  <c r="N10" i="238"/>
  <c r="C10" i="238"/>
  <c r="C9" i="238"/>
  <c r="A7" i="79"/>
  <c r="A7" i="238" s="1"/>
  <c r="A8" i="238"/>
  <c r="A6" i="238"/>
  <c r="A4" i="238"/>
  <c r="A1" i="238"/>
  <c r="A2" i="238"/>
  <c r="O10" i="238"/>
  <c r="A1" i="237"/>
  <c r="A2" i="237"/>
  <c r="A6" i="237"/>
  <c r="A8" i="237"/>
  <c r="H8" i="237"/>
  <c r="A8" i="236"/>
  <c r="A6" i="236"/>
  <c r="A4" i="236"/>
  <c r="A1" i="236"/>
  <c r="A2" i="236"/>
  <c r="N8" i="236"/>
  <c r="E19" i="236"/>
  <c r="E26" i="236"/>
  <c r="E47" i="236"/>
  <c r="E59" i="236"/>
  <c r="E83" i="236"/>
  <c r="E115" i="236"/>
  <c r="E125" i="236"/>
  <c r="D150" i="236"/>
  <c r="E150" i="236"/>
  <c r="K150" i="236"/>
  <c r="E176" i="236"/>
  <c r="E223" i="236"/>
  <c r="E259" i="236"/>
  <c r="K149" i="213"/>
  <c r="E225" i="209"/>
  <c r="E178" i="209"/>
  <c r="E59" i="209"/>
  <c r="K152" i="209"/>
  <c r="E115" i="209"/>
  <c r="E83" i="209"/>
  <c r="E47" i="209"/>
  <c r="E26" i="209"/>
  <c r="E19" i="209"/>
  <c r="E127" i="209"/>
  <c r="E152" i="209"/>
  <c r="D152" i="209"/>
  <c r="A8" i="209"/>
  <c r="A6" i="209"/>
  <c r="A4" i="209"/>
  <c r="H27" i="102"/>
  <c r="A1" i="235"/>
  <c r="A2" i="235"/>
  <c r="A3" i="235"/>
  <c r="A4" i="235"/>
  <c r="D36" i="230"/>
  <c r="D19" i="230"/>
  <c r="E36" i="230"/>
  <c r="E19" i="230"/>
  <c r="F36" i="230"/>
  <c r="F19" i="230"/>
  <c r="G36" i="230"/>
  <c r="G19" i="230"/>
  <c r="H36" i="230"/>
  <c r="H19" i="230"/>
  <c r="A8" i="230"/>
  <c r="A6" i="230"/>
  <c r="L25" i="202"/>
  <c r="C52" i="228"/>
  <c r="B52" i="228"/>
  <c r="C32" i="227"/>
  <c r="B32" i="227"/>
  <c r="C38" i="226"/>
  <c r="B38" i="226"/>
  <c r="C54" i="192"/>
  <c r="B54" i="192"/>
  <c r="C32" i="193"/>
  <c r="B32" i="193"/>
  <c r="C40" i="190"/>
  <c r="B40" i="190"/>
  <c r="P10" i="228"/>
  <c r="A8" i="228"/>
  <c r="A6" i="228"/>
  <c r="A4" i="228"/>
  <c r="A1" i="228"/>
  <c r="A2" i="228"/>
  <c r="P12" i="228"/>
  <c r="P14" i="228"/>
  <c r="A8" i="227"/>
  <c r="A6" i="227"/>
  <c r="A4" i="227"/>
  <c r="A4" i="226"/>
  <c r="A1" i="227"/>
  <c r="A2" i="227"/>
  <c r="P10" i="227"/>
  <c r="P12" i="227"/>
  <c r="P13" i="227"/>
  <c r="P12" i="226"/>
  <c r="P13" i="226"/>
  <c r="A8" i="226"/>
  <c r="A6" i="226"/>
  <c r="A1" i="226"/>
  <c r="A2" i="226"/>
  <c r="P10" i="226"/>
  <c r="A4" i="222"/>
  <c r="A8" i="222"/>
  <c r="A6" i="222"/>
  <c r="A1" i="222"/>
  <c r="A2" i="222"/>
  <c r="A2" i="221"/>
  <c r="A3" i="221"/>
  <c r="A4" i="221"/>
  <c r="A1" i="221"/>
  <c r="A4" i="48"/>
  <c r="A2" i="48"/>
  <c r="A1" i="48"/>
  <c r="A4" i="49"/>
  <c r="A2" i="49"/>
  <c r="A1" i="49"/>
  <c r="A4" i="212"/>
  <c r="A4" i="50" s="1"/>
  <c r="A2" i="50"/>
  <c r="A1" i="50"/>
  <c r="A2" i="51"/>
  <c r="A1" i="51"/>
  <c r="C31" i="215"/>
  <c r="D31" i="215"/>
  <c r="E31" i="215"/>
  <c r="C32" i="215"/>
  <c r="D32" i="215"/>
  <c r="E33" i="30"/>
  <c r="D32" i="30"/>
  <c r="D31" i="30"/>
  <c r="E31" i="30"/>
  <c r="D149" i="213"/>
  <c r="A3" i="216"/>
  <c r="K9" i="215"/>
  <c r="C27" i="215"/>
  <c r="C26" i="215"/>
  <c r="C25" i="215"/>
  <c r="D25" i="215"/>
  <c r="C24" i="215"/>
  <c r="D24" i="215"/>
  <c r="E24" i="215"/>
  <c r="O30" i="216"/>
  <c r="C20" i="215" s="1"/>
  <c r="C27" i="30"/>
  <c r="C26" i="30"/>
  <c r="C25" i="30"/>
  <c r="D25" i="30"/>
  <c r="D24" i="30"/>
  <c r="E24" i="30"/>
  <c r="A1" i="216"/>
  <c r="A2" i="216"/>
  <c r="C30" i="216"/>
  <c r="D30" i="216"/>
  <c r="E30" i="216"/>
  <c r="F30" i="216"/>
  <c r="G30" i="216"/>
  <c r="H30" i="216"/>
  <c r="I30" i="216"/>
  <c r="J30" i="216"/>
  <c r="K30" i="216"/>
  <c r="L30" i="216"/>
  <c r="M30" i="216"/>
  <c r="N30" i="216"/>
  <c r="A9" i="215"/>
  <c r="A7" i="215"/>
  <c r="H12" i="215"/>
  <c r="A3" i="214"/>
  <c r="A2" i="214"/>
  <c r="A1" i="214"/>
  <c r="A9" i="30"/>
  <c r="A7" i="30"/>
  <c r="A8" i="67"/>
  <c r="A6" i="67"/>
  <c r="A9" i="69"/>
  <c r="A7" i="69"/>
  <c r="A2" i="69"/>
  <c r="A1" i="69"/>
  <c r="A9" i="24"/>
  <c r="A7" i="24"/>
  <c r="A2" i="24"/>
  <c r="A1" i="24"/>
  <c r="A8" i="213"/>
  <c r="A6" i="213"/>
  <c r="A4" i="213"/>
  <c r="A1" i="213"/>
  <c r="A2" i="213"/>
  <c r="N8" i="213"/>
  <c r="E19" i="213"/>
  <c r="E26" i="213"/>
  <c r="E47" i="213"/>
  <c r="E59" i="213"/>
  <c r="E83" i="213"/>
  <c r="E112" i="213"/>
  <c r="E124" i="213"/>
  <c r="E149" i="213"/>
  <c r="E174" i="213"/>
  <c r="K149" i="207"/>
  <c r="E124" i="207"/>
  <c r="E149" i="207"/>
  <c r="E174" i="207"/>
  <c r="E19" i="207"/>
  <c r="E26" i="207"/>
  <c r="E47" i="207"/>
  <c r="E59" i="207"/>
  <c r="E83" i="207"/>
  <c r="E112" i="207"/>
  <c r="D149" i="207"/>
  <c r="A7" i="171"/>
  <c r="A8" i="171"/>
  <c r="A6" i="171"/>
  <c r="A4" i="171"/>
  <c r="A2" i="171"/>
  <c r="A1" i="171"/>
  <c r="O10" i="171"/>
  <c r="N10" i="171"/>
  <c r="M10" i="171"/>
  <c r="L10" i="171"/>
  <c r="K10" i="171"/>
  <c r="J10" i="171"/>
  <c r="I10" i="171"/>
  <c r="H10" i="171"/>
  <c r="G10" i="171"/>
  <c r="F10" i="171"/>
  <c r="E10" i="171"/>
  <c r="D10" i="171"/>
  <c r="C10" i="171"/>
  <c r="N9" i="171"/>
  <c r="M9" i="171"/>
  <c r="L9" i="171"/>
  <c r="K9" i="171"/>
  <c r="H9" i="171"/>
  <c r="G9" i="171"/>
  <c r="F9" i="171"/>
  <c r="E9" i="171"/>
  <c r="D9" i="171"/>
  <c r="C9" i="171"/>
  <c r="A4" i="192"/>
  <c r="A2" i="192"/>
  <c r="A1" i="192"/>
  <c r="P10" i="192"/>
  <c r="O10" i="192"/>
  <c r="N10" i="192"/>
  <c r="M10" i="192"/>
  <c r="L10" i="192"/>
  <c r="K10" i="192"/>
  <c r="J10" i="192"/>
  <c r="I10" i="192"/>
  <c r="H10" i="192"/>
  <c r="G10" i="192"/>
  <c r="F10" i="192"/>
  <c r="D10" i="192"/>
  <c r="O9" i="192"/>
  <c r="N9" i="192"/>
  <c r="M9" i="192"/>
  <c r="L9" i="192"/>
  <c r="K9" i="192"/>
  <c r="J9" i="192"/>
  <c r="I9" i="192"/>
  <c r="H9" i="192"/>
  <c r="G9" i="192"/>
  <c r="F9" i="192"/>
  <c r="D9" i="192"/>
  <c r="A7" i="44"/>
  <c r="A7" i="192" s="1"/>
  <c r="A8" i="44"/>
  <c r="A8" i="192" s="1"/>
  <c r="A6" i="44"/>
  <c r="A6" i="192" s="1"/>
  <c r="A4" i="193"/>
  <c r="A2" i="193"/>
  <c r="A1" i="193"/>
  <c r="P10" i="193"/>
  <c r="O10" i="193"/>
  <c r="N10" i="193"/>
  <c r="M10" i="193"/>
  <c r="L10" i="193"/>
  <c r="K10" i="193"/>
  <c r="J10" i="193"/>
  <c r="I10" i="193"/>
  <c r="H10" i="193"/>
  <c r="G10" i="193"/>
  <c r="F10" i="193"/>
  <c r="D10" i="193"/>
  <c r="O9" i="193"/>
  <c r="N9" i="193"/>
  <c r="M9" i="193"/>
  <c r="L9" i="193"/>
  <c r="K9" i="193"/>
  <c r="J9" i="193"/>
  <c r="I9" i="193"/>
  <c r="H9" i="193"/>
  <c r="G9" i="193"/>
  <c r="F9" i="193"/>
  <c r="D9" i="193"/>
  <c r="A4" i="190"/>
  <c r="A2" i="190"/>
  <c r="A1" i="190"/>
  <c r="P15" i="190"/>
  <c r="F9" i="190"/>
  <c r="G9" i="190"/>
  <c r="H9" i="190"/>
  <c r="I9" i="190"/>
  <c r="J9" i="190"/>
  <c r="K9" i="190"/>
  <c r="L9" i="190"/>
  <c r="M9" i="190"/>
  <c r="N9" i="190"/>
  <c r="O9" i="190"/>
  <c r="F10" i="190"/>
  <c r="G10" i="190"/>
  <c r="H10" i="190"/>
  <c r="I10" i="190"/>
  <c r="J10" i="190"/>
  <c r="K10" i="190"/>
  <c r="L10" i="190"/>
  <c r="M10" i="190"/>
  <c r="N10" i="190"/>
  <c r="O10" i="190"/>
  <c r="P10" i="190"/>
  <c r="D10" i="190"/>
  <c r="D9" i="190"/>
  <c r="A4" i="44"/>
  <c r="A2" i="44"/>
  <c r="A1" i="44"/>
  <c r="A4" i="4"/>
  <c r="A2" i="4"/>
  <c r="A1" i="4"/>
  <c r="G36" i="39"/>
  <c r="G35" i="39"/>
  <c r="G34" i="39"/>
  <c r="G33" i="39"/>
  <c r="G30" i="39"/>
  <c r="G22" i="39"/>
  <c r="H35" i="39"/>
  <c r="A5" i="39"/>
  <c r="A4" i="39"/>
  <c r="A2" i="39"/>
  <c r="A1" i="39"/>
  <c r="A2" i="41"/>
  <c r="A4" i="41"/>
  <c r="A5" i="41"/>
  <c r="A1" i="41"/>
  <c r="G36" i="41"/>
  <c r="G35" i="41"/>
  <c r="G34" i="41"/>
  <c r="G33" i="41"/>
  <c r="G30" i="41"/>
  <c r="G22" i="41"/>
  <c r="H35" i="41"/>
  <c r="A5" i="42"/>
  <c r="A4" i="42"/>
  <c r="A2" i="42"/>
  <c r="A1" i="42"/>
  <c r="D19" i="42"/>
  <c r="A5" i="35"/>
  <c r="A4" i="35"/>
  <c r="A2" i="35"/>
  <c r="A1" i="35"/>
  <c r="A4" i="79"/>
  <c r="A2" i="79"/>
  <c r="A1" i="79"/>
  <c r="A4" i="45"/>
  <c r="A2" i="45"/>
  <c r="A1" i="45"/>
  <c r="A1" i="211"/>
  <c r="A2" i="211"/>
  <c r="A3" i="211"/>
  <c r="A4" i="211"/>
  <c r="A8" i="46"/>
  <c r="A9" i="46"/>
  <c r="A7" i="46"/>
  <c r="A5" i="46"/>
  <c r="A4" i="46"/>
  <c r="A2" i="46"/>
  <c r="A1" i="46"/>
  <c r="A4" i="47"/>
  <c r="A2" i="47"/>
  <c r="A1" i="47"/>
  <c r="A4" i="67"/>
  <c r="A2" i="67"/>
  <c r="A1" i="67"/>
  <c r="A8" i="31"/>
  <c r="A6" i="31"/>
  <c r="A2" i="31"/>
  <c r="A1" i="31"/>
  <c r="A1" i="209"/>
  <c r="A2" i="209"/>
  <c r="N8" i="209"/>
  <c r="A2" i="137"/>
  <c r="A1" i="137"/>
  <c r="A2" i="3"/>
  <c r="A1" i="3"/>
  <c r="N8" i="207"/>
  <c r="A8" i="207"/>
  <c r="A6" i="207"/>
  <c r="A4" i="207"/>
  <c r="A2" i="207"/>
  <c r="A1" i="207"/>
  <c r="A4" i="1"/>
  <c r="A2" i="1"/>
  <c r="A1" i="1"/>
  <c r="A4" i="206"/>
  <c r="A2" i="206"/>
  <c r="A3" i="206"/>
  <c r="A1" i="206"/>
  <c r="A4" i="205"/>
  <c r="A3" i="205"/>
  <c r="A2" i="205"/>
  <c r="A1" i="205"/>
  <c r="J25" i="10"/>
  <c r="J27" i="10" s="1"/>
  <c r="K25" i="10"/>
  <c r="K27" i="10" s="1"/>
  <c r="L25" i="10"/>
  <c r="L27" i="10" s="1"/>
  <c r="M25" i="10"/>
  <c r="M27" i="10" s="1"/>
  <c r="N25" i="10"/>
  <c r="N27" i="10" s="1"/>
  <c r="O25" i="10"/>
  <c r="O27" i="10" s="1"/>
  <c r="P25" i="10"/>
  <c r="P27" i="10" s="1"/>
  <c r="Q25" i="10"/>
  <c r="Q27" i="10" s="1"/>
  <c r="R25" i="10"/>
  <c r="R27" i="10" s="1"/>
  <c r="J31" i="10"/>
  <c r="K31" i="10"/>
  <c r="L31" i="10"/>
  <c r="M31" i="10"/>
  <c r="N31" i="10"/>
  <c r="O31" i="10"/>
  <c r="P31" i="10"/>
  <c r="Q31" i="10"/>
  <c r="R31" i="10"/>
  <c r="J45" i="10"/>
  <c r="K45" i="10"/>
  <c r="L45" i="10"/>
  <c r="M45" i="10"/>
  <c r="N45" i="10"/>
  <c r="P45" i="10"/>
  <c r="Q45" i="10"/>
  <c r="R45" i="10"/>
  <c r="O55" i="10"/>
  <c r="O58" i="10" s="1"/>
  <c r="O60" i="10" s="1"/>
  <c r="O62" i="10" s="1"/>
  <c r="Q55" i="10"/>
  <c r="Q58" i="10" s="1"/>
  <c r="Q60" i="10" s="1"/>
  <c r="Q62" i="10" s="1"/>
  <c r="R55" i="10"/>
  <c r="R58" i="10" s="1"/>
  <c r="R60" i="10" s="1"/>
  <c r="R62" i="10" s="1"/>
  <c r="P55" i="10"/>
  <c r="P58" i="10" s="1"/>
  <c r="P60" i="10" s="1"/>
  <c r="P62" i="10" s="1"/>
  <c r="G123" i="10"/>
  <c r="H123" i="10"/>
  <c r="M124" i="10"/>
  <c r="N124" i="10"/>
  <c r="O124" i="10"/>
  <c r="P124" i="10"/>
  <c r="Q124" i="10"/>
  <c r="R124" i="10"/>
  <c r="M128" i="10"/>
  <c r="N128" i="10"/>
  <c r="O128" i="10"/>
  <c r="P128" i="10"/>
  <c r="Q128" i="10"/>
  <c r="R128" i="10"/>
  <c r="G24" i="95"/>
  <c r="M28" i="39"/>
  <c r="M36" i="39" s="1"/>
  <c r="I35" i="41"/>
  <c r="J35" i="41"/>
  <c r="A14" i="35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F17" i="35"/>
  <c r="F18" i="35"/>
  <c r="H19" i="35"/>
  <c r="F24" i="35"/>
  <c r="H24" i="35"/>
  <c r="F25" i="35"/>
  <c r="F30" i="35"/>
  <c r="F35" i="35"/>
  <c r="F36" i="35"/>
  <c r="F42" i="35"/>
  <c r="F43" i="35"/>
  <c r="H43" i="35"/>
  <c r="F49" i="35"/>
  <c r="H49" i="35"/>
  <c r="J49" i="35"/>
  <c r="F50" i="35"/>
  <c r="H50" i="35"/>
  <c r="J50" i="35"/>
  <c r="H24" i="36"/>
  <c r="J24" i="36" s="1"/>
  <c r="F16" i="104"/>
  <c r="F18" i="104"/>
  <c r="J18" i="104"/>
  <c r="D20" i="104"/>
  <c r="A16" i="107"/>
  <c r="A17" i="107" s="1"/>
  <c r="A18" i="107" s="1"/>
  <c r="A19" i="107" s="1"/>
  <c r="A20" i="107" s="1"/>
  <c r="A21" i="107" s="1"/>
  <c r="A22" i="107" s="1"/>
  <c r="A23" i="107" s="1"/>
  <c r="A29" i="107"/>
  <c r="A30" i="107" s="1"/>
  <c r="A31" i="107" s="1"/>
  <c r="A32" i="107" s="1"/>
  <c r="A33" i="107" s="1"/>
  <c r="A34" i="107" s="1"/>
  <c r="A35" i="107" s="1"/>
  <c r="A36" i="107" s="1"/>
  <c r="D8" i="48"/>
  <c r="D8" i="49"/>
  <c r="D9" i="50"/>
  <c r="D35" i="50"/>
  <c r="D36" i="50"/>
  <c r="H21" i="51"/>
  <c r="J21" i="51"/>
  <c r="L21" i="51"/>
  <c r="N21" i="51"/>
  <c r="F29" i="51"/>
  <c r="J29" i="51"/>
  <c r="L29" i="51"/>
  <c r="N29" i="51"/>
  <c r="F36" i="51"/>
  <c r="H36" i="51"/>
  <c r="L36" i="51"/>
  <c r="N36" i="51"/>
  <c r="A138" i="51"/>
  <c r="A139" i="51" s="1"/>
  <c r="A140" i="51" s="1"/>
  <c r="A141" i="51" s="1"/>
  <c r="A142" i="51" s="1"/>
  <c r="A144" i="51" s="1"/>
  <c r="A146" i="51" s="1"/>
  <c r="A148" i="51" s="1"/>
  <c r="A155" i="51" s="1"/>
  <c r="A156" i="51" s="1"/>
  <c r="A157" i="51" s="1"/>
  <c r="A158" i="51" s="1"/>
  <c r="A159" i="51" s="1"/>
  <c r="A160" i="51" s="1"/>
  <c r="A161" i="51" s="1"/>
  <c r="A162" i="51" s="1"/>
  <c r="A163" i="51" s="1"/>
  <c r="A164" i="51" s="1"/>
  <c r="A165" i="51" s="1"/>
  <c r="A166" i="51" s="1"/>
  <c r="A167" i="51" s="1"/>
  <c r="A168" i="51" s="1"/>
  <c r="A169" i="51" s="1"/>
  <c r="A170" i="51" s="1"/>
  <c r="A171" i="51" s="1"/>
  <c r="A172" i="51" s="1"/>
  <c r="P156" i="51"/>
  <c r="P157" i="51"/>
  <c r="P12" i="193"/>
  <c r="P14" i="190"/>
  <c r="H31" i="46"/>
  <c r="H33" i="46" s="1"/>
  <c r="A16" i="69"/>
  <c r="A18" i="69" s="1"/>
  <c r="A20" i="69" s="1"/>
  <c r="A22" i="69" s="1"/>
  <c r="A24" i="69" s="1"/>
  <c r="A26" i="69" s="1"/>
  <c r="A28" i="69" s="1"/>
  <c r="A30" i="69" s="1"/>
  <c r="A32" i="69" s="1"/>
  <c r="B16" i="69"/>
  <c r="B18" i="69"/>
  <c r="B20" i="69"/>
  <c r="B22" i="69"/>
  <c r="B24" i="69"/>
  <c r="B26" i="69"/>
  <c r="B28" i="69"/>
  <c r="B30" i="69"/>
  <c r="H9" i="24"/>
  <c r="A16" i="24"/>
  <c r="A18" i="24" s="1"/>
  <c r="A20" i="24" s="1"/>
  <c r="A22" i="24" s="1"/>
  <c r="A24" i="24" s="1"/>
  <c r="A26" i="24" s="1"/>
  <c r="A28" i="24" s="1"/>
  <c r="A30" i="24" s="1"/>
  <c r="A32" i="24" s="1"/>
  <c r="B16" i="24"/>
  <c r="B18" i="24"/>
  <c r="B20" i="24"/>
  <c r="B22" i="24"/>
  <c r="B24" i="24"/>
  <c r="B26" i="24"/>
  <c r="B28" i="24"/>
  <c r="B30" i="24"/>
  <c r="K9" i="30"/>
  <c r="E8" i="31"/>
  <c r="A16" i="137"/>
  <c r="A17" i="137" s="1"/>
  <c r="A19" i="137" s="1"/>
  <c r="A21" i="137" s="1"/>
  <c r="A22" i="137" s="1"/>
  <c r="A23" i="137" s="1"/>
  <c r="A16" i="3"/>
  <c r="A17" i="3" s="1"/>
  <c r="A19" i="3" s="1"/>
  <c r="A21" i="3" s="1"/>
  <c r="A22" i="3" s="1"/>
  <c r="A23" i="3" s="1"/>
  <c r="A24" i="3" s="1"/>
  <c r="A25" i="3" s="1"/>
  <c r="A27" i="3" s="1"/>
  <c r="L50" i="35"/>
  <c r="N50" i="35"/>
  <c r="I21" i="100"/>
  <c r="I22" i="243"/>
  <c r="I25" i="215"/>
  <c r="E34" i="231"/>
  <c r="E24" i="231"/>
  <c r="J30" i="231"/>
  <c r="M183" i="236"/>
  <c r="M171" i="207"/>
  <c r="M169" i="207"/>
  <c r="H155" i="207"/>
  <c r="M155" i="207" s="1"/>
  <c r="H167" i="209"/>
  <c r="H137" i="209"/>
  <c r="M137" i="209" s="1"/>
  <c r="H223" i="209"/>
  <c r="M223" i="209" s="1"/>
  <c r="H211" i="209"/>
  <c r="M211" i="209" s="1"/>
  <c r="G130" i="237"/>
  <c r="G134" i="237"/>
  <c r="G138" i="237"/>
  <c r="G142" i="237"/>
  <c r="G146" i="237"/>
  <c r="G153" i="237"/>
  <c r="G155" i="237"/>
  <c r="G157" i="237"/>
  <c r="G158" i="237"/>
  <c r="G169" i="237"/>
  <c r="G171" i="237"/>
  <c r="G123" i="237"/>
  <c r="G131" i="237"/>
  <c r="G135" i="237"/>
  <c r="G139" i="237"/>
  <c r="G143" i="237"/>
  <c r="G147" i="237"/>
  <c r="G156" i="237"/>
  <c r="G159" i="237"/>
  <c r="G166" i="237"/>
  <c r="G170" i="237"/>
  <c r="G172" i="237"/>
  <c r="G128" i="237"/>
  <c r="G132" i="237"/>
  <c r="G136" i="237"/>
  <c r="G140" i="237"/>
  <c r="G144" i="237"/>
  <c r="G148" i="237"/>
  <c r="G167" i="237"/>
  <c r="G173" i="237"/>
  <c r="G129" i="237"/>
  <c r="G133" i="237"/>
  <c r="G137" i="237"/>
  <c r="G141" i="237"/>
  <c r="G145" i="237"/>
  <c r="G154" i="237"/>
  <c r="G168" i="237"/>
  <c r="C51" i="238"/>
  <c r="H51" i="238" s="1"/>
  <c r="G210" i="237"/>
  <c r="G208" i="237"/>
  <c r="G215" i="237"/>
  <c r="G211" i="237"/>
  <c r="G209" i="237"/>
  <c r="G207" i="237"/>
  <c r="D150" i="237"/>
  <c r="I51" i="100"/>
  <c r="A7" i="213" l="1"/>
  <c r="A7" i="207"/>
  <c r="A7" i="67"/>
  <c r="E50" i="100"/>
  <c r="A8" i="69"/>
  <c r="A1" i="30"/>
  <c r="A1" i="231"/>
  <c r="I19" i="100"/>
  <c r="I49" i="100" s="1"/>
  <c r="A1" i="232"/>
  <c r="J34" i="106"/>
  <c r="J38" i="106"/>
  <c r="J42" i="106"/>
  <c r="J19" i="106"/>
  <c r="J23" i="106"/>
  <c r="J15" i="106"/>
  <c r="J37" i="106"/>
  <c r="J22" i="106"/>
  <c r="J31" i="106"/>
  <c r="J35" i="106"/>
  <c r="J39" i="106"/>
  <c r="J16" i="106"/>
  <c r="J20" i="106"/>
  <c r="J24" i="106"/>
  <c r="J41" i="106"/>
  <c r="J26" i="106"/>
  <c r="J32" i="106"/>
  <c r="J36" i="106"/>
  <c r="J40" i="106"/>
  <c r="J17" i="106"/>
  <c r="J21" i="106"/>
  <c r="J25" i="106"/>
  <c r="J33" i="106"/>
  <c r="J18" i="106"/>
  <c r="A214" i="207"/>
  <c r="A215" i="207" s="1"/>
  <c r="A216" i="207" s="1"/>
  <c r="A217" i="207" s="1"/>
  <c r="A218" i="207" s="1"/>
  <c r="A219" i="207" s="1"/>
  <c r="A220" i="207" s="1"/>
  <c r="A221" i="207" s="1"/>
  <c r="A222" i="207" s="1"/>
  <c r="A223" i="207" s="1"/>
  <c r="A224" i="207" s="1"/>
  <c r="A225" i="207" s="1"/>
  <c r="A226" i="207" s="1"/>
  <c r="A227" i="207" s="1"/>
  <c r="A228" i="207" s="1"/>
  <c r="A229" i="207" s="1"/>
  <c r="A230" i="207" s="1"/>
  <c r="A231" i="207" s="1"/>
  <c r="A232" i="207" s="1"/>
  <c r="A233" i="207" s="1"/>
  <c r="A234" i="207" s="1"/>
  <c r="A235" i="207" s="1"/>
  <c r="A236" i="207" s="1"/>
  <c r="A237" i="207" s="1"/>
  <c r="A238" i="207" s="1"/>
  <c r="A239" i="207" s="1"/>
  <c r="A240" i="207" s="1"/>
  <c r="A241" i="207" s="1"/>
  <c r="A242" i="207" s="1"/>
  <c r="A243" i="207" s="1"/>
  <c r="A244" i="207" s="1"/>
  <c r="A245" i="207" s="1"/>
  <c r="A246" i="207" s="1"/>
  <c r="A247" i="207" s="1"/>
  <c r="A248" i="207" s="1"/>
  <c r="A249" i="207" s="1"/>
  <c r="A250" i="207" s="1"/>
  <c r="A251" i="207" s="1"/>
  <c r="A252" i="207" s="1"/>
  <c r="A253" i="207" s="1"/>
  <c r="A254" i="207" s="1"/>
  <c r="I31" i="215"/>
  <c r="A1" i="215"/>
  <c r="A8" i="215"/>
  <c r="A2" i="231"/>
  <c r="A1" i="230"/>
  <c r="A1" i="233"/>
  <c r="H188" i="207"/>
  <c r="M187" i="207"/>
  <c r="A4" i="241"/>
  <c r="A4" i="230"/>
  <c r="L187" i="207"/>
  <c r="L162" i="236"/>
  <c r="L161" i="236"/>
  <c r="A2" i="232"/>
  <c r="A2" i="230"/>
  <c r="A2" i="233"/>
  <c r="F19" i="35"/>
  <c r="G21" i="84"/>
  <c r="O43" i="42" s="1"/>
  <c r="O45" i="42" s="1"/>
  <c r="D68" i="232"/>
  <c r="D70" i="232" s="1"/>
  <c r="E17" i="103"/>
  <c r="J24" i="30"/>
  <c r="P43" i="231"/>
  <c r="A24" i="137"/>
  <c r="A25" i="137" s="1"/>
  <c r="A27" i="137" s="1"/>
  <c r="T25" i="202"/>
  <c r="K25" i="4"/>
  <c r="E31" i="106"/>
  <c r="A7" i="31"/>
  <c r="A8" i="24"/>
  <c r="A8" i="30"/>
  <c r="E8" i="67"/>
  <c r="H9" i="69"/>
  <c r="L8" i="232"/>
  <c r="H20" i="104"/>
  <c r="M21" i="46" s="1"/>
  <c r="F20" i="104"/>
  <c r="N17" i="35"/>
  <c r="Q30" i="231"/>
  <c r="N137" i="209"/>
  <c r="A4" i="233"/>
  <c r="M167" i="209"/>
  <c r="F42" i="232"/>
  <c r="P38" i="232"/>
  <c r="J24" i="231"/>
  <c r="P24" i="231"/>
  <c r="M153" i="236"/>
  <c r="J30" i="232"/>
  <c r="Q30" i="232" s="1"/>
  <c r="P30" i="232"/>
  <c r="J34" i="231"/>
  <c r="J22" i="232"/>
  <c r="P22" i="232"/>
  <c r="A7" i="230"/>
  <c r="A7" i="209"/>
  <c r="H19" i="103"/>
  <c r="I19" i="103" s="1"/>
  <c r="L171" i="207"/>
  <c r="L154" i="207"/>
  <c r="L122" i="207"/>
  <c r="L169" i="213"/>
  <c r="L152" i="213"/>
  <c r="F31" i="30"/>
  <c r="L170" i="207"/>
  <c r="L153" i="207"/>
  <c r="L121" i="207"/>
  <c r="L172" i="213"/>
  <c r="L168" i="213"/>
  <c r="L155" i="213"/>
  <c r="F24" i="30"/>
  <c r="C28" i="215"/>
  <c r="L169" i="207"/>
  <c r="L152" i="207"/>
  <c r="L171" i="213"/>
  <c r="L154" i="213"/>
  <c r="L122" i="213"/>
  <c r="I16" i="239"/>
  <c r="L172" i="207"/>
  <c r="L155" i="207"/>
  <c r="L170" i="213"/>
  <c r="L153" i="213"/>
  <c r="L121" i="213"/>
  <c r="G188" i="207"/>
  <c r="A7" i="236"/>
  <c r="A7" i="233"/>
  <c r="A6" i="190"/>
  <c r="D26" i="30"/>
  <c r="J38" i="238"/>
  <c r="N49" i="35"/>
  <c r="L49" i="35"/>
  <c r="F26" i="35"/>
  <c r="A7" i="242"/>
  <c r="H50" i="202"/>
  <c r="N66" i="238"/>
  <c r="J33" i="30"/>
  <c r="F19" i="215"/>
  <c r="E66" i="238"/>
  <c r="D26" i="215"/>
  <c r="E23" i="37"/>
  <c r="E25" i="37" s="1"/>
  <c r="E27" i="37" s="1"/>
  <c r="K22" i="231"/>
  <c r="Q22" i="231" s="1"/>
  <c r="F26" i="231"/>
  <c r="K26" i="231" s="1"/>
  <c r="D33" i="30"/>
  <c r="F33" i="30" s="1"/>
  <c r="J37" i="238"/>
  <c r="L22" i="243"/>
  <c r="D33" i="215"/>
  <c r="G22" i="244"/>
  <c r="L252" i="213"/>
  <c r="D51" i="238"/>
  <c r="D161" i="51"/>
  <c r="L38" i="238"/>
  <c r="K38" i="232"/>
  <c r="Q38" i="232" s="1"/>
  <c r="E26" i="30"/>
  <c r="G22" i="243"/>
  <c r="F19" i="30"/>
  <c r="E32" i="215"/>
  <c r="F32" i="215" s="1"/>
  <c r="F32" i="231"/>
  <c r="K32" i="231" s="1"/>
  <c r="J27" i="30"/>
  <c r="N51" i="238"/>
  <c r="K51" i="238"/>
  <c r="F51" i="238"/>
  <c r="J20" i="104"/>
  <c r="G51" i="238"/>
  <c r="M51" i="238"/>
  <c r="I51" i="238"/>
  <c r="J51" i="238"/>
  <c r="E51" i="238"/>
  <c r="L51" i="238"/>
  <c r="H28" i="102"/>
  <c r="N33" i="10"/>
  <c r="M33" i="10"/>
  <c r="L33" i="10"/>
  <c r="K33" i="10"/>
  <c r="J33" i="10"/>
  <c r="P33" i="10"/>
  <c r="O33" i="10"/>
  <c r="R33" i="10"/>
  <c r="Q33" i="10"/>
  <c r="Q36" i="39"/>
  <c r="H30" i="41"/>
  <c r="H34" i="39"/>
  <c r="J34" i="39"/>
  <c r="I24" i="30"/>
  <c r="I32" i="30"/>
  <c r="H20" i="239"/>
  <c r="D39" i="226"/>
  <c r="E39" i="226" s="1"/>
  <c r="F39" i="226" s="1"/>
  <c r="G39" i="226" s="1"/>
  <c r="H39" i="226" s="1"/>
  <c r="I39" i="226" s="1"/>
  <c r="J39" i="226" s="1"/>
  <c r="K39" i="226" s="1"/>
  <c r="L39" i="226" s="1"/>
  <c r="M39" i="226" s="1"/>
  <c r="N39" i="226" s="1"/>
  <c r="O39" i="226" s="1"/>
  <c r="J24" i="247"/>
  <c r="H30" i="103"/>
  <c r="I26" i="105"/>
  <c r="I32" i="100"/>
  <c r="F147" i="248"/>
  <c r="J21" i="247"/>
  <c r="I21" i="105"/>
  <c r="D53" i="228"/>
  <c r="E53" i="228" s="1"/>
  <c r="F53" i="228" s="1"/>
  <c r="G53" i="228" s="1"/>
  <c r="H53" i="228" s="1"/>
  <c r="I53" i="228" s="1"/>
  <c r="J53" i="228" s="1"/>
  <c r="K53" i="228" s="1"/>
  <c r="L53" i="228" s="1"/>
  <c r="M53" i="228" s="1"/>
  <c r="N53" i="228" s="1"/>
  <c r="O53" i="228" s="1"/>
  <c r="H22" i="102"/>
  <c r="I25" i="100"/>
  <c r="H18" i="239"/>
  <c r="H23" i="103"/>
  <c r="I23" i="103" s="1"/>
  <c r="I31" i="105"/>
  <c r="J27" i="247"/>
  <c r="I39" i="100"/>
  <c r="D33" i="227"/>
  <c r="H22" i="239"/>
  <c r="H32" i="102"/>
  <c r="H33" i="102" s="1"/>
  <c r="N31" i="51"/>
  <c r="N38" i="51" s="1"/>
  <c r="L31" i="51"/>
  <c r="L38" i="51" s="1"/>
  <c r="J31" i="51"/>
  <c r="L50" i="238"/>
  <c r="J36" i="39"/>
  <c r="H36" i="39"/>
  <c r="J18" i="34"/>
  <c r="J20" i="34" s="1"/>
  <c r="H22" i="39"/>
  <c r="C20" i="103"/>
  <c r="O30" i="41"/>
  <c r="C21" i="215"/>
  <c r="P30" i="216"/>
  <c r="P25" i="216"/>
  <c r="H19" i="215" s="1"/>
  <c r="K19" i="215" s="1"/>
  <c r="P20" i="216"/>
  <c r="H18" i="215" s="1"/>
  <c r="K18" i="215" s="1"/>
  <c r="P15" i="216"/>
  <c r="H17" i="215" s="1"/>
  <c r="P30" i="214"/>
  <c r="H20" i="30" s="1"/>
  <c r="P25" i="214"/>
  <c r="H19" i="30" s="1"/>
  <c r="K19" i="30" s="1"/>
  <c r="C21" i="30"/>
  <c r="P15" i="214"/>
  <c r="H17" i="30" s="1"/>
  <c r="K17" i="30" s="1"/>
  <c r="P20" i="214"/>
  <c r="H18" i="30" s="1"/>
  <c r="K18" i="30" s="1"/>
  <c r="O25" i="39"/>
  <c r="O33" i="39" s="1"/>
  <c r="J30" i="39"/>
  <c r="H30" i="34"/>
  <c r="J35" i="39"/>
  <c r="I22" i="39"/>
  <c r="I22" i="41"/>
  <c r="I30" i="41"/>
  <c r="J22" i="41"/>
  <c r="J30" i="41"/>
  <c r="H30" i="39"/>
  <c r="I30" i="39"/>
  <c r="N55" i="10"/>
  <c r="D29" i="42"/>
  <c r="M55" i="10" s="1"/>
  <c r="M58" i="10" s="1"/>
  <c r="M60" i="10" s="1"/>
  <c r="I18" i="103"/>
  <c r="I20" i="103" s="1"/>
  <c r="P34" i="216"/>
  <c r="Q30" i="41"/>
  <c r="M22" i="39"/>
  <c r="R22" i="39"/>
  <c r="Q22" i="39"/>
  <c r="P26" i="44"/>
  <c r="D27" i="45" s="1"/>
  <c r="R30" i="41"/>
  <c r="M30" i="41"/>
  <c r="Q26" i="39"/>
  <c r="Q34" i="39" s="1"/>
  <c r="O22" i="39"/>
  <c r="P34" i="214"/>
  <c r="Q34" i="41"/>
  <c r="Q33" i="41"/>
  <c r="D170" i="51"/>
  <c r="K25" i="215"/>
  <c r="F31" i="215"/>
  <c r="A1" i="241"/>
  <c r="A1" i="243"/>
  <c r="A1" i="242"/>
  <c r="J50" i="238"/>
  <c r="H50" i="238"/>
  <c r="N50" i="238"/>
  <c r="E26" i="232"/>
  <c r="I33" i="41"/>
  <c r="I35" i="39"/>
  <c r="I33" i="39"/>
  <c r="J22" i="39"/>
  <c r="D23" i="37"/>
  <c r="D25" i="37" s="1"/>
  <c r="D27" i="37" s="1"/>
  <c r="D29" i="37" s="1"/>
  <c r="D31" i="37" s="1"/>
  <c r="D34" i="37" s="1"/>
  <c r="E28" i="1" s="1"/>
  <c r="H22" i="41"/>
  <c r="H33" i="39"/>
  <c r="G24" i="239"/>
  <c r="H26" i="35"/>
  <c r="I36" i="39"/>
  <c r="J33" i="41"/>
  <c r="D22" i="42"/>
  <c r="C24" i="239"/>
  <c r="L184" i="207"/>
  <c r="G248" i="236"/>
  <c r="L248" i="236" s="1"/>
  <c r="A7" i="226"/>
  <c r="A7" i="222"/>
  <c r="A6" i="193"/>
  <c r="I37" i="238"/>
  <c r="I38" i="238"/>
  <c r="F24" i="215"/>
  <c r="D38" i="238"/>
  <c r="M37" i="238"/>
  <c r="E38" i="238"/>
  <c r="M38" i="238"/>
  <c r="E25" i="215"/>
  <c r="F25" i="215" s="1"/>
  <c r="N38" i="238"/>
  <c r="F37" i="238"/>
  <c r="N37" i="238"/>
  <c r="F20" i="215"/>
  <c r="F18" i="215"/>
  <c r="G16" i="244"/>
  <c r="A8" i="190"/>
  <c r="A8" i="193"/>
  <c r="A7" i="190"/>
  <c r="A7" i="193"/>
  <c r="A7" i="227"/>
  <c r="D15" i="222"/>
  <c r="E15" i="222" s="1"/>
  <c r="A7" i="228"/>
  <c r="I23" i="8"/>
  <c r="I18" i="8"/>
  <c r="I38" i="190"/>
  <c r="E30" i="193"/>
  <c r="O18" i="35"/>
  <c r="J18" i="35" s="1"/>
  <c r="J66" i="238"/>
  <c r="L66" i="238"/>
  <c r="M66" i="238"/>
  <c r="J33" i="215"/>
  <c r="H145" i="209"/>
  <c r="M145" i="209" s="1"/>
  <c r="N145" i="209" s="1"/>
  <c r="D24" i="103"/>
  <c r="D26" i="103"/>
  <c r="E25" i="30"/>
  <c r="F25" i="30" s="1"/>
  <c r="K66" i="238"/>
  <c r="I137" i="209"/>
  <c r="H66" i="238"/>
  <c r="I66" i="238"/>
  <c r="H134" i="209"/>
  <c r="M134" i="209" s="1"/>
  <c r="N134" i="209" s="1"/>
  <c r="H150" i="209"/>
  <c r="M150" i="209" s="1"/>
  <c r="N150" i="209" s="1"/>
  <c r="E23" i="103"/>
  <c r="D25" i="103"/>
  <c r="G16" i="243"/>
  <c r="G257" i="236"/>
  <c r="G250" i="236"/>
  <c r="L250" i="236" s="1"/>
  <c r="L228" i="236"/>
  <c r="D66" i="238"/>
  <c r="H142" i="209"/>
  <c r="M142" i="209" s="1"/>
  <c r="N142" i="209" s="1"/>
  <c r="F40" i="232"/>
  <c r="E26" i="215"/>
  <c r="E32" i="30"/>
  <c r="F32" i="30" s="1"/>
  <c r="E33" i="215"/>
  <c r="G247" i="236"/>
  <c r="L247" i="236" s="1"/>
  <c r="G66" i="238"/>
  <c r="P50" i="202"/>
  <c r="G26" i="95"/>
  <c r="G43" i="10" s="1"/>
  <c r="H26" i="34"/>
  <c r="G38" i="190"/>
  <c r="E38" i="190"/>
  <c r="P13" i="193"/>
  <c r="F30" i="193"/>
  <c r="G30" i="193"/>
  <c r="H30" i="193"/>
  <c r="D24" i="244"/>
  <c r="C34" i="103"/>
  <c r="F45" i="233"/>
  <c r="D18" i="105"/>
  <c r="F200" i="237"/>
  <c r="F204" i="237"/>
  <c r="F202" i="237"/>
  <c r="F206" i="237"/>
  <c r="F205" i="237"/>
  <c r="G205" i="237"/>
  <c r="G200" i="237"/>
  <c r="G204" i="237"/>
  <c r="G202" i="237"/>
  <c r="G206" i="237"/>
  <c r="F152" i="209"/>
  <c r="H210" i="209"/>
  <c r="M210" i="209" s="1"/>
  <c r="H187" i="209"/>
  <c r="M187" i="209" s="1"/>
  <c r="E117" i="209"/>
  <c r="E180" i="209"/>
  <c r="E263" i="209" s="1"/>
  <c r="H190" i="209"/>
  <c r="M190" i="209" s="1"/>
  <c r="I24" i="243"/>
  <c r="L13" i="243"/>
  <c r="I19" i="99"/>
  <c r="G29" i="42"/>
  <c r="D13" i="243"/>
  <c r="G13" i="243" s="1"/>
  <c r="M18" i="35"/>
  <c r="I20" i="8"/>
  <c r="D41" i="231"/>
  <c r="I23" i="99"/>
  <c r="I16" i="99"/>
  <c r="C27" i="103"/>
  <c r="G13" i="244"/>
  <c r="I22" i="8"/>
  <c r="H141" i="236"/>
  <c r="M141" i="236" s="1"/>
  <c r="N141" i="236" s="1"/>
  <c r="H165" i="236"/>
  <c r="M228" i="236"/>
  <c r="G230" i="236"/>
  <c r="H133" i="236"/>
  <c r="M133" i="236" s="1"/>
  <c r="N133" i="236" s="1"/>
  <c r="H145" i="236"/>
  <c r="M145" i="236" s="1"/>
  <c r="N145" i="236" s="1"/>
  <c r="H129" i="236"/>
  <c r="M129" i="236" s="1"/>
  <c r="N129" i="236" s="1"/>
  <c r="H137" i="236"/>
  <c r="M137" i="236" s="1"/>
  <c r="N137" i="236" s="1"/>
  <c r="H154" i="236"/>
  <c r="H147" i="236"/>
  <c r="M147" i="236" s="1"/>
  <c r="N147" i="236" s="1"/>
  <c r="H143" i="236"/>
  <c r="M143" i="236" s="1"/>
  <c r="N143" i="236" s="1"/>
  <c r="H139" i="236"/>
  <c r="M139" i="236" s="1"/>
  <c r="N139" i="236" s="1"/>
  <c r="H135" i="236"/>
  <c r="M135" i="236" s="1"/>
  <c r="N135" i="236" s="1"/>
  <c r="H131" i="236"/>
  <c r="M131" i="236" s="1"/>
  <c r="N131" i="236" s="1"/>
  <c r="M122" i="236"/>
  <c r="H170" i="236"/>
  <c r="H172" i="236"/>
  <c r="H146" i="236"/>
  <c r="M146" i="236" s="1"/>
  <c r="N146" i="236" s="1"/>
  <c r="H142" i="236"/>
  <c r="M142" i="236" s="1"/>
  <c r="N142" i="236" s="1"/>
  <c r="H138" i="236"/>
  <c r="M138" i="236" s="1"/>
  <c r="N138" i="236" s="1"/>
  <c r="H134" i="236"/>
  <c r="M134" i="236" s="1"/>
  <c r="N134" i="236" s="1"/>
  <c r="H130" i="236"/>
  <c r="M130" i="236" s="1"/>
  <c r="N130" i="236" s="1"/>
  <c r="H164" i="236"/>
  <c r="H173" i="236"/>
  <c r="H148" i="236"/>
  <c r="M148" i="236" s="1"/>
  <c r="N148" i="236" s="1"/>
  <c r="H144" i="236"/>
  <c r="M144" i="236" s="1"/>
  <c r="N144" i="236" s="1"/>
  <c r="H140" i="236"/>
  <c r="M140" i="236" s="1"/>
  <c r="N140" i="236" s="1"/>
  <c r="H136" i="236"/>
  <c r="M136" i="236" s="1"/>
  <c r="N136" i="236" s="1"/>
  <c r="H132" i="236"/>
  <c r="M132" i="236" s="1"/>
  <c r="N132" i="236" s="1"/>
  <c r="H128" i="236"/>
  <c r="M128" i="236" s="1"/>
  <c r="N128" i="236" s="1"/>
  <c r="H168" i="236"/>
  <c r="H161" i="236"/>
  <c r="M161" i="236" s="1"/>
  <c r="H166" i="236"/>
  <c r="H171" i="236"/>
  <c r="E178" i="236"/>
  <c r="E117" i="236"/>
  <c r="H139" i="213"/>
  <c r="M139" i="213" s="1"/>
  <c r="N139" i="213" s="1"/>
  <c r="M121" i="213"/>
  <c r="H172" i="213"/>
  <c r="M172" i="213" s="1"/>
  <c r="H147" i="213"/>
  <c r="M147" i="213" s="1"/>
  <c r="N147" i="213" s="1"/>
  <c r="H142" i="213"/>
  <c r="M142" i="213" s="1"/>
  <c r="N142" i="213" s="1"/>
  <c r="H131" i="213"/>
  <c r="M131" i="213" s="1"/>
  <c r="N131" i="213" s="1"/>
  <c r="H169" i="213"/>
  <c r="M169" i="213" s="1"/>
  <c r="H143" i="213"/>
  <c r="M143" i="213" s="1"/>
  <c r="N143" i="213" s="1"/>
  <c r="H135" i="213"/>
  <c r="M135" i="213" s="1"/>
  <c r="N135" i="213" s="1"/>
  <c r="H127" i="213"/>
  <c r="M127" i="213" s="1"/>
  <c r="N127" i="213" s="1"/>
  <c r="H134" i="213"/>
  <c r="M134" i="213" s="1"/>
  <c r="N134" i="213" s="1"/>
  <c r="H168" i="213"/>
  <c r="M168" i="213" s="1"/>
  <c r="H152" i="213"/>
  <c r="M152" i="213" s="1"/>
  <c r="H141" i="213"/>
  <c r="M141" i="213" s="1"/>
  <c r="N141" i="213" s="1"/>
  <c r="H132" i="213"/>
  <c r="M132" i="213" s="1"/>
  <c r="N132" i="213" s="1"/>
  <c r="H138" i="213"/>
  <c r="M138" i="213" s="1"/>
  <c r="N138" i="213" s="1"/>
  <c r="H155" i="213"/>
  <c r="M155" i="213" s="1"/>
  <c r="H170" i="213"/>
  <c r="M170" i="213" s="1"/>
  <c r="H154" i="213"/>
  <c r="M154" i="213" s="1"/>
  <c r="H145" i="213"/>
  <c r="M145" i="213" s="1"/>
  <c r="N145" i="213" s="1"/>
  <c r="H137" i="213"/>
  <c r="M137" i="213" s="1"/>
  <c r="N137" i="213" s="1"/>
  <c r="H129" i="213"/>
  <c r="M129" i="213" s="1"/>
  <c r="N129" i="213" s="1"/>
  <c r="H130" i="213"/>
  <c r="M130" i="213" s="1"/>
  <c r="N130" i="213" s="1"/>
  <c r="H146" i="213"/>
  <c r="M146" i="213" s="1"/>
  <c r="N146" i="213" s="1"/>
  <c r="H171" i="213"/>
  <c r="M171" i="213" s="1"/>
  <c r="L243" i="213"/>
  <c r="G261" i="213"/>
  <c r="L254" i="213"/>
  <c r="L230" i="213"/>
  <c r="G224" i="213"/>
  <c r="L253" i="213"/>
  <c r="E176" i="213"/>
  <c r="L255" i="213"/>
  <c r="L233" i="213"/>
  <c r="G209" i="209"/>
  <c r="L209" i="209" s="1"/>
  <c r="G223" i="209"/>
  <c r="L223" i="209" s="1"/>
  <c r="I20" i="30"/>
  <c r="I34" i="30" s="1"/>
  <c r="D34" i="30"/>
  <c r="D27" i="30"/>
  <c r="I20" i="215"/>
  <c r="I27" i="215" s="1"/>
  <c r="D27" i="215"/>
  <c r="D34" i="215"/>
  <c r="M254" i="213"/>
  <c r="H261" i="213"/>
  <c r="M261" i="213" s="1"/>
  <c r="F149" i="213"/>
  <c r="L191" i="207"/>
  <c r="F20" i="30"/>
  <c r="H173" i="209"/>
  <c r="H140" i="209"/>
  <c r="H259" i="209"/>
  <c r="M259" i="209" s="1"/>
  <c r="H206" i="213"/>
  <c r="M206" i="213" s="1"/>
  <c r="H234" i="213"/>
  <c r="M234" i="213" s="1"/>
  <c r="H250" i="213"/>
  <c r="M250" i="213" s="1"/>
  <c r="L229" i="213"/>
  <c r="G250" i="213"/>
  <c r="G251" i="213"/>
  <c r="H209" i="213"/>
  <c r="M209" i="213" s="1"/>
  <c r="G249" i="213"/>
  <c r="H204" i="213"/>
  <c r="M204" i="213" s="1"/>
  <c r="G248" i="213"/>
  <c r="H210" i="213"/>
  <c r="M210" i="213" s="1"/>
  <c r="H203" i="213"/>
  <c r="M203" i="213" s="1"/>
  <c r="G247" i="213"/>
  <c r="G246" i="213"/>
  <c r="G244" i="213"/>
  <c r="E114" i="213"/>
  <c r="H205" i="213"/>
  <c r="M205" i="213" s="1"/>
  <c r="H194" i="213"/>
  <c r="M194" i="213" s="1"/>
  <c r="G242" i="213"/>
  <c r="G232" i="213"/>
  <c r="H202" i="213"/>
  <c r="M202" i="213" s="1"/>
  <c r="M254" i="207"/>
  <c r="M255" i="207"/>
  <c r="M172" i="207"/>
  <c r="N133" i="207"/>
  <c r="H153" i="207"/>
  <c r="M153" i="207" s="1"/>
  <c r="I133" i="207"/>
  <c r="H152" i="207"/>
  <c r="M152" i="207" s="1"/>
  <c r="H154" i="207"/>
  <c r="M154" i="207" s="1"/>
  <c r="M170" i="207"/>
  <c r="M230" i="207"/>
  <c r="M233" i="207"/>
  <c r="L230" i="207"/>
  <c r="E114" i="207"/>
  <c r="H178" i="207"/>
  <c r="M178" i="207" s="1"/>
  <c r="H147" i="207"/>
  <c r="M147" i="207" s="1"/>
  <c r="N147" i="207" s="1"/>
  <c r="H146" i="207"/>
  <c r="M146" i="207" s="1"/>
  <c r="N146" i="207" s="1"/>
  <c r="E176" i="207"/>
  <c r="E263" i="207" s="1"/>
  <c r="H144" i="207"/>
  <c r="M144" i="207" s="1"/>
  <c r="N144" i="207" s="1"/>
  <c r="H130" i="207"/>
  <c r="M130" i="207" s="1"/>
  <c r="N130" i="207" s="1"/>
  <c r="G252" i="207"/>
  <c r="L185" i="207"/>
  <c r="G250" i="207"/>
  <c r="G246" i="207"/>
  <c r="G261" i="207"/>
  <c r="G249" i="207"/>
  <c r="L243" i="207"/>
  <c r="L253" i="207"/>
  <c r="G248" i="207"/>
  <c r="G242" i="207"/>
  <c r="F41" i="231"/>
  <c r="P41" i="231" s="1"/>
  <c r="H251" i="236"/>
  <c r="M251" i="236" s="1"/>
  <c r="H143" i="207"/>
  <c r="M143" i="207" s="1"/>
  <c r="N143" i="207" s="1"/>
  <c r="G244" i="207"/>
  <c r="L230" i="209"/>
  <c r="G204" i="213"/>
  <c r="D50" i="238"/>
  <c r="H248" i="236"/>
  <c r="M248" i="236" s="1"/>
  <c r="H230" i="236"/>
  <c r="M230" i="236" s="1"/>
  <c r="H136" i="207"/>
  <c r="M136" i="207" s="1"/>
  <c r="N136" i="207" s="1"/>
  <c r="J32" i="30"/>
  <c r="J25" i="30"/>
  <c r="K25" i="30" s="1"/>
  <c r="M183" i="207"/>
  <c r="G234" i="207"/>
  <c r="F26" i="232"/>
  <c r="K26" i="232" s="1"/>
  <c r="E32" i="232"/>
  <c r="H176" i="209"/>
  <c r="H175" i="209"/>
  <c r="H169" i="209"/>
  <c r="H143" i="209"/>
  <c r="H130" i="209"/>
  <c r="M130" i="209" s="1"/>
  <c r="G210" i="209"/>
  <c r="L210" i="209" s="1"/>
  <c r="G259" i="209"/>
  <c r="L259" i="209" s="1"/>
  <c r="H207" i="213"/>
  <c r="M207" i="213" s="1"/>
  <c r="H197" i="213"/>
  <c r="M197" i="213" s="1"/>
  <c r="G234" i="213"/>
  <c r="D23" i="102"/>
  <c r="H174" i="236"/>
  <c r="H148" i="209"/>
  <c r="H138" i="209"/>
  <c r="H212" i="209"/>
  <c r="M212" i="209" s="1"/>
  <c r="F34" i="231"/>
  <c r="P34" i="231" s="1"/>
  <c r="H123" i="236"/>
  <c r="M123" i="236" s="1"/>
  <c r="G249" i="236"/>
  <c r="L249" i="236" s="1"/>
  <c r="G246" i="236"/>
  <c r="L246" i="236" s="1"/>
  <c r="G231" i="236"/>
  <c r="L229" i="236"/>
  <c r="M261" i="207"/>
  <c r="H127" i="207"/>
  <c r="M127" i="207" s="1"/>
  <c r="N127" i="207" s="1"/>
  <c r="H251" i="207"/>
  <c r="M251" i="207" s="1"/>
  <c r="H248" i="207"/>
  <c r="M248" i="207" s="1"/>
  <c r="H171" i="209"/>
  <c r="H157" i="209"/>
  <c r="H146" i="209"/>
  <c r="H135" i="209"/>
  <c r="M135" i="209" s="1"/>
  <c r="G211" i="209"/>
  <c r="L211" i="209" s="1"/>
  <c r="H224" i="213"/>
  <c r="H208" i="213"/>
  <c r="M208" i="213" s="1"/>
  <c r="H252" i="213"/>
  <c r="G187" i="209"/>
  <c r="L187" i="209" s="1"/>
  <c r="K39" i="231"/>
  <c r="Q39" i="231" s="1"/>
  <c r="H195" i="213"/>
  <c r="M195" i="213" s="1"/>
  <c r="H190" i="213"/>
  <c r="M190" i="213" s="1"/>
  <c r="H188" i="213"/>
  <c r="M188" i="213" s="1"/>
  <c r="H231" i="213"/>
  <c r="M231" i="213" s="1"/>
  <c r="H138" i="207"/>
  <c r="M138" i="207" s="1"/>
  <c r="N138" i="207" s="1"/>
  <c r="H185" i="213"/>
  <c r="M185" i="213" s="1"/>
  <c r="H135" i="207"/>
  <c r="M135" i="207" s="1"/>
  <c r="N135" i="207" s="1"/>
  <c r="F44" i="232"/>
  <c r="P44" i="232" s="1"/>
  <c r="H174" i="209"/>
  <c r="H172" i="209"/>
  <c r="H170" i="209"/>
  <c r="H168" i="209"/>
  <c r="H166" i="209"/>
  <c r="H159" i="209"/>
  <c r="H158" i="209"/>
  <c r="H156" i="209"/>
  <c r="H155" i="209"/>
  <c r="H149" i="209"/>
  <c r="H147" i="209"/>
  <c r="M147" i="209" s="1"/>
  <c r="N147" i="209" s="1"/>
  <c r="H144" i="209"/>
  <c r="H141" i="209"/>
  <c r="H139" i="209"/>
  <c r="H136" i="209"/>
  <c r="H217" i="209"/>
  <c r="M217" i="209" s="1"/>
  <c r="H213" i="209"/>
  <c r="M213" i="209" s="1"/>
  <c r="H209" i="209"/>
  <c r="M209" i="209" s="1"/>
  <c r="H198" i="213"/>
  <c r="M198" i="213" s="1"/>
  <c r="H193" i="213"/>
  <c r="M193" i="213" s="1"/>
  <c r="H189" i="213"/>
  <c r="M189" i="213" s="1"/>
  <c r="F149" i="207"/>
  <c r="L30" i="34"/>
  <c r="J30" i="34"/>
  <c r="I21" i="8"/>
  <c r="I16" i="8"/>
  <c r="G124" i="10"/>
  <c r="H38" i="190"/>
  <c r="I20" i="99"/>
  <c r="I17" i="99"/>
  <c r="C35" i="30"/>
  <c r="F29" i="42"/>
  <c r="F19" i="42"/>
  <c r="F22" i="42" s="1"/>
  <c r="H20" i="34"/>
  <c r="I17" i="8"/>
  <c r="J124" i="10"/>
  <c r="R30" i="39"/>
  <c r="P16" i="192"/>
  <c r="Q33" i="39"/>
  <c r="C35" i="215"/>
  <c r="H18" i="105"/>
  <c r="G19" i="42"/>
  <c r="G22" i="42" s="1"/>
  <c r="E29" i="42"/>
  <c r="E20" i="103"/>
  <c r="G43" i="103"/>
  <c r="E19" i="42"/>
  <c r="E22" i="42" s="1"/>
  <c r="P50" i="216"/>
  <c r="H34" i="215" s="1"/>
  <c r="P46" i="214"/>
  <c r="H32" i="30" s="1"/>
  <c r="P44" i="214"/>
  <c r="H31" i="30" s="1"/>
  <c r="K31" i="30" s="1"/>
  <c r="P48" i="216"/>
  <c r="H33" i="215" s="1"/>
  <c r="P46" i="216"/>
  <c r="H32" i="215" s="1"/>
  <c r="I18" i="99"/>
  <c r="J38" i="42"/>
  <c r="H57" i="10" s="1"/>
  <c r="I22" i="99"/>
  <c r="P50" i="214"/>
  <c r="H34" i="30" s="1"/>
  <c r="I22" i="244"/>
  <c r="I24" i="244" s="1"/>
  <c r="P44" i="216"/>
  <c r="H31" i="215" s="1"/>
  <c r="H132" i="209"/>
  <c r="H125" i="209"/>
  <c r="M125" i="209" s="1"/>
  <c r="H178" i="213"/>
  <c r="H133" i="209"/>
  <c r="H131" i="209"/>
  <c r="E27" i="30"/>
  <c r="E34" i="30"/>
  <c r="H247" i="236"/>
  <c r="M247" i="236" s="1"/>
  <c r="H231" i="236"/>
  <c r="M231" i="236" s="1"/>
  <c r="H252" i="207"/>
  <c r="H249" i="207"/>
  <c r="M249" i="207" s="1"/>
  <c r="F32" i="232"/>
  <c r="H251" i="213"/>
  <c r="E27" i="215"/>
  <c r="E34" i="215"/>
  <c r="G19" i="243"/>
  <c r="H250" i="236"/>
  <c r="M250" i="236" s="1"/>
  <c r="H246" i="207"/>
  <c r="M246" i="207" s="1"/>
  <c r="H232" i="207"/>
  <c r="M232" i="207" s="1"/>
  <c r="G19" i="244"/>
  <c r="H247" i="207"/>
  <c r="M247" i="207" s="1"/>
  <c r="H242" i="207"/>
  <c r="M242" i="207" s="1"/>
  <c r="M229" i="207"/>
  <c r="F34" i="232"/>
  <c r="K34" i="232" s="1"/>
  <c r="K24" i="231"/>
  <c r="K22" i="232"/>
  <c r="L16" i="243"/>
  <c r="J32" i="231"/>
  <c r="L19" i="243"/>
  <c r="L19" i="244"/>
  <c r="E34" i="232"/>
  <c r="G231" i="207"/>
  <c r="G231" i="213"/>
  <c r="F50" i="238"/>
  <c r="L183" i="207"/>
  <c r="G212" i="209"/>
  <c r="L212" i="209" s="1"/>
  <c r="G190" i="209"/>
  <c r="L190" i="209" s="1"/>
  <c r="E24" i="232"/>
  <c r="P24" i="232" s="1"/>
  <c r="G217" i="209"/>
  <c r="L217" i="209" s="1"/>
  <c r="G213" i="209"/>
  <c r="L213" i="209" s="1"/>
  <c r="G191" i="209"/>
  <c r="L191" i="209" s="1"/>
  <c r="I26" i="215"/>
  <c r="K26" i="215" s="1"/>
  <c r="I33" i="215"/>
  <c r="G205" i="213"/>
  <c r="G185" i="213"/>
  <c r="L16" i="244"/>
  <c r="L40" i="51"/>
  <c r="L42" i="51" s="1"/>
  <c r="R66" i="10"/>
  <c r="R64" i="10"/>
  <c r="I50" i="100"/>
  <c r="K124" i="10"/>
  <c r="F150" i="236"/>
  <c r="P64" i="10"/>
  <c r="P66" i="10"/>
  <c r="Q66" i="10"/>
  <c r="Q64" i="10"/>
  <c r="O66" i="10"/>
  <c r="O64" i="10"/>
  <c r="N40" i="51"/>
  <c r="N42" i="51" s="1"/>
  <c r="L124" i="10"/>
  <c r="A5" i="51"/>
  <c r="A2" i="241"/>
  <c r="A2" i="242"/>
  <c r="A2" i="243"/>
  <c r="A2" i="215"/>
  <c r="F18" i="30"/>
  <c r="A2" i="30"/>
  <c r="H124" i="10"/>
  <c r="C28" i="30"/>
  <c r="I33" i="30"/>
  <c r="I26" i="30"/>
  <c r="K26" i="30" s="1"/>
  <c r="L38" i="42"/>
  <c r="G57" i="10" s="1"/>
  <c r="P48" i="214"/>
  <c r="H33" i="30" s="1"/>
  <c r="L13" i="244"/>
  <c r="K43" i="231"/>
  <c r="Q43" i="231" s="1"/>
  <c r="L135" i="209"/>
  <c r="L130" i="209"/>
  <c r="L125" i="209"/>
  <c r="E26" i="231"/>
  <c r="H249" i="236"/>
  <c r="M249" i="236" s="1"/>
  <c r="H246" i="236"/>
  <c r="M246" i="236" s="1"/>
  <c r="M229" i="236"/>
  <c r="H142" i="207"/>
  <c r="M142" i="207" s="1"/>
  <c r="N142" i="207" s="1"/>
  <c r="H139" i="207"/>
  <c r="M139" i="207" s="1"/>
  <c r="N139" i="207" s="1"/>
  <c r="H134" i="207"/>
  <c r="M134" i="207" s="1"/>
  <c r="N134" i="207" s="1"/>
  <c r="H131" i="207"/>
  <c r="M131" i="207" s="1"/>
  <c r="N131" i="207" s="1"/>
  <c r="H122" i="207"/>
  <c r="M122" i="207" s="1"/>
  <c r="M121" i="207"/>
  <c r="I21" i="99"/>
  <c r="F45" i="231"/>
  <c r="H169" i="236"/>
  <c r="H167" i="236"/>
  <c r="H163" i="236"/>
  <c r="H162" i="236"/>
  <c r="H155" i="236"/>
  <c r="H140" i="207"/>
  <c r="M140" i="207" s="1"/>
  <c r="N140" i="207" s="1"/>
  <c r="H129" i="207"/>
  <c r="M129" i="207" s="1"/>
  <c r="N129" i="207" s="1"/>
  <c r="H132" i="207"/>
  <c r="M132" i="207" s="1"/>
  <c r="N132" i="207" s="1"/>
  <c r="H137" i="207"/>
  <c r="M137" i="207" s="1"/>
  <c r="N137" i="207" s="1"/>
  <c r="H141" i="207"/>
  <c r="M141" i="207" s="1"/>
  <c r="N141" i="207" s="1"/>
  <c r="H145" i="207"/>
  <c r="M145" i="207" s="1"/>
  <c r="N145" i="207" s="1"/>
  <c r="J27" i="215"/>
  <c r="J34" i="215"/>
  <c r="H128" i="207"/>
  <c r="M128" i="207" s="1"/>
  <c r="N128" i="207" s="1"/>
  <c r="G232" i="207"/>
  <c r="H231" i="207"/>
  <c r="L229" i="207"/>
  <c r="J32" i="215"/>
  <c r="H153" i="213"/>
  <c r="H144" i="213"/>
  <c r="H136" i="213"/>
  <c r="H128" i="213"/>
  <c r="G210" i="213"/>
  <c r="G203" i="213"/>
  <c r="G202" i="213"/>
  <c r="G200" i="213"/>
  <c r="H232" i="213"/>
  <c r="M253" i="207"/>
  <c r="G251" i="207"/>
  <c r="H250" i="207"/>
  <c r="G247" i="207"/>
  <c r="H244" i="207"/>
  <c r="M244" i="207" s="1"/>
  <c r="M243" i="207"/>
  <c r="H234" i="207"/>
  <c r="M234" i="207" s="1"/>
  <c r="H191" i="209"/>
  <c r="M191" i="209" s="1"/>
  <c r="G209" i="213"/>
  <c r="G208" i="213"/>
  <c r="G207" i="213"/>
  <c r="G206" i="213"/>
  <c r="G198" i="213"/>
  <c r="G197" i="213"/>
  <c r="G195" i="213"/>
  <c r="G194" i="213"/>
  <c r="H249" i="213"/>
  <c r="F38" i="238"/>
  <c r="G38" i="238"/>
  <c r="K38" i="238"/>
  <c r="H167" i="213"/>
  <c r="M167" i="213" s="1"/>
  <c r="H140" i="213"/>
  <c r="H133" i="213"/>
  <c r="G193" i="213"/>
  <c r="G190" i="213"/>
  <c r="G189" i="213"/>
  <c r="G188" i="213"/>
  <c r="M229" i="213"/>
  <c r="H242" i="213"/>
  <c r="H244" i="213"/>
  <c r="H246" i="213"/>
  <c r="H248" i="213"/>
  <c r="H247" i="213"/>
  <c r="F209" i="237"/>
  <c r="F210" i="237"/>
  <c r="F207" i="237"/>
  <c r="F211" i="237"/>
  <c r="F215" i="237"/>
  <c r="F208" i="237"/>
  <c r="M50" i="238"/>
  <c r="K37" i="238"/>
  <c r="I50" i="238"/>
  <c r="G37" i="238"/>
  <c r="E50" i="238"/>
  <c r="L37" i="238"/>
  <c r="K50" i="238"/>
  <c r="H37" i="238"/>
  <c r="D37" i="238"/>
  <c r="M30" i="39"/>
  <c r="I26" i="8" l="1"/>
  <c r="I34" i="8" s="1"/>
  <c r="K34" i="8" s="1"/>
  <c r="I26" i="99"/>
  <c r="H189" i="207"/>
  <c r="M188" i="207"/>
  <c r="I224" i="213"/>
  <c r="L261" i="213"/>
  <c r="N261" i="213" s="1"/>
  <c r="L231" i="236"/>
  <c r="L224" i="213"/>
  <c r="L261" i="207"/>
  <c r="I261" i="207"/>
  <c r="A255" i="207"/>
  <c r="A256" i="207" s="1"/>
  <c r="A257" i="207" s="1"/>
  <c r="A258" i="207" s="1"/>
  <c r="A259" i="207" s="1"/>
  <c r="A260" i="207" s="1"/>
  <c r="A261" i="207" s="1"/>
  <c r="A262" i="207" s="1"/>
  <c r="A263" i="207" s="1"/>
  <c r="A264" i="207" s="1"/>
  <c r="A265" i="207" s="1"/>
  <c r="L188" i="207"/>
  <c r="F33" i="215"/>
  <c r="F26" i="30"/>
  <c r="Q32" i="231"/>
  <c r="Q22" i="232"/>
  <c r="P26" i="231"/>
  <c r="K40" i="232"/>
  <c r="Q40" i="232" s="1"/>
  <c r="P40" i="232"/>
  <c r="M167" i="236"/>
  <c r="J32" i="232"/>
  <c r="P32" i="232"/>
  <c r="M168" i="236"/>
  <c r="M170" i="236"/>
  <c r="P32" i="231"/>
  <c r="M169" i="236"/>
  <c r="M171" i="236"/>
  <c r="J26" i="232"/>
  <c r="Q26" i="232" s="1"/>
  <c r="P26" i="232"/>
  <c r="M173" i="236"/>
  <c r="M172" i="236"/>
  <c r="P34" i="232"/>
  <c r="M164" i="236"/>
  <c r="M154" i="236"/>
  <c r="M165" i="236"/>
  <c r="K42" i="232"/>
  <c r="Q42" i="232" s="1"/>
  <c r="P42" i="232"/>
  <c r="M162" i="236"/>
  <c r="K45" i="231"/>
  <c r="Q45" i="231" s="1"/>
  <c r="P45" i="231"/>
  <c r="M173" i="209"/>
  <c r="M166" i="236"/>
  <c r="Q24" i="231"/>
  <c r="L234" i="207"/>
  <c r="L246" i="207"/>
  <c r="L252" i="207"/>
  <c r="L244" i="207"/>
  <c r="L242" i="207"/>
  <c r="G189" i="207"/>
  <c r="L248" i="207"/>
  <c r="L249" i="207"/>
  <c r="L250" i="207"/>
  <c r="L231" i="207"/>
  <c r="D33" i="193"/>
  <c r="E41" i="190"/>
  <c r="F41" i="190"/>
  <c r="G41" i="190"/>
  <c r="H41" i="190"/>
  <c r="I41" i="190"/>
  <c r="H33" i="193"/>
  <c r="G33" i="193"/>
  <c r="F33" i="193"/>
  <c r="E33" i="193"/>
  <c r="E261" i="236"/>
  <c r="K32" i="30"/>
  <c r="F27" i="215"/>
  <c r="F26" i="215"/>
  <c r="H130" i="10"/>
  <c r="H128" i="10" s="1"/>
  <c r="G130" i="10"/>
  <c r="G128" i="10" s="1"/>
  <c r="D31" i="42"/>
  <c r="D42" i="42" s="1"/>
  <c r="D45" i="42" s="1"/>
  <c r="F27" i="30"/>
  <c r="I143" i="236"/>
  <c r="N135" i="209"/>
  <c r="L247" i="213"/>
  <c r="L232" i="213"/>
  <c r="L249" i="213"/>
  <c r="L230" i="236"/>
  <c r="L257" i="236"/>
  <c r="L242" i="213"/>
  <c r="L244" i="213"/>
  <c r="L246" i="213"/>
  <c r="L248" i="213"/>
  <c r="L251" i="213"/>
  <c r="J55" i="10"/>
  <c r="J58" i="10" s="1"/>
  <c r="J60" i="10" s="1"/>
  <c r="J62" i="10" s="1"/>
  <c r="H32" i="34"/>
  <c r="O30" i="39"/>
  <c r="H42" i="35"/>
  <c r="I34" i="215"/>
  <c r="K34" i="215" s="1"/>
  <c r="G24" i="244"/>
  <c r="D23" i="137" s="1"/>
  <c r="F79" i="248"/>
  <c r="J25" i="34"/>
  <c r="J23" i="34"/>
  <c r="G31" i="42"/>
  <c r="G42" i="42" s="1"/>
  <c r="G45" i="42" s="1"/>
  <c r="G24" i="243"/>
  <c r="D23" i="3" s="1"/>
  <c r="H23" i="102"/>
  <c r="N58" i="10"/>
  <c r="N60" i="10" s="1"/>
  <c r="N62" i="10" s="1"/>
  <c r="M62" i="10"/>
  <c r="M66" i="10" s="1"/>
  <c r="E31" i="42"/>
  <c r="E42" i="42" s="1"/>
  <c r="E45" i="42" s="1"/>
  <c r="K55" i="10"/>
  <c r="K58" i="10" s="1"/>
  <c r="K60" i="10" s="1"/>
  <c r="L20" i="34"/>
  <c r="E33" i="227"/>
  <c r="F33" i="227" s="1"/>
  <c r="G33" i="227" s="1"/>
  <c r="H33" i="227" s="1"/>
  <c r="I33" i="227" s="1"/>
  <c r="J33" i="227" s="1"/>
  <c r="K33" i="227" s="1"/>
  <c r="L33" i="227" s="1"/>
  <c r="M33" i="227" s="1"/>
  <c r="N33" i="227" s="1"/>
  <c r="O33" i="227" s="1"/>
  <c r="H25" i="103"/>
  <c r="I25" i="103" s="1"/>
  <c r="H24" i="103"/>
  <c r="I24" i="103" s="1"/>
  <c r="H26" i="103"/>
  <c r="I26" i="103" s="1"/>
  <c r="I34" i="100"/>
  <c r="I33" i="100"/>
  <c r="I35" i="100"/>
  <c r="I41" i="100"/>
  <c r="I40" i="100"/>
  <c r="I42" i="100"/>
  <c r="I28" i="100"/>
  <c r="I27" i="100"/>
  <c r="I26" i="100"/>
  <c r="C37" i="215"/>
  <c r="I34" i="99"/>
  <c r="K34" i="99" s="1"/>
  <c r="Q45" i="230"/>
  <c r="I41" i="231" s="1"/>
  <c r="G45" i="233"/>
  <c r="H24" i="215"/>
  <c r="H24" i="30"/>
  <c r="C37" i="30"/>
  <c r="K33" i="215"/>
  <c r="H35" i="215"/>
  <c r="K17" i="215"/>
  <c r="H21" i="215"/>
  <c r="H21" i="30"/>
  <c r="K32" i="215"/>
  <c r="L55" i="10"/>
  <c r="L58" i="10" s="1"/>
  <c r="L60" i="10" s="1"/>
  <c r="D44" i="50"/>
  <c r="D25" i="51"/>
  <c r="Q30" i="39"/>
  <c r="Q35" i="41"/>
  <c r="I139" i="236"/>
  <c r="I27" i="30"/>
  <c r="K27" i="30" s="1"/>
  <c r="F21" i="215"/>
  <c r="F31" i="42"/>
  <c r="F42" i="42" s="1"/>
  <c r="F45" i="42" s="1"/>
  <c r="I145" i="209"/>
  <c r="I134" i="209"/>
  <c r="I150" i="209"/>
  <c r="I142" i="209"/>
  <c r="E263" i="213"/>
  <c r="I135" i="213"/>
  <c r="C43" i="103"/>
  <c r="P15" i="44"/>
  <c r="D155" i="51" s="1"/>
  <c r="D60" i="51"/>
  <c r="D50" i="51"/>
  <c r="E28" i="100"/>
  <c r="E27" i="100"/>
  <c r="F34" i="215"/>
  <c r="F34" i="30"/>
  <c r="F35" i="30" s="1"/>
  <c r="I129" i="236"/>
  <c r="E26" i="100"/>
  <c r="E56" i="100" s="1"/>
  <c r="E18" i="239"/>
  <c r="I18" i="239"/>
  <c r="K27" i="215"/>
  <c r="K20" i="215"/>
  <c r="I130" i="209"/>
  <c r="I146" i="236"/>
  <c r="F25" i="100"/>
  <c r="E55" i="100"/>
  <c r="F15" i="222"/>
  <c r="G15" i="222" s="1"/>
  <c r="H15" i="222" s="1"/>
  <c r="I15" i="222" s="1"/>
  <c r="J15" i="222" s="1"/>
  <c r="K15" i="222" s="1"/>
  <c r="L15" i="222" s="1"/>
  <c r="M15" i="222" s="1"/>
  <c r="N15" i="222" s="1"/>
  <c r="O15" i="222" s="1"/>
  <c r="O19" i="35"/>
  <c r="J19" i="35" s="1"/>
  <c r="O21" i="35"/>
  <c r="I55" i="100"/>
  <c r="J25" i="100"/>
  <c r="I138" i="213"/>
  <c r="E25" i="103"/>
  <c r="E26" i="103"/>
  <c r="E24" i="103"/>
  <c r="N130" i="209"/>
  <c r="D24" i="243"/>
  <c r="L18" i="35"/>
  <c r="M19" i="35"/>
  <c r="N18" i="35"/>
  <c r="M21" i="35"/>
  <c r="I141" i="236"/>
  <c r="I133" i="236"/>
  <c r="I137" i="236"/>
  <c r="I145" i="236"/>
  <c r="I130" i="236"/>
  <c r="I138" i="236"/>
  <c r="I147" i="236"/>
  <c r="I140" i="236"/>
  <c r="I148" i="236"/>
  <c r="I132" i="236"/>
  <c r="N150" i="236"/>
  <c r="I142" i="236"/>
  <c r="I136" i="236"/>
  <c r="I131" i="236"/>
  <c r="I134" i="236"/>
  <c r="I128" i="236"/>
  <c r="I144" i="236"/>
  <c r="I135" i="236"/>
  <c r="I146" i="213"/>
  <c r="I127" i="213"/>
  <c r="I142" i="213"/>
  <c r="I139" i="213"/>
  <c r="I132" i="213"/>
  <c r="I137" i="213"/>
  <c r="I131" i="213"/>
  <c r="I134" i="213"/>
  <c r="I147" i="213"/>
  <c r="I141" i="213"/>
  <c r="I143" i="213"/>
  <c r="I130" i="213"/>
  <c r="I145" i="213"/>
  <c r="I129" i="213"/>
  <c r="F21" i="30"/>
  <c r="L24" i="243"/>
  <c r="F23" i="3" s="1"/>
  <c r="K20" i="30"/>
  <c r="K21" i="30" s="1"/>
  <c r="E16" i="31" s="1"/>
  <c r="K34" i="30"/>
  <c r="M140" i="209"/>
  <c r="N140" i="209" s="1"/>
  <c r="I140" i="209"/>
  <c r="M233" i="213"/>
  <c r="L250" i="213"/>
  <c r="L255" i="207"/>
  <c r="L254" i="207"/>
  <c r="L233" i="207"/>
  <c r="I130" i="207"/>
  <c r="I146" i="207"/>
  <c r="I147" i="207"/>
  <c r="I144" i="207"/>
  <c r="I138" i="207"/>
  <c r="I136" i="207"/>
  <c r="K41" i="231"/>
  <c r="Q41" i="231" s="1"/>
  <c r="G41" i="231"/>
  <c r="L204" i="213"/>
  <c r="I143" i="207"/>
  <c r="M171" i="209"/>
  <c r="M138" i="209"/>
  <c r="N138" i="209" s="1"/>
  <c r="I138" i="209"/>
  <c r="I135" i="209"/>
  <c r="L234" i="213"/>
  <c r="M253" i="213"/>
  <c r="M143" i="209"/>
  <c r="N143" i="209" s="1"/>
  <c r="I143" i="209"/>
  <c r="M175" i="209"/>
  <c r="I135" i="207"/>
  <c r="M224" i="213"/>
  <c r="M146" i="209"/>
  <c r="N146" i="209" s="1"/>
  <c r="I146" i="209"/>
  <c r="M148" i="209"/>
  <c r="N148" i="209" s="1"/>
  <c r="I148" i="209"/>
  <c r="M176" i="209"/>
  <c r="I176" i="209"/>
  <c r="M252" i="213"/>
  <c r="M157" i="209"/>
  <c r="I127" i="207"/>
  <c r="M230" i="213"/>
  <c r="K34" i="231"/>
  <c r="Q34" i="231" s="1"/>
  <c r="M174" i="236"/>
  <c r="I174" i="236"/>
  <c r="M169" i="209"/>
  <c r="M136" i="209"/>
  <c r="N136" i="209" s="1"/>
  <c r="I136" i="209"/>
  <c r="M158" i="209"/>
  <c r="M172" i="209"/>
  <c r="K44" i="232"/>
  <c r="Q44" i="232" s="1"/>
  <c r="I139" i="209"/>
  <c r="M139" i="209"/>
  <c r="N139" i="209" s="1"/>
  <c r="I149" i="209"/>
  <c r="M149" i="209"/>
  <c r="N149" i="209" s="1"/>
  <c r="M159" i="209"/>
  <c r="I147" i="209"/>
  <c r="M141" i="209"/>
  <c r="N141" i="209" s="1"/>
  <c r="I141" i="209"/>
  <c r="M155" i="209"/>
  <c r="M168" i="209"/>
  <c r="M174" i="209"/>
  <c r="M144" i="209"/>
  <c r="N144" i="209" s="1"/>
  <c r="I144" i="209"/>
  <c r="M156" i="209"/>
  <c r="M166" i="209"/>
  <c r="M170" i="209"/>
  <c r="L22" i="244"/>
  <c r="L24" i="244" s="1"/>
  <c r="F23" i="137" s="1"/>
  <c r="P44" i="202"/>
  <c r="K31" i="215"/>
  <c r="I131" i="209"/>
  <c r="M131" i="209"/>
  <c r="N131" i="209" s="1"/>
  <c r="I133" i="209"/>
  <c r="M133" i="209"/>
  <c r="N133" i="209" s="1"/>
  <c r="M178" i="213"/>
  <c r="M132" i="209"/>
  <c r="N132" i="209" s="1"/>
  <c r="I132" i="209"/>
  <c r="M251" i="213"/>
  <c r="M257" i="236"/>
  <c r="K32" i="232"/>
  <c r="M243" i="213"/>
  <c r="M252" i="207"/>
  <c r="L231" i="213"/>
  <c r="J34" i="232"/>
  <c r="Q34" i="232" s="1"/>
  <c r="J24" i="232"/>
  <c r="Q24" i="232" s="1"/>
  <c r="L191" i="213"/>
  <c r="L205" i="213"/>
  <c r="L184" i="213"/>
  <c r="L185" i="213"/>
  <c r="E29" i="37"/>
  <c r="E31" i="37" s="1"/>
  <c r="E34" i="37" s="1"/>
  <c r="G28" i="1" s="1"/>
  <c r="L190" i="213"/>
  <c r="L194" i="213"/>
  <c r="L206" i="213"/>
  <c r="L251" i="207"/>
  <c r="M153" i="213"/>
  <c r="L232" i="207"/>
  <c r="M155" i="236"/>
  <c r="M163" i="236"/>
  <c r="H35" i="30"/>
  <c r="K33" i="30"/>
  <c r="I139" i="207"/>
  <c r="I137" i="207"/>
  <c r="I132" i="207"/>
  <c r="M247" i="213"/>
  <c r="M246" i="213"/>
  <c r="L193" i="213"/>
  <c r="M249" i="213"/>
  <c r="L195" i="213"/>
  <c r="L207" i="213"/>
  <c r="L247" i="207"/>
  <c r="M232" i="213"/>
  <c r="L200" i="213"/>
  <c r="L210" i="213"/>
  <c r="M128" i="213"/>
  <c r="N128" i="213" s="1"/>
  <c r="I128" i="213"/>
  <c r="I142" i="207"/>
  <c r="I141" i="207"/>
  <c r="M248" i="213"/>
  <c r="M244" i="213"/>
  <c r="L188" i="213"/>
  <c r="M133" i="213"/>
  <c r="N133" i="213" s="1"/>
  <c r="I133" i="213"/>
  <c r="M255" i="213"/>
  <c r="L197" i="213"/>
  <c r="L208" i="213"/>
  <c r="L202" i="213"/>
  <c r="M136" i="213"/>
  <c r="N136" i="213" s="1"/>
  <c r="I136" i="213"/>
  <c r="J26" i="231"/>
  <c r="Q26" i="231" s="1"/>
  <c r="H19" i="202"/>
  <c r="I128" i="207"/>
  <c r="I129" i="207"/>
  <c r="I145" i="207"/>
  <c r="I140" i="207"/>
  <c r="M242" i="213"/>
  <c r="L189" i="213"/>
  <c r="M140" i="213"/>
  <c r="N140" i="213" s="1"/>
  <c r="I140" i="213"/>
  <c r="L198" i="213"/>
  <c r="L209" i="213"/>
  <c r="M250" i="207"/>
  <c r="L203" i="213"/>
  <c r="M144" i="213"/>
  <c r="N144" i="213" s="1"/>
  <c r="I144" i="213"/>
  <c r="M231" i="207"/>
  <c r="N149" i="207"/>
  <c r="I131" i="207"/>
  <c r="I134" i="207"/>
  <c r="H190" i="207" l="1"/>
  <c r="M189" i="207"/>
  <c r="F35" i="215"/>
  <c r="F28" i="30"/>
  <c r="F37" i="30" s="1"/>
  <c r="D22" i="3" s="1"/>
  <c r="Q32" i="232"/>
  <c r="G22" i="95"/>
  <c r="G41" i="10" s="1"/>
  <c r="G190" i="207"/>
  <c r="L189" i="207"/>
  <c r="D41" i="190"/>
  <c r="F28" i="215"/>
  <c r="K22" i="95"/>
  <c r="G72" i="10" s="1"/>
  <c r="T44" i="202"/>
  <c r="E31" i="212"/>
  <c r="T19" i="202"/>
  <c r="H35" i="35"/>
  <c r="K35" i="30"/>
  <c r="E20" i="31" s="1"/>
  <c r="J66" i="10"/>
  <c r="J64" i="10"/>
  <c r="M64" i="10"/>
  <c r="L62" i="10"/>
  <c r="L66" i="10" s="1"/>
  <c r="K62" i="10"/>
  <c r="K64" i="10" s="1"/>
  <c r="N64" i="10"/>
  <c r="N66" i="10"/>
  <c r="J26" i="34"/>
  <c r="J32" i="34" s="1"/>
  <c r="L26" i="34"/>
  <c r="L32" i="34" s="1"/>
  <c r="L41" i="231"/>
  <c r="H45" i="233"/>
  <c r="K24" i="30"/>
  <c r="K28" i="30" s="1"/>
  <c r="E18" i="31" s="1"/>
  <c r="H28" i="30"/>
  <c r="H37" i="30" s="1"/>
  <c r="K24" i="215"/>
  <c r="K28" i="215" s="1"/>
  <c r="E18" i="67" s="1"/>
  <c r="H28" i="215"/>
  <c r="H37" i="215" s="1"/>
  <c r="K21" i="215"/>
  <c r="E16" i="67" s="1"/>
  <c r="Q36" i="41"/>
  <c r="K35" i="215"/>
  <c r="E20" i="67" s="1"/>
  <c r="D157" i="51"/>
  <c r="D159" i="51" s="1"/>
  <c r="E27" i="103"/>
  <c r="E58" i="100"/>
  <c r="E57" i="100"/>
  <c r="P15" i="222"/>
  <c r="I27" i="103"/>
  <c r="I56" i="100"/>
  <c r="N19" i="35"/>
  <c r="L19" i="35"/>
  <c r="I150" i="236"/>
  <c r="I152" i="209"/>
  <c r="N152" i="209"/>
  <c r="I149" i="207"/>
  <c r="L44" i="202"/>
  <c r="L19" i="202"/>
  <c r="I149" i="213"/>
  <c r="N149" i="213"/>
  <c r="H44" i="202"/>
  <c r="H193" i="207" l="1"/>
  <c r="M190" i="207"/>
  <c r="K21" i="4"/>
  <c r="F37" i="215"/>
  <c r="D22" i="137" s="1"/>
  <c r="G193" i="207"/>
  <c r="L190" i="207"/>
  <c r="L64" i="10"/>
  <c r="K66" i="10"/>
  <c r="I45" i="233"/>
  <c r="K37" i="30"/>
  <c r="F22" i="3" s="1"/>
  <c r="K37" i="215"/>
  <c r="F22" i="137" s="1"/>
  <c r="Q22" i="41"/>
  <c r="I57" i="100"/>
  <c r="I58" i="100"/>
  <c r="H194" i="207" l="1"/>
  <c r="M193" i="207"/>
  <c r="G194" i="207"/>
  <c r="L193" i="207"/>
  <c r="J45" i="233"/>
  <c r="H72" i="10"/>
  <c r="H195" i="207" l="1"/>
  <c r="M194" i="207"/>
  <c r="G195" i="207"/>
  <c r="L194" i="207"/>
  <c r="K45" i="233"/>
  <c r="H197" i="207" l="1"/>
  <c r="M195" i="207"/>
  <c r="G197" i="207"/>
  <c r="L195" i="207"/>
  <c r="L45" i="233"/>
  <c r="E22" i="239"/>
  <c r="H37" i="103"/>
  <c r="I37" i="103" s="1"/>
  <c r="D40" i="103"/>
  <c r="D38" i="103"/>
  <c r="E37" i="103"/>
  <c r="D39" i="103"/>
  <c r="D33" i="102"/>
  <c r="I22" i="239"/>
  <c r="E42" i="100"/>
  <c r="E41" i="100"/>
  <c r="E40" i="100"/>
  <c r="E69" i="100"/>
  <c r="F69" i="100" s="1"/>
  <c r="H198" i="207" l="1"/>
  <c r="M197" i="207"/>
  <c r="G198" i="207"/>
  <c r="L197" i="207"/>
  <c r="M45" i="233"/>
  <c r="E70" i="100"/>
  <c r="F70" i="100" s="1"/>
  <c r="I20" i="239"/>
  <c r="E20" i="239"/>
  <c r="E24" i="239" s="1"/>
  <c r="E33" i="100"/>
  <c r="F32" i="100"/>
  <c r="E62" i="100"/>
  <c r="E35" i="100"/>
  <c r="E34" i="100"/>
  <c r="E71" i="100"/>
  <c r="F71" i="100" s="1"/>
  <c r="H38" i="103"/>
  <c r="I38" i="103" s="1"/>
  <c r="E38" i="103"/>
  <c r="I69" i="100"/>
  <c r="J69" i="100" s="1"/>
  <c r="E72" i="100"/>
  <c r="F72" i="100" s="1"/>
  <c r="E40" i="103"/>
  <c r="H40" i="103"/>
  <c r="I40" i="103" s="1"/>
  <c r="I30" i="103"/>
  <c r="D32" i="103"/>
  <c r="D33" i="103"/>
  <c r="E30" i="103"/>
  <c r="D31" i="103"/>
  <c r="H39" i="103"/>
  <c r="I39" i="103" s="1"/>
  <c r="E39" i="103"/>
  <c r="H200" i="207" l="1"/>
  <c r="M198" i="207"/>
  <c r="G200" i="207"/>
  <c r="L198" i="207"/>
  <c r="I24" i="239"/>
  <c r="N45" i="233"/>
  <c r="M221" i="236"/>
  <c r="I41" i="103"/>
  <c r="E41" i="103"/>
  <c r="E33" i="103"/>
  <c r="H33" i="103"/>
  <c r="I33" i="103" s="1"/>
  <c r="E64" i="100"/>
  <c r="F34" i="100"/>
  <c r="E32" i="103"/>
  <c r="H32" i="103"/>
  <c r="I32" i="103" s="1"/>
  <c r="F73" i="100"/>
  <c r="I71" i="100"/>
  <c r="J71" i="100" s="1"/>
  <c r="E65" i="100"/>
  <c r="F65" i="100" s="1"/>
  <c r="E63" i="100"/>
  <c r="F33" i="100"/>
  <c r="I70" i="100"/>
  <c r="J70" i="100" s="1"/>
  <c r="E31" i="103"/>
  <c r="H31" i="103"/>
  <c r="I31" i="103" s="1"/>
  <c r="I72" i="100"/>
  <c r="J72" i="100" s="1"/>
  <c r="I62" i="100"/>
  <c r="J32" i="100"/>
  <c r="H202" i="207" l="1"/>
  <c r="M200" i="207"/>
  <c r="O45" i="233"/>
  <c r="G202" i="207"/>
  <c r="L200" i="207"/>
  <c r="J73" i="100"/>
  <c r="J34" i="100"/>
  <c r="I64" i="100"/>
  <c r="J64" i="100" s="1"/>
  <c r="I34" i="103"/>
  <c r="I43" i="103" s="1"/>
  <c r="J33" i="100"/>
  <c r="I63" i="100"/>
  <c r="I65" i="100"/>
  <c r="J65" i="100" s="1"/>
  <c r="E34" i="103"/>
  <c r="E43" i="103" s="1"/>
  <c r="H203" i="207" l="1"/>
  <c r="M202" i="207"/>
  <c r="P45" i="233"/>
  <c r="D40" i="232" s="1"/>
  <c r="G40" i="232" s="1"/>
  <c r="G203" i="207"/>
  <c r="L202" i="207"/>
  <c r="H204" i="207" l="1"/>
  <c r="M203" i="207"/>
  <c r="Q45" i="233"/>
  <c r="I40" i="232" s="1"/>
  <c r="L40" i="232" s="1"/>
  <c r="G204" i="207"/>
  <c r="L203" i="207"/>
  <c r="N29" i="42"/>
  <c r="P29" i="42"/>
  <c r="H205" i="207" l="1"/>
  <c r="M204" i="207"/>
  <c r="G205" i="207"/>
  <c r="L204" i="207"/>
  <c r="R34" i="41"/>
  <c r="H206" i="207" l="1"/>
  <c r="M205" i="207"/>
  <c r="G206" i="207"/>
  <c r="L205" i="207"/>
  <c r="R35" i="41"/>
  <c r="H207" i="207" l="1"/>
  <c r="M206" i="207"/>
  <c r="L221" i="236"/>
  <c r="G207" i="207"/>
  <c r="L206" i="207"/>
  <c r="R33" i="41"/>
  <c r="H208" i="207" l="1"/>
  <c r="M207" i="207"/>
  <c r="G208" i="207"/>
  <c r="L207" i="207"/>
  <c r="H209" i="207" l="1"/>
  <c r="M208" i="207"/>
  <c r="G209" i="207"/>
  <c r="L208" i="207"/>
  <c r="R36" i="41"/>
  <c r="R22" i="41"/>
  <c r="M209" i="207" l="1"/>
  <c r="H211" i="207"/>
  <c r="M211" i="207" s="1"/>
  <c r="H210" i="207"/>
  <c r="G211" i="207"/>
  <c r="G210" i="207"/>
  <c r="L209" i="207"/>
  <c r="N22" i="42"/>
  <c r="N31" i="42" s="1"/>
  <c r="N42" i="42" s="1"/>
  <c r="N43" i="42" s="1"/>
  <c r="N45" i="42" s="1"/>
  <c r="H215" i="207" l="1"/>
  <c r="M210" i="207"/>
  <c r="L211" i="207"/>
  <c r="G215" i="207"/>
  <c r="L210" i="207"/>
  <c r="H224" i="207" l="1"/>
  <c r="M224" i="207" s="1"/>
  <c r="M215" i="207"/>
  <c r="G224" i="207"/>
  <c r="L224" i="207" s="1"/>
  <c r="L215" i="207"/>
  <c r="J27" i="42" l="1"/>
  <c r="D26" i="46"/>
  <c r="D20" i="47" l="1"/>
  <c r="F257" i="236" l="1"/>
  <c r="I257" i="236" s="1"/>
  <c r="N257" i="236" l="1"/>
  <c r="F259" i="209" l="1"/>
  <c r="I259" i="209" s="1"/>
  <c r="N259" i="209" l="1"/>
  <c r="H133" i="237" l="1"/>
  <c r="H138" i="237"/>
  <c r="H135" i="237"/>
  <c r="H132" i="237"/>
  <c r="H146" i="237"/>
  <c r="H129" i="237"/>
  <c r="H130" i="237"/>
  <c r="H136" i="237"/>
  <c r="H148" i="237"/>
  <c r="H140" i="237"/>
  <c r="H147" i="237"/>
  <c r="H143" i="237"/>
  <c r="H134" i="237"/>
  <c r="H141" i="237"/>
  <c r="H128" i="237"/>
  <c r="H145" i="237"/>
  <c r="H144" i="237"/>
  <c r="H137" i="237"/>
  <c r="H142" i="237"/>
  <c r="H139" i="237"/>
  <c r="H131" i="237"/>
  <c r="H150" i="237" l="1"/>
  <c r="F40" i="100" l="1"/>
  <c r="F41" i="100"/>
  <c r="J41" i="100"/>
  <c r="J40" i="100"/>
  <c r="F58" i="100" l="1"/>
  <c r="F27" i="100"/>
  <c r="D79" i="51"/>
  <c r="J27" i="100"/>
  <c r="J58" i="100"/>
  <c r="D68" i="51" l="1"/>
  <c r="F64" i="100"/>
  <c r="J21" i="100"/>
  <c r="D118" i="51"/>
  <c r="F51" i="100"/>
  <c r="J18" i="100"/>
  <c r="D112" i="51"/>
  <c r="F19" i="100"/>
  <c r="F26" i="100"/>
  <c r="F21" i="100"/>
  <c r="F39" i="100"/>
  <c r="F62" i="100"/>
  <c r="J51" i="100"/>
  <c r="J26" i="100"/>
  <c r="J39" i="100"/>
  <c r="J19" i="100"/>
  <c r="J62" i="100"/>
  <c r="D111" i="51" l="1"/>
  <c r="F18" i="100"/>
  <c r="O33" i="238" l="1"/>
  <c r="O61" i="238" l="1"/>
  <c r="O59" i="238" l="1"/>
  <c r="J30" i="193" l="1"/>
  <c r="J32" i="193" l="1"/>
  <c r="J34" i="193" s="1"/>
  <c r="M16" i="238" l="1"/>
  <c r="N16" i="238"/>
  <c r="O18" i="238" l="1"/>
  <c r="O17" i="171"/>
  <c r="O18" i="171"/>
  <c r="O19" i="238"/>
  <c r="O32" i="238" l="1"/>
  <c r="O31" i="171"/>
  <c r="D52" i="171"/>
  <c r="E52" i="171"/>
  <c r="F52" i="171"/>
  <c r="G52" i="171"/>
  <c r="H52" i="171"/>
  <c r="I52" i="171"/>
  <c r="D39" i="171"/>
  <c r="E39" i="171"/>
  <c r="F39" i="171"/>
  <c r="G39" i="171"/>
  <c r="H39" i="171"/>
  <c r="I39" i="171"/>
  <c r="D67" i="171"/>
  <c r="E67" i="171"/>
  <c r="F67" i="171"/>
  <c r="G67" i="171"/>
  <c r="H67" i="171"/>
  <c r="I67" i="171"/>
  <c r="O16" i="171" l="1"/>
  <c r="G34" i="171"/>
  <c r="F34" i="171"/>
  <c r="H47" i="171"/>
  <c r="D47" i="171"/>
  <c r="F62" i="171"/>
  <c r="G24" i="171"/>
  <c r="G47" i="171"/>
  <c r="E62" i="171"/>
  <c r="F24" i="171"/>
  <c r="E34" i="171"/>
  <c r="O32" i="171"/>
  <c r="H34" i="171"/>
  <c r="D34" i="171"/>
  <c r="F47" i="171"/>
  <c r="H62" i="171"/>
  <c r="D62" i="171"/>
  <c r="I24" i="171"/>
  <c r="J16" i="44" s="1"/>
  <c r="E24" i="171"/>
  <c r="E47" i="171"/>
  <c r="G62" i="171"/>
  <c r="H24" i="171"/>
  <c r="D24" i="171"/>
  <c r="C67" i="171"/>
  <c r="C39" i="171"/>
  <c r="C52" i="171"/>
  <c r="O19" i="171"/>
  <c r="O60" i="171"/>
  <c r="O58" i="171"/>
  <c r="O15" i="171" l="1"/>
  <c r="O16" i="238"/>
  <c r="C24" i="171"/>
  <c r="C47" i="171" l="1"/>
  <c r="C34" i="171"/>
  <c r="C62" i="171"/>
  <c r="O14" i="238" l="1"/>
  <c r="O13" i="171"/>
  <c r="O15" i="238"/>
  <c r="O14" i="171"/>
  <c r="O13" i="238"/>
  <c r="O12" i="171"/>
  <c r="M43" i="35" s="1"/>
  <c r="O43" i="35" l="1"/>
  <c r="O45" i="171"/>
  <c r="O59" i="171" l="1"/>
  <c r="O30" i="171"/>
  <c r="L43" i="35" l="1"/>
  <c r="N43" i="35"/>
  <c r="D46" i="238"/>
  <c r="C48" i="238"/>
  <c r="C53" i="238" s="1"/>
  <c r="C21" i="238" s="1"/>
  <c r="E46" i="238" l="1"/>
  <c r="D48" i="238"/>
  <c r="D53" i="238" s="1"/>
  <c r="D21" i="238" s="1"/>
  <c r="C35" i="238"/>
  <c r="D60" i="238"/>
  <c r="C63" i="238"/>
  <c r="J24" i="171"/>
  <c r="K16" i="44" s="1"/>
  <c r="E60" i="238" l="1"/>
  <c r="D63" i="238"/>
  <c r="D68" i="238" s="1"/>
  <c r="D23" i="238" s="1"/>
  <c r="C40" i="238"/>
  <c r="D35" i="238"/>
  <c r="D40" i="238" s="1"/>
  <c r="D22" i="238" s="1"/>
  <c r="C68" i="238"/>
  <c r="F46" i="238"/>
  <c r="E48" i="238"/>
  <c r="K24" i="171"/>
  <c r="L16" i="44" s="1"/>
  <c r="E35" i="238" l="1"/>
  <c r="F60" i="238"/>
  <c r="E63" i="238"/>
  <c r="E53" i="238"/>
  <c r="C23" i="238"/>
  <c r="C22" i="238"/>
  <c r="G46" i="238"/>
  <c r="H46" i="238" l="1"/>
  <c r="E68" i="238"/>
  <c r="E21" i="238"/>
  <c r="G60" i="238"/>
  <c r="E40" i="238"/>
  <c r="E22" i="238" l="1"/>
  <c r="H60" i="238"/>
  <c r="E23" i="238"/>
  <c r="I46" i="238"/>
  <c r="J46" i="238" l="1"/>
  <c r="I60" i="238"/>
  <c r="K46" i="238" l="1"/>
  <c r="J60" i="238"/>
  <c r="K60" i="238" l="1"/>
  <c r="L46" i="238"/>
  <c r="L60" i="238" l="1"/>
  <c r="M46" i="238"/>
  <c r="L48" i="238"/>
  <c r="L53" i="238" s="1"/>
  <c r="L21" i="238" s="1"/>
  <c r="N46" i="238" l="1"/>
  <c r="M48" i="238"/>
  <c r="M53" i="238" s="1"/>
  <c r="M21" i="238" s="1"/>
  <c r="M60" i="238"/>
  <c r="L63" i="238"/>
  <c r="L68" i="238" s="1"/>
  <c r="L23" i="238" s="1"/>
  <c r="N48" i="238" l="1"/>
  <c r="N53" i="238" s="1"/>
  <c r="O46" i="238"/>
  <c r="N60" i="238"/>
  <c r="M63" i="238"/>
  <c r="M68" i="238" s="1"/>
  <c r="N63" i="238" l="1"/>
  <c r="N68" i="238" s="1"/>
  <c r="N23" i="238" s="1"/>
  <c r="O60" i="238"/>
  <c r="N21" i="238"/>
  <c r="M23" i="238"/>
  <c r="F116" i="213" l="1"/>
  <c r="I116" i="213" s="1"/>
  <c r="I116" i="207"/>
  <c r="F178" i="213"/>
  <c r="I178" i="213" s="1"/>
  <c r="F178" i="207"/>
  <c r="I178" i="207" s="1"/>
  <c r="F261" i="213" l="1"/>
  <c r="F265" i="213" l="1"/>
  <c r="I261" i="213"/>
  <c r="I265" i="213" s="1"/>
  <c r="F224" i="207"/>
  <c r="F265" i="207" s="1"/>
  <c r="I224" i="207" l="1"/>
  <c r="D16" i="137"/>
  <c r="I265" i="207" l="1"/>
  <c r="D16" i="3" s="1"/>
  <c r="H29" i="10" s="1"/>
  <c r="H31" i="10" s="1"/>
  <c r="G29" i="10"/>
  <c r="G31" i="10" s="1"/>
  <c r="N116" i="207" l="1"/>
  <c r="N178" i="207"/>
  <c r="N116" i="213"/>
  <c r="N178" i="213"/>
  <c r="N224" i="213" l="1"/>
  <c r="N265" i="213" s="1"/>
  <c r="N224" i="207"/>
  <c r="N261" i="207" l="1"/>
  <c r="N265" i="207" l="1"/>
  <c r="F16" i="3" s="1"/>
  <c r="F16" i="137"/>
  <c r="K265" i="213"/>
  <c r="P26" i="222" l="1"/>
  <c r="D23" i="79" l="1"/>
  <c r="D43" i="50" s="1"/>
  <c r="D45" i="50" s="1"/>
  <c r="D46" i="50" s="1"/>
  <c r="H25" i="51" l="1"/>
  <c r="P25" i="51" s="1"/>
  <c r="P27" i="222"/>
  <c r="D24" i="79" l="1"/>
  <c r="D48" i="50" s="1"/>
  <c r="L17" i="42" l="1"/>
  <c r="P17" i="222"/>
  <c r="D15" i="79" l="1"/>
  <c r="D13" i="50" s="1"/>
  <c r="P23" i="222"/>
  <c r="O16" i="41" l="1"/>
  <c r="O33" i="41" s="1"/>
  <c r="D18" i="79"/>
  <c r="D28" i="50" s="1"/>
  <c r="P20" i="222"/>
  <c r="P19" i="222"/>
  <c r="O19" i="41" l="1"/>
  <c r="O36" i="41" s="1"/>
  <c r="D17" i="79"/>
  <c r="D16" i="79"/>
  <c r="D18" i="50" s="1"/>
  <c r="P92" i="222"/>
  <c r="P25" i="222"/>
  <c r="O20" i="238" s="1"/>
  <c r="O17" i="41" l="1"/>
  <c r="O34" i="41" s="1"/>
  <c r="D19" i="79"/>
  <c r="L16" i="42" s="1"/>
  <c r="O18" i="41"/>
  <c r="O35" i="41" s="1"/>
  <c r="D23" i="50"/>
  <c r="D134" i="79"/>
  <c r="D22" i="79"/>
  <c r="C20" i="238"/>
  <c r="O22" i="41" l="1"/>
  <c r="D20" i="238"/>
  <c r="L18" i="42"/>
  <c r="L19" i="42" s="1"/>
  <c r="D26" i="79"/>
  <c r="D38" i="50"/>
  <c r="G48" i="10" l="1"/>
  <c r="D70" i="50"/>
  <c r="D28" i="79"/>
  <c r="E20" i="238"/>
  <c r="F20" i="238" l="1"/>
  <c r="K14" i="46"/>
  <c r="O14" i="46" l="1"/>
  <c r="F15" i="47" s="1"/>
  <c r="G20" i="238"/>
  <c r="G36" i="1" l="1"/>
  <c r="H20" i="238"/>
  <c r="I20" i="238" l="1"/>
  <c r="J20" i="238" l="1"/>
  <c r="K20" i="238" l="1"/>
  <c r="L20" i="238" l="1"/>
  <c r="M20" i="238" l="1"/>
  <c r="N20" i="238" l="1"/>
  <c r="P39" i="44" l="1"/>
  <c r="D95" i="45" s="1"/>
  <c r="P42" i="44"/>
  <c r="D98" i="45" s="1"/>
  <c r="P44" i="44"/>
  <c r="D101" i="45" s="1"/>
  <c r="P36" i="44"/>
  <c r="D91" i="45" s="1"/>
  <c r="P33" i="44"/>
  <c r="D87" i="45" s="1"/>
  <c r="P41" i="44"/>
  <c r="D97" i="45" s="1"/>
  <c r="P32" i="44"/>
  <c r="D86" i="45" s="1"/>
  <c r="P35" i="44"/>
  <c r="D90" i="45" s="1"/>
  <c r="P34" i="44"/>
  <c r="D89" i="45" s="1"/>
  <c r="P40" i="44"/>
  <c r="D96" i="45" s="1"/>
  <c r="P43" i="44"/>
  <c r="D99" i="45" s="1"/>
  <c r="P38" i="44"/>
  <c r="D93" i="45" s="1"/>
  <c r="P37" i="44"/>
  <c r="D92" i="45" s="1"/>
  <c r="P31" i="44" l="1"/>
  <c r="D85" i="45" l="1"/>
  <c r="P31" i="222" l="1"/>
  <c r="D81" i="79" l="1"/>
  <c r="P39" i="222"/>
  <c r="D91" i="79" s="1"/>
  <c r="P34" i="222"/>
  <c r="D85" i="79" s="1"/>
  <c r="P45" i="222"/>
  <c r="D99" i="79" s="1"/>
  <c r="P44" i="222"/>
  <c r="D97" i="79" s="1"/>
  <c r="P41" i="222"/>
  <c r="D93" i="79" s="1"/>
  <c r="P35" i="222"/>
  <c r="P32" i="222"/>
  <c r="D82" i="79" s="1"/>
  <c r="P38" i="222"/>
  <c r="D89" i="79" s="1"/>
  <c r="P36" i="222"/>
  <c r="D87" i="79" s="1"/>
  <c r="P40" i="222"/>
  <c r="D92" i="79" s="1"/>
  <c r="P37" i="222"/>
  <c r="D88" i="79" s="1"/>
  <c r="P33" i="222"/>
  <c r="D83" i="79" s="1"/>
  <c r="P42" i="222"/>
  <c r="D94" i="79" s="1"/>
  <c r="P43" i="222"/>
  <c r="D95" i="79" s="1"/>
  <c r="D86" i="79" l="1"/>
  <c r="D100" i="79" s="1"/>
  <c r="L21" i="42" l="1"/>
  <c r="L22" i="42" s="1"/>
  <c r="D58" i="50"/>
  <c r="K17" i="46"/>
  <c r="O17" i="46" l="1"/>
  <c r="D71" i="50"/>
  <c r="D72" i="50" s="1"/>
  <c r="F18" i="47" l="1"/>
  <c r="J18" i="47" l="1"/>
  <c r="P27" i="44" l="1"/>
  <c r="D28" i="45" s="1"/>
  <c r="D54" i="50"/>
  <c r="D27" i="51"/>
  <c r="D55" i="50" l="1"/>
  <c r="H27" i="51" s="1"/>
  <c r="P27" i="51" s="1"/>
  <c r="J17" i="42"/>
  <c r="D26" i="51"/>
  <c r="D49" i="50"/>
  <c r="D50" i="50" s="1"/>
  <c r="D56" i="50" l="1"/>
  <c r="H26" i="51"/>
  <c r="P26" i="51" s="1"/>
  <c r="D51" i="50"/>
  <c r="P17" i="44" l="1"/>
  <c r="D15" i="45" l="1"/>
  <c r="M16" i="41" l="1"/>
  <c r="D15" i="51"/>
  <c r="D14" i="50"/>
  <c r="P23" i="44"/>
  <c r="D15" i="50" l="1"/>
  <c r="D21" i="45"/>
  <c r="M33" i="41"/>
  <c r="D18" i="51" l="1"/>
  <c r="D29" i="50"/>
  <c r="D30" i="50" s="1"/>
  <c r="M19" i="41"/>
  <c r="M36" i="41" s="1"/>
  <c r="D16" i="50"/>
  <c r="F15" i="51"/>
  <c r="P25" i="44"/>
  <c r="D26" i="45" l="1"/>
  <c r="F18" i="51"/>
  <c r="P18" i="51" s="1"/>
  <c r="D31" i="50"/>
  <c r="P15" i="51"/>
  <c r="D39" i="50" l="1"/>
  <c r="D40" i="50" s="1"/>
  <c r="D24" i="51"/>
  <c r="D29" i="51" s="1"/>
  <c r="J18" i="42"/>
  <c r="D30" i="45"/>
  <c r="H24" i="51" l="1"/>
  <c r="D41" i="50"/>
  <c r="P24" i="51" l="1"/>
  <c r="H29" i="51"/>
  <c r="P29" i="51" l="1"/>
  <c r="H31" i="51"/>
  <c r="H38" i="51" s="1"/>
  <c r="H40" i="51" s="1"/>
  <c r="H42" i="51" s="1"/>
  <c r="P19" i="44" l="1"/>
  <c r="D17" i="45" l="1"/>
  <c r="M17" i="41" l="1"/>
  <c r="D16" i="51"/>
  <c r="D19" i="50"/>
  <c r="P20" i="44"/>
  <c r="D20" i="50" l="1"/>
  <c r="D18" i="45"/>
  <c r="M34" i="41"/>
  <c r="M18" i="41" l="1"/>
  <c r="D24" i="50"/>
  <c r="D17" i="51"/>
  <c r="D21" i="51" s="1"/>
  <c r="D31" i="51" s="1"/>
  <c r="D23" i="45"/>
  <c r="F16" i="51"/>
  <c r="D21" i="50"/>
  <c r="D25" i="50" l="1"/>
  <c r="D66" i="50"/>
  <c r="P16" i="51"/>
  <c r="M35" i="41"/>
  <c r="M22" i="41"/>
  <c r="J16" i="42"/>
  <c r="J19" i="42" s="1"/>
  <c r="D32" i="45"/>
  <c r="H48" i="10" l="1"/>
  <c r="D14" i="46"/>
  <c r="F17" i="51"/>
  <c r="D26" i="50"/>
  <c r="P17" i="51" l="1"/>
  <c r="F21" i="51"/>
  <c r="D15" i="47"/>
  <c r="F14" i="46"/>
  <c r="F31" i="51" l="1"/>
  <c r="P21" i="51"/>
  <c r="F38" i="51" l="1"/>
  <c r="P31" i="51"/>
  <c r="F40" i="51" l="1"/>
  <c r="F42" i="51" s="1"/>
  <c r="P22" i="42" l="1"/>
  <c r="P31" i="42" s="1"/>
  <c r="P42" i="42" s="1"/>
  <c r="P43" i="42" l="1"/>
  <c r="P45" i="42" s="1"/>
  <c r="H52" i="192" l="1"/>
  <c r="G52" i="192"/>
  <c r="F52" i="192"/>
  <c r="E52" i="192"/>
  <c r="H54" i="192" l="1"/>
  <c r="H55" i="192" s="1"/>
  <c r="E54" i="192"/>
  <c r="E55" i="192" s="1"/>
  <c r="I52" i="192"/>
  <c r="F54" i="192"/>
  <c r="F55" i="192" s="1"/>
  <c r="G54" i="192"/>
  <c r="G55" i="192" s="1"/>
  <c r="D52" i="192"/>
  <c r="I54" i="192" l="1"/>
  <c r="I55" i="192" s="1"/>
  <c r="D54" i="192"/>
  <c r="J54" i="192"/>
  <c r="J56" i="192" s="1"/>
  <c r="D55" i="192" l="1"/>
  <c r="I33" i="102" l="1"/>
  <c r="E33" i="102"/>
  <c r="H43" i="100" l="1"/>
  <c r="J42" i="100"/>
  <c r="J43" i="100" s="1"/>
  <c r="F42" i="100"/>
  <c r="F43" i="100" s="1"/>
  <c r="D43" i="100"/>
  <c r="I27" i="247" l="1"/>
  <c r="K27" i="247" s="1"/>
  <c r="E27" i="247"/>
  <c r="G27" i="247" s="1"/>
  <c r="I21" i="247" l="1"/>
  <c r="E21" i="247"/>
  <c r="G21" i="247" s="1"/>
  <c r="K21" i="247" l="1"/>
  <c r="D29" i="247"/>
  <c r="I24" i="247" l="1"/>
  <c r="K24" i="247" s="1"/>
  <c r="E24" i="247"/>
  <c r="G24" i="247" s="1"/>
  <c r="I18" i="247"/>
  <c r="E18" i="247"/>
  <c r="C29" i="247"/>
  <c r="K18" i="247" l="1"/>
  <c r="I29" i="247"/>
  <c r="G18" i="247"/>
  <c r="G29" i="247" s="1"/>
  <c r="E29" i="247"/>
  <c r="K29" i="247" l="1"/>
  <c r="M24" i="46" s="1"/>
  <c r="P48" i="51" l="1"/>
  <c r="P73" i="51"/>
  <c r="P77" i="51"/>
  <c r="P112" i="51"/>
  <c r="P74" i="51"/>
  <c r="P107" i="51"/>
  <c r="P129" i="51"/>
  <c r="P50" i="51"/>
  <c r="P68" i="51"/>
  <c r="P79" i="51"/>
  <c r="P106" i="51"/>
  <c r="P67" i="51"/>
  <c r="P83" i="51"/>
  <c r="P65" i="51"/>
  <c r="P75" i="51"/>
  <c r="P69" i="51"/>
  <c r="P111" i="51"/>
  <c r="P60" i="51"/>
  <c r="P118" i="51"/>
  <c r="P128" i="51"/>
  <c r="P64" i="51"/>
  <c r="N93" i="236" l="1"/>
  <c r="C25" i="238" l="1"/>
  <c r="D16" i="222" l="1"/>
  <c r="D25" i="238"/>
  <c r="E16" i="222" s="1"/>
  <c r="E25" i="238" l="1"/>
  <c r="F16" i="222" s="1"/>
  <c r="P45" i="44" l="1"/>
  <c r="D103" i="45" s="1"/>
  <c r="D104" i="45" s="1"/>
  <c r="J21" i="42" l="1"/>
  <c r="J22" i="42" s="1"/>
  <c r="D34" i="51"/>
  <c r="D36" i="51" s="1"/>
  <c r="D38" i="51" s="1"/>
  <c r="D17" i="46"/>
  <c r="D59" i="50"/>
  <c r="D18" i="47" l="1"/>
  <c r="F17" i="46"/>
  <c r="D60" i="50"/>
  <c r="D67" i="50"/>
  <c r="D68" i="50" s="1"/>
  <c r="J34" i="51" l="1"/>
  <c r="D61" i="50"/>
  <c r="J36" i="51" l="1"/>
  <c r="P34" i="51"/>
  <c r="P36" i="51" l="1"/>
  <c r="J38" i="51"/>
  <c r="P38" i="51" l="1"/>
  <c r="P40" i="51" s="1"/>
  <c r="P42" i="51" s="1"/>
  <c r="J40" i="51"/>
  <c r="J42" i="51" s="1"/>
  <c r="F16" i="98" l="1"/>
  <c r="F20" i="98" s="1"/>
  <c r="F20" i="5"/>
  <c r="H16" i="98"/>
  <c r="J20" i="5"/>
  <c r="J16" i="98" l="1"/>
  <c r="J20" i="98" s="1"/>
  <c r="L20" i="98" s="1"/>
  <c r="L20" i="5"/>
  <c r="L17" i="202" s="1"/>
  <c r="K19" i="4" s="1"/>
  <c r="H42" i="202"/>
  <c r="H17" i="202"/>
  <c r="P17" i="202"/>
  <c r="P42" i="202"/>
  <c r="E29" i="212" l="1"/>
  <c r="T42" i="202"/>
  <c r="K20" i="95"/>
  <c r="G71" i="10" s="1"/>
  <c r="T17" i="202"/>
  <c r="L42" i="202"/>
  <c r="G20" i="95"/>
  <c r="G40" i="10" s="1"/>
  <c r="P21" i="202"/>
  <c r="P29" i="202" s="1"/>
  <c r="G19" i="4"/>
  <c r="H40" i="10" s="1"/>
  <c r="H21" i="202"/>
  <c r="H29" i="202" s="1"/>
  <c r="J17" i="202" s="1"/>
  <c r="P46" i="202"/>
  <c r="P54" i="202" s="1"/>
  <c r="H46" i="202"/>
  <c r="H54" i="202" s="1"/>
  <c r="J42" i="202" s="1"/>
  <c r="R42" i="202" l="1"/>
  <c r="V42" i="202" s="1"/>
  <c r="R50" i="202"/>
  <c r="R17" i="202"/>
  <c r="V17" i="202" s="1"/>
  <c r="R25" i="202"/>
  <c r="V25" i="202" s="1"/>
  <c r="G28" i="95"/>
  <c r="J44" i="202"/>
  <c r="N44" i="202" s="1"/>
  <c r="J50" i="202"/>
  <c r="J48" i="202"/>
  <c r="N48" i="202" s="1"/>
  <c r="R52" i="202"/>
  <c r="V52" i="202" s="1"/>
  <c r="G27" i="4"/>
  <c r="N42" i="202"/>
  <c r="J19" i="202"/>
  <c r="R27" i="202"/>
  <c r="V27" i="202" s="1"/>
  <c r="J27" i="202"/>
  <c r="N27" i="202" s="1"/>
  <c r="J25" i="202"/>
  <c r="J23" i="202"/>
  <c r="N23" i="202" s="1"/>
  <c r="J52" i="202"/>
  <c r="N52" i="202" s="1"/>
  <c r="N17" i="202"/>
  <c r="R44" i="202"/>
  <c r="V44" i="202" s="1"/>
  <c r="R48" i="202"/>
  <c r="V48" i="202" s="1"/>
  <c r="R19" i="202"/>
  <c r="V19" i="202" s="1"/>
  <c r="R23" i="202"/>
  <c r="V23" i="202" s="1"/>
  <c r="H71" i="10"/>
  <c r="I19" i="4" l="1"/>
  <c r="M19" i="4" s="1"/>
  <c r="H45" i="10"/>
  <c r="I20" i="95"/>
  <c r="M20" i="95" s="1"/>
  <c r="G45" i="10"/>
  <c r="N46" i="202"/>
  <c r="R21" i="202"/>
  <c r="R29" i="202" s="1"/>
  <c r="V21" i="202"/>
  <c r="N19" i="202"/>
  <c r="N21" i="202" s="1"/>
  <c r="I22" i="95"/>
  <c r="M22" i="95" s="1"/>
  <c r="I24" i="95"/>
  <c r="M24" i="95" s="1"/>
  <c r="I26" i="95"/>
  <c r="M26" i="95" s="1"/>
  <c r="V46" i="202"/>
  <c r="J46" i="202"/>
  <c r="J54" i="202" s="1"/>
  <c r="N25" i="202"/>
  <c r="I21" i="4"/>
  <c r="M21" i="4" s="1"/>
  <c r="I25" i="4"/>
  <c r="M25" i="4" s="1"/>
  <c r="I23" i="4"/>
  <c r="M23" i="4" s="1"/>
  <c r="J21" i="202"/>
  <c r="J29" i="202" s="1"/>
  <c r="R46" i="202"/>
  <c r="R54" i="202" s="1"/>
  <c r="V29" i="202" l="1"/>
  <c r="G30" i="84"/>
  <c r="N29" i="202"/>
  <c r="E30" i="84"/>
  <c r="M27" i="4"/>
  <c r="E22" i="1" s="1"/>
  <c r="M28" i="95"/>
  <c r="G22" i="1" s="1"/>
  <c r="I27" i="4"/>
  <c r="I28" i="95"/>
  <c r="J19" i="230" l="1"/>
  <c r="I47" i="230" l="1"/>
  <c r="J47" i="230"/>
  <c r="I19" i="230"/>
  <c r="I36" i="230"/>
  <c r="J36" i="230"/>
  <c r="D24" i="231" l="1"/>
  <c r="G24" i="231" s="1"/>
  <c r="Q24" i="230" l="1"/>
  <c r="I24" i="231" s="1"/>
  <c r="L24" i="231" s="1"/>
  <c r="D26" i="231" l="1"/>
  <c r="G26" i="231" s="1"/>
  <c r="Q26" i="230"/>
  <c r="I26" i="231" s="1"/>
  <c r="L26" i="231" s="1"/>
  <c r="E28" i="233" l="1"/>
  <c r="D28" i="233"/>
  <c r="F28" i="233" l="1"/>
  <c r="G28" i="233"/>
  <c r="H28" i="233" l="1"/>
  <c r="I28" i="233" l="1"/>
  <c r="K28" i="233" l="1"/>
  <c r="J28" i="233"/>
  <c r="D24" i="232"/>
  <c r="G24" i="232" s="1"/>
  <c r="Q24" i="233"/>
  <c r="I24" i="232" s="1"/>
  <c r="L24" i="232" s="1"/>
  <c r="L28" i="233" l="1"/>
  <c r="M28" i="233" l="1"/>
  <c r="N28" i="233" l="1"/>
  <c r="D26" i="232"/>
  <c r="G26" i="232" s="1"/>
  <c r="Q26" i="233"/>
  <c r="I26" i="232" s="1"/>
  <c r="L26" i="232" s="1"/>
  <c r="O28" i="233" l="1"/>
  <c r="I28" i="230" l="1"/>
  <c r="J28" i="230"/>
  <c r="K28" i="230"/>
  <c r="L28" i="230"/>
  <c r="M28" i="230"/>
  <c r="N28" i="230"/>
  <c r="O28" i="230"/>
  <c r="E28" i="230"/>
  <c r="F28" i="230"/>
  <c r="G28" i="230"/>
  <c r="H28" i="230"/>
  <c r="E49" i="230" l="1"/>
  <c r="H49" i="230"/>
  <c r="Q22" i="230"/>
  <c r="I22" i="231" s="1"/>
  <c r="D28" i="230"/>
  <c r="J49" i="230"/>
  <c r="G49" i="230"/>
  <c r="I49" i="230"/>
  <c r="P28" i="233"/>
  <c r="D22" i="232"/>
  <c r="Q22" i="233"/>
  <c r="I22" i="232" s="1"/>
  <c r="F49" i="230"/>
  <c r="P28" i="230"/>
  <c r="D22" i="231"/>
  <c r="D28" i="231" l="1"/>
  <c r="G22" i="231"/>
  <c r="G28" i="231" s="1"/>
  <c r="L22" i="232"/>
  <c r="L28" i="232" s="1"/>
  <c r="I28" i="232"/>
  <c r="D28" i="232"/>
  <c r="G22" i="232"/>
  <c r="G28" i="232" s="1"/>
  <c r="Q28" i="230"/>
  <c r="D49" i="230"/>
  <c r="Q28" i="233"/>
  <c r="L22" i="231"/>
  <c r="L28" i="231" s="1"/>
  <c r="I28" i="231"/>
  <c r="L36" i="35" l="1"/>
  <c r="M32" i="35" l="1"/>
  <c r="L30" i="35"/>
  <c r="I23" i="102"/>
  <c r="E23" i="102"/>
  <c r="D21" i="49"/>
  <c r="H144" i="51" l="1"/>
  <c r="D22" i="49"/>
  <c r="E18" i="102"/>
  <c r="M42" i="35"/>
  <c r="M35" i="35"/>
  <c r="I18" i="102"/>
  <c r="M25" i="35"/>
  <c r="M24" i="35" s="1"/>
  <c r="L24" i="35" s="1"/>
  <c r="L26" i="35"/>
  <c r="D17" i="36"/>
  <c r="D21" i="36" s="1"/>
  <c r="P50" i="192"/>
  <c r="F21" i="105"/>
  <c r="F23" i="105" s="1"/>
  <c r="E22" i="102"/>
  <c r="E24" i="102" s="1"/>
  <c r="P48" i="228"/>
  <c r="P89" i="51"/>
  <c r="D29" i="36" l="1"/>
  <c r="H29" i="36" s="1"/>
  <c r="D30" i="36"/>
  <c r="H30" i="36" s="1"/>
  <c r="D28" i="36"/>
  <c r="C24" i="102"/>
  <c r="D25" i="36"/>
  <c r="H25" i="36" s="1"/>
  <c r="L35" i="35"/>
  <c r="M39" i="35"/>
  <c r="D23" i="36"/>
  <c r="H23" i="36" s="1"/>
  <c r="D20" i="36"/>
  <c r="H20" i="36" s="1"/>
  <c r="H21" i="36"/>
  <c r="H17" i="36"/>
  <c r="E17" i="102"/>
  <c r="E19" i="102" s="1"/>
  <c r="C19" i="102"/>
  <c r="M46" i="35"/>
  <c r="L42" i="35"/>
  <c r="H146" i="51"/>
  <c r="H148" i="51" s="1"/>
  <c r="P29" i="192"/>
  <c r="P25" i="192"/>
  <c r="L25" i="35"/>
  <c r="M28" i="35"/>
  <c r="I17" i="102"/>
  <c r="I19" i="102" s="1"/>
  <c r="G19" i="102"/>
  <c r="D23" i="105"/>
  <c r="P26" i="192"/>
  <c r="P40" i="192"/>
  <c r="D56" i="100" s="1"/>
  <c r="F56" i="100" s="1"/>
  <c r="P21" i="192"/>
  <c r="P18" i="192"/>
  <c r="P38" i="192"/>
  <c r="D28" i="100" s="1"/>
  <c r="D29" i="100" s="1"/>
  <c r="P41" i="192"/>
  <c r="D57" i="100" s="1"/>
  <c r="F57" i="100" s="1"/>
  <c r="P39" i="192"/>
  <c r="D55" i="100" s="1"/>
  <c r="P33" i="192"/>
  <c r="P47" i="192"/>
  <c r="P31" i="192"/>
  <c r="P22" i="192"/>
  <c r="P34" i="192"/>
  <c r="P19" i="228"/>
  <c r="P26" i="228"/>
  <c r="P33" i="228"/>
  <c r="P49" i="192"/>
  <c r="N44" i="192"/>
  <c r="N52" i="192" s="1"/>
  <c r="D42" i="228"/>
  <c r="P30" i="192"/>
  <c r="P38" i="228"/>
  <c r="H56" i="100" s="1"/>
  <c r="J56" i="100" s="1"/>
  <c r="K44" i="192"/>
  <c r="K52" i="192" s="1"/>
  <c r="P17" i="192"/>
  <c r="P36" i="228"/>
  <c r="H28" i="100" s="1"/>
  <c r="G24" i="102"/>
  <c r="I22" i="102"/>
  <c r="I24" i="102" s="1"/>
  <c r="P32" i="192"/>
  <c r="P32" i="228"/>
  <c r="P43" i="228"/>
  <c r="M44" i="192"/>
  <c r="M52" i="192" s="1"/>
  <c r="L44" i="192"/>
  <c r="P24" i="192"/>
  <c r="P27" i="192"/>
  <c r="P39" i="228"/>
  <c r="H57" i="100" s="1"/>
  <c r="J57" i="100" s="1"/>
  <c r="P45" i="192"/>
  <c r="P43" i="192"/>
  <c r="P48" i="192"/>
  <c r="P17" i="228"/>
  <c r="P20" i="192"/>
  <c r="P47" i="228"/>
  <c r="P35" i="192"/>
  <c r="O44" i="192"/>
  <c r="P19" i="192"/>
  <c r="P20" i="228"/>
  <c r="P42" i="192"/>
  <c r="P46" i="192"/>
  <c r="P28" i="192"/>
  <c r="P82" i="51"/>
  <c r="P101" i="51"/>
  <c r="P54" i="51"/>
  <c r="P105" i="51"/>
  <c r="P57" i="51"/>
  <c r="P117" i="51"/>
  <c r="P81" i="51"/>
  <c r="P114" i="51"/>
  <c r="P92" i="51"/>
  <c r="P100" i="51"/>
  <c r="P127" i="51"/>
  <c r="P126" i="51"/>
  <c r="P132" i="51"/>
  <c r="P59" i="51"/>
  <c r="D31" i="36" l="1"/>
  <c r="H31" i="36" s="1"/>
  <c r="H28" i="36"/>
  <c r="P25" i="193"/>
  <c r="F28" i="100"/>
  <c r="F29" i="100" s="1"/>
  <c r="P49" i="51"/>
  <c r="F31" i="105"/>
  <c r="F33" i="105" s="1"/>
  <c r="D33" i="105"/>
  <c r="P93" i="51"/>
  <c r="P131" i="51"/>
  <c r="P102" i="51"/>
  <c r="P24" i="193"/>
  <c r="P116" i="51"/>
  <c r="P130" i="51"/>
  <c r="P58" i="51"/>
  <c r="L52" i="192"/>
  <c r="L54" i="192"/>
  <c r="L56" i="192" s="1"/>
  <c r="D50" i="228"/>
  <c r="D52" i="228"/>
  <c r="J28" i="100"/>
  <c r="J29" i="100" s="1"/>
  <c r="H29" i="100"/>
  <c r="K54" i="192"/>
  <c r="N54" i="192"/>
  <c r="N56" i="192" s="1"/>
  <c r="O52" i="192"/>
  <c r="O54" i="192"/>
  <c r="O56" i="192" s="1"/>
  <c r="M54" i="192"/>
  <c r="M56" i="192" s="1"/>
  <c r="P44" i="192"/>
  <c r="D59" i="100"/>
  <c r="F55" i="100"/>
  <c r="F59" i="100" s="1"/>
  <c r="D33" i="36" l="1"/>
  <c r="H33" i="36" s="1"/>
  <c r="P18" i="227"/>
  <c r="P28" i="227"/>
  <c r="L22" i="193"/>
  <c r="P23" i="227"/>
  <c r="P26" i="193"/>
  <c r="P15" i="193"/>
  <c r="P23" i="193"/>
  <c r="H139" i="51"/>
  <c r="K22" i="193"/>
  <c r="K30" i="193" s="1"/>
  <c r="O22" i="193"/>
  <c r="O30" i="193" s="1"/>
  <c r="M22" i="193"/>
  <c r="M30" i="193" s="1"/>
  <c r="P20" i="193"/>
  <c r="P17" i="193"/>
  <c r="P16" i="193"/>
  <c r="P18" i="193"/>
  <c r="H134" i="51"/>
  <c r="I32" i="102"/>
  <c r="I34" i="102" s="1"/>
  <c r="G34" i="102"/>
  <c r="P21" i="193"/>
  <c r="P28" i="193"/>
  <c r="P27" i="193"/>
  <c r="N22" i="193"/>
  <c r="N30" i="193" s="1"/>
  <c r="P19" i="193"/>
  <c r="P91" i="51"/>
  <c r="E32" i="102"/>
  <c r="E34" i="102" s="1"/>
  <c r="C34" i="102"/>
  <c r="P14" i="193"/>
  <c r="E27" i="102"/>
  <c r="P52" i="192"/>
  <c r="E42" i="228"/>
  <c r="D54" i="228"/>
  <c r="K56" i="192"/>
  <c r="P54" i="192"/>
  <c r="E22" i="227"/>
  <c r="N32" i="193" l="1"/>
  <c r="N34" i="193" s="1"/>
  <c r="M32" i="193"/>
  <c r="M34" i="193" s="1"/>
  <c r="L32" i="193"/>
  <c r="L34" i="193" s="1"/>
  <c r="E32" i="227"/>
  <c r="E34" i="227" s="1"/>
  <c r="K32" i="193"/>
  <c r="D22" i="227"/>
  <c r="P22" i="193"/>
  <c r="P30" i="193" s="1"/>
  <c r="E30" i="227"/>
  <c r="O32" i="193"/>
  <c r="O34" i="193" s="1"/>
  <c r="P139" i="51"/>
  <c r="H142" i="51"/>
  <c r="L30" i="193"/>
  <c r="F42" i="228"/>
  <c r="P56" i="192"/>
  <c r="E52" i="228"/>
  <c r="E50" i="228"/>
  <c r="P55" i="192" l="1"/>
  <c r="F22" i="227"/>
  <c r="D32" i="227"/>
  <c r="D30" i="227"/>
  <c r="P32" i="193"/>
  <c r="K34" i="193"/>
  <c r="F52" i="228"/>
  <c r="F54" i="228" s="1"/>
  <c r="F50" i="228"/>
  <c r="G42" i="228"/>
  <c r="E54" i="228"/>
  <c r="P16" i="228" l="1"/>
  <c r="P24" i="228"/>
  <c r="P34" i="193"/>
  <c r="D34" i="227"/>
  <c r="F30" i="227"/>
  <c r="F32" i="227"/>
  <c r="F34" i="227" s="1"/>
  <c r="P29" i="228"/>
  <c r="G22" i="227"/>
  <c r="H42" i="228"/>
  <c r="J21" i="105"/>
  <c r="J23" i="105" s="1"/>
  <c r="H23" i="105"/>
  <c r="G52" i="228"/>
  <c r="G50" i="228"/>
  <c r="P40" i="228"/>
  <c r="P35" i="228"/>
  <c r="P37" i="228"/>
  <c r="H55" i="100" s="1"/>
  <c r="P31" i="228"/>
  <c r="P22" i="228"/>
  <c r="P30" i="228"/>
  <c r="P18" i="228"/>
  <c r="P28" i="228"/>
  <c r="P23" i="228"/>
  <c r="H22" i="227"/>
  <c r="P33" i="193" l="1"/>
  <c r="H32" i="227"/>
  <c r="H34" i="227" s="1"/>
  <c r="H30" i="227"/>
  <c r="D15" i="49"/>
  <c r="G32" i="227"/>
  <c r="G34" i="227" s="1"/>
  <c r="G30" i="227"/>
  <c r="P27" i="228"/>
  <c r="P41" i="228"/>
  <c r="P15" i="228"/>
  <c r="G54" i="228"/>
  <c r="H52" i="228"/>
  <c r="H54" i="228" s="1"/>
  <c r="H50" i="228"/>
  <c r="H59" i="100"/>
  <c r="J55" i="100"/>
  <c r="J59" i="100" s="1"/>
  <c r="I42" i="228"/>
  <c r="P78" i="51"/>
  <c r="P103" i="51"/>
  <c r="P76" i="51"/>
  <c r="P115" i="51"/>
  <c r="P120" i="51"/>
  <c r="P63" i="51"/>
  <c r="P119" i="51"/>
  <c r="P52" i="51"/>
  <c r="P55" i="51"/>
  <c r="F19" i="250"/>
  <c r="I22" i="227"/>
  <c r="P122" i="51" l="1"/>
  <c r="P66" i="51"/>
  <c r="P109" i="51"/>
  <c r="P53" i="51"/>
  <c r="P56" i="51"/>
  <c r="P123" i="51"/>
  <c r="P99" i="51"/>
  <c r="I32" i="227"/>
  <c r="I30" i="227"/>
  <c r="O32" i="35"/>
  <c r="O42" i="35" s="1"/>
  <c r="N30" i="35"/>
  <c r="P62" i="51"/>
  <c r="P72" i="51"/>
  <c r="P113" i="51"/>
  <c r="P61" i="51"/>
  <c r="F144" i="51"/>
  <c r="D16" i="49"/>
  <c r="P44" i="228"/>
  <c r="J42" i="228"/>
  <c r="I52" i="228"/>
  <c r="I54" i="228" s="1"/>
  <c r="I50" i="228"/>
  <c r="P25" i="228"/>
  <c r="P71" i="51"/>
  <c r="P88" i="51"/>
  <c r="P104" i="51"/>
  <c r="P87" i="51"/>
  <c r="P85" i="51"/>
  <c r="P84" i="51"/>
  <c r="P86" i="51"/>
  <c r="P90" i="51"/>
  <c r="J42" i="35" l="1"/>
  <c r="L28" i="36"/>
  <c r="L29" i="36"/>
  <c r="J29" i="36" s="1"/>
  <c r="L30" i="36"/>
  <c r="J30" i="36" s="1"/>
  <c r="J134" i="51"/>
  <c r="P80" i="51"/>
  <c r="F146" i="51"/>
  <c r="F148" i="51" s="1"/>
  <c r="P51" i="51"/>
  <c r="O46" i="35"/>
  <c r="N42" i="35"/>
  <c r="P108" i="51"/>
  <c r="H33" i="105"/>
  <c r="J31" i="105"/>
  <c r="J33" i="105" s="1"/>
  <c r="J22" i="227"/>
  <c r="P24" i="227"/>
  <c r="J140" i="51"/>
  <c r="P140" i="51" s="1"/>
  <c r="L17" i="36"/>
  <c r="L21" i="36" s="1"/>
  <c r="N26" i="35"/>
  <c r="O25" i="35"/>
  <c r="I34" i="227"/>
  <c r="K42" i="228"/>
  <c r="J52" i="228"/>
  <c r="J54" i="228" s="1"/>
  <c r="J50" i="228"/>
  <c r="P16" i="227"/>
  <c r="F34" i="250"/>
  <c r="P27" i="227"/>
  <c r="P15" i="227"/>
  <c r="P21" i="227"/>
  <c r="P19" i="227"/>
  <c r="P17" i="227"/>
  <c r="P20" i="227"/>
  <c r="L31" i="36" l="1"/>
  <c r="J28" i="36"/>
  <c r="O24" i="35"/>
  <c r="O28" i="35" s="1"/>
  <c r="J25" i="35"/>
  <c r="L42" i="228"/>
  <c r="L50" i="228" s="1"/>
  <c r="P14" i="227"/>
  <c r="K52" i="228"/>
  <c r="K54" i="228" s="1"/>
  <c r="N25" i="35"/>
  <c r="J32" i="227"/>
  <c r="J30" i="227"/>
  <c r="K22" i="227"/>
  <c r="K50" i="228"/>
  <c r="L20" i="36"/>
  <c r="J20" i="36" s="1"/>
  <c r="J21" i="36"/>
  <c r="L23" i="36"/>
  <c r="J23" i="36" s="1"/>
  <c r="J17" i="36"/>
  <c r="F37" i="250"/>
  <c r="F33" i="250"/>
  <c r="J43" i="35" l="1"/>
  <c r="J31" i="36"/>
  <c r="N24" i="35"/>
  <c r="J24" i="35"/>
  <c r="L52" i="228"/>
  <c r="L54" i="228" s="1"/>
  <c r="L22" i="227"/>
  <c r="N36" i="35"/>
  <c r="O35" i="35"/>
  <c r="J35" i="35" s="1"/>
  <c r="K32" i="227"/>
  <c r="K34" i="227" s="1"/>
  <c r="K30" i="227"/>
  <c r="J34" i="227"/>
  <c r="M42" i="228"/>
  <c r="F36" i="250"/>
  <c r="M22" i="227"/>
  <c r="M32" i="227" l="1"/>
  <c r="M34" i="227" s="1"/>
  <c r="M30" i="227"/>
  <c r="P125" i="51"/>
  <c r="O39" i="35"/>
  <c r="N35" i="35"/>
  <c r="L25" i="36"/>
  <c r="J25" i="36" s="1"/>
  <c r="J33" i="36" s="1"/>
  <c r="L33" i="36" s="1"/>
  <c r="P124" i="51"/>
  <c r="L32" i="227"/>
  <c r="L30" i="227"/>
  <c r="P45" i="228"/>
  <c r="O42" i="228"/>
  <c r="P46" i="228"/>
  <c r="N42" i="228"/>
  <c r="M52" i="228"/>
  <c r="M54" i="228" s="1"/>
  <c r="M50" i="228"/>
  <c r="O22" i="227"/>
  <c r="O32" i="227" l="1"/>
  <c r="O34" i="227" s="1"/>
  <c r="O30" i="227"/>
  <c r="N22" i="227"/>
  <c r="P22" i="227" s="1"/>
  <c r="F138" i="51"/>
  <c r="F134" i="51"/>
  <c r="P26" i="227"/>
  <c r="L34" i="227"/>
  <c r="P25" i="227"/>
  <c r="N52" i="228"/>
  <c r="N54" i="228" s="1"/>
  <c r="N50" i="228"/>
  <c r="O52" i="228"/>
  <c r="O50" i="228"/>
  <c r="P42" i="228"/>
  <c r="P50" i="228" s="1"/>
  <c r="P30" i="227" l="1"/>
  <c r="P138" i="51"/>
  <c r="F142" i="51"/>
  <c r="N32" i="227"/>
  <c r="N30" i="227"/>
  <c r="O54" i="228"/>
  <c r="P52" i="228"/>
  <c r="N34" i="227" l="1"/>
  <c r="P34" i="227" s="1"/>
  <c r="P32" i="227"/>
  <c r="P54" i="228"/>
  <c r="P53" i="228" l="1"/>
  <c r="I27" i="102" l="1"/>
  <c r="E28" i="102" l="1"/>
  <c r="E29" i="102" s="1"/>
  <c r="J29" i="190"/>
  <c r="P32" i="226"/>
  <c r="P34" i="190"/>
  <c r="C29" i="102" l="1"/>
  <c r="J38" i="190"/>
  <c r="P37" i="190"/>
  <c r="I28" i="102"/>
  <c r="I29" i="102" s="1"/>
  <c r="G29" i="102"/>
  <c r="P21" i="190"/>
  <c r="P36" i="190"/>
  <c r="P25" i="190"/>
  <c r="P34" i="226"/>
  <c r="P24" i="226"/>
  <c r="H63" i="100" s="1"/>
  <c r="P19" i="226"/>
  <c r="P26" i="190"/>
  <c r="P23" i="226"/>
  <c r="H35" i="100" s="1"/>
  <c r="P35" i="226"/>
  <c r="P28" i="226"/>
  <c r="P30" i="190"/>
  <c r="J40" i="190" l="1"/>
  <c r="J42" i="190" s="1"/>
  <c r="J100" i="44" s="1"/>
  <c r="D35" i="100"/>
  <c r="F35" i="100" s="1"/>
  <c r="F36" i="100" s="1"/>
  <c r="D63" i="100"/>
  <c r="H66" i="100"/>
  <c r="J63" i="100"/>
  <c r="J66" i="100" s="1"/>
  <c r="J35" i="100"/>
  <c r="J36" i="100" s="1"/>
  <c r="H36" i="100"/>
  <c r="J111" i="44" l="1"/>
  <c r="D36" i="100"/>
  <c r="D66" i="100"/>
  <c r="F63" i="100"/>
  <c r="F66" i="100" s="1"/>
  <c r="P31" i="190" l="1"/>
  <c r="P29" i="226"/>
  <c r="P20" i="190" l="1"/>
  <c r="P32" i="190" l="1"/>
  <c r="P18" i="226"/>
  <c r="P24" i="190"/>
  <c r="P19" i="190"/>
  <c r="D28" i="105" l="1"/>
  <c r="D35" i="105" s="1"/>
  <c r="F26" i="105"/>
  <c r="F28" i="105" s="1"/>
  <c r="F35" i="105" s="1"/>
  <c r="P22" i="226"/>
  <c r="P17" i="226"/>
  <c r="P33" i="190"/>
  <c r="H28" i="105" l="1"/>
  <c r="H35" i="105" s="1"/>
  <c r="J26" i="105"/>
  <c r="J28" i="105" s="1"/>
  <c r="J35" i="105" s="1"/>
  <c r="P30" i="226"/>
  <c r="P31" i="226"/>
  <c r="P23" i="190" l="1"/>
  <c r="P18" i="190"/>
  <c r="N29" i="190"/>
  <c r="P28" i="190"/>
  <c r="O29" i="190"/>
  <c r="P35" i="190"/>
  <c r="P27" i="190"/>
  <c r="M29" i="190"/>
  <c r="L29" i="190"/>
  <c r="E27" i="226"/>
  <c r="G27" i="226"/>
  <c r="G36" i="226" s="1"/>
  <c r="M38" i="190" l="1"/>
  <c r="O38" i="190"/>
  <c r="P21" i="226"/>
  <c r="P33" i="226"/>
  <c r="P25" i="226"/>
  <c r="P26" i="226"/>
  <c r="I27" i="226"/>
  <c r="I36" i="226" s="1"/>
  <c r="L38" i="190"/>
  <c r="L40" i="190"/>
  <c r="L42" i="190" s="1"/>
  <c r="L100" i="44" s="1"/>
  <c r="G38" i="226"/>
  <c r="G40" i="226" s="1"/>
  <c r="G100" i="222" s="1"/>
  <c r="N38" i="190"/>
  <c r="N40" i="190"/>
  <c r="N42" i="190" s="1"/>
  <c r="N100" i="44" s="1"/>
  <c r="N27" i="226"/>
  <c r="P16" i="226"/>
  <c r="M27" i="226"/>
  <c r="H27" i="226"/>
  <c r="P17" i="190"/>
  <c r="K29" i="190"/>
  <c r="L27" i="226"/>
  <c r="K27" i="226"/>
  <c r="K36" i="226" s="1"/>
  <c r="E36" i="226"/>
  <c r="E38" i="226"/>
  <c r="E40" i="226" s="1"/>
  <c r="E100" i="222" s="1"/>
  <c r="F27" i="226"/>
  <c r="F36" i="226" s="1"/>
  <c r="M40" i="190"/>
  <c r="M42" i="190" s="1"/>
  <c r="M100" i="44" s="1"/>
  <c r="O40" i="190"/>
  <c r="O42" i="190" s="1"/>
  <c r="O100" i="44" s="1"/>
  <c r="D27" i="226"/>
  <c r="P15" i="226" l="1"/>
  <c r="L38" i="226"/>
  <c r="L40" i="226" s="1"/>
  <c r="L100" i="222" s="1"/>
  <c r="L36" i="226"/>
  <c r="F38" i="226"/>
  <c r="F40" i="226" s="1"/>
  <c r="F100" i="222" s="1"/>
  <c r="H36" i="226"/>
  <c r="H38" i="226"/>
  <c r="H40" i="226" s="1"/>
  <c r="H100" i="222" s="1"/>
  <c r="M36" i="226"/>
  <c r="M38" i="226"/>
  <c r="M40" i="226" s="1"/>
  <c r="M100" i="222" s="1"/>
  <c r="N36" i="226"/>
  <c r="N38" i="226"/>
  <c r="N40" i="226" s="1"/>
  <c r="N100" i="222" s="1"/>
  <c r="I38" i="226"/>
  <c r="I40" i="226" s="1"/>
  <c r="I100" i="222" s="1"/>
  <c r="D38" i="226"/>
  <c r="D40" i="226" s="1"/>
  <c r="J27" i="226"/>
  <c r="J36" i="226" s="1"/>
  <c r="P29" i="190"/>
  <c r="D36" i="226"/>
  <c r="K38" i="226"/>
  <c r="K40" i="226" s="1"/>
  <c r="K100" i="222" s="1"/>
  <c r="K38" i="190"/>
  <c r="O27" i="226"/>
  <c r="P38" i="190" l="1"/>
  <c r="O38" i="226"/>
  <c r="O40" i="226" s="1"/>
  <c r="O100" i="222" s="1"/>
  <c r="K40" i="190"/>
  <c r="F17" i="250"/>
  <c r="P27" i="226"/>
  <c r="P36" i="226" s="1"/>
  <c r="J38" i="226"/>
  <c r="J40" i="226" s="1"/>
  <c r="J100" i="222" s="1"/>
  <c r="F28" i="250"/>
  <c r="D100" i="222"/>
  <c r="F30" i="250"/>
  <c r="F27" i="250"/>
  <c r="O36" i="226"/>
  <c r="F31" i="250"/>
  <c r="F15" i="250"/>
  <c r="P40" i="226" l="1"/>
  <c r="F39" i="250"/>
  <c r="F23" i="250"/>
  <c r="P40" i="190"/>
  <c r="K42" i="190"/>
  <c r="P100" i="222"/>
  <c r="F41" i="250" l="1"/>
  <c r="L26" i="42"/>
  <c r="D154" i="79"/>
  <c r="P42" i="190"/>
  <c r="K100" i="44"/>
  <c r="P41" i="190" l="1"/>
  <c r="P100" i="44"/>
  <c r="J26" i="42" l="1"/>
  <c r="D158" i="45"/>
  <c r="N121" i="51"/>
  <c r="D121" i="51" l="1"/>
  <c r="P121" i="51"/>
  <c r="N142" i="51"/>
  <c r="N134" i="51"/>
  <c r="D142" i="51" l="1"/>
  <c r="D144" i="51" s="1"/>
  <c r="C22" i="36" l="1"/>
  <c r="D22" i="36" l="1"/>
  <c r="H22" i="36" s="1"/>
  <c r="L22" i="36"/>
  <c r="J22" i="36" l="1"/>
  <c r="K55" i="171" l="1"/>
  <c r="K56" i="171"/>
  <c r="H57" i="238" s="1"/>
  <c r="K57" i="171"/>
  <c r="H58" i="238" s="1"/>
  <c r="I56" i="171"/>
  <c r="I57" i="171"/>
  <c r="I55" i="171"/>
  <c r="J57" i="171"/>
  <c r="G58" i="238" s="1"/>
  <c r="J55" i="171"/>
  <c r="J56" i="171"/>
  <c r="G57" i="238" s="1"/>
  <c r="K28" i="171"/>
  <c r="H29" i="238" s="1"/>
  <c r="N57" i="171"/>
  <c r="K58" i="238" s="1"/>
  <c r="N55" i="171"/>
  <c r="N56" i="171"/>
  <c r="K57" i="238" s="1"/>
  <c r="L57" i="171"/>
  <c r="I58" i="238" s="1"/>
  <c r="L55" i="171"/>
  <c r="L56" i="171"/>
  <c r="I57" i="238" s="1"/>
  <c r="J43" i="171"/>
  <c r="G44" i="238" s="1"/>
  <c r="J42" i="171"/>
  <c r="J44" i="171"/>
  <c r="G45" i="238" s="1"/>
  <c r="K43" i="171"/>
  <c r="H44" i="238" s="1"/>
  <c r="K42" i="171"/>
  <c r="K44" i="171"/>
  <c r="H45" i="238" s="1"/>
  <c r="L43" i="171"/>
  <c r="I44" i="238" s="1"/>
  <c r="L44" i="171"/>
  <c r="I45" i="238" s="1"/>
  <c r="L42" i="171"/>
  <c r="N44" i="171"/>
  <c r="K45" i="238" s="1"/>
  <c r="N42" i="171"/>
  <c r="N43" i="171"/>
  <c r="K44" i="238" s="1"/>
  <c r="M56" i="171"/>
  <c r="J57" i="238" s="1"/>
  <c r="M55" i="171"/>
  <c r="M57" i="171"/>
  <c r="J58" i="238" s="1"/>
  <c r="M43" i="171"/>
  <c r="J44" i="238" s="1"/>
  <c r="M42" i="171"/>
  <c r="M44" i="171"/>
  <c r="J45" i="238" s="1"/>
  <c r="I43" i="171"/>
  <c r="I44" i="171"/>
  <c r="I42" i="171"/>
  <c r="I56" i="238" l="1"/>
  <c r="I63" i="238" s="1"/>
  <c r="I68" i="238" s="1"/>
  <c r="I23" i="238" s="1"/>
  <c r="L62" i="171"/>
  <c r="L67" i="171" s="1"/>
  <c r="G56" i="238"/>
  <c r="G63" i="238" s="1"/>
  <c r="G68" i="238" s="1"/>
  <c r="G23" i="238" s="1"/>
  <c r="J62" i="171"/>
  <c r="F57" i="238"/>
  <c r="O57" i="238" s="1"/>
  <c r="O56" i="171"/>
  <c r="F45" i="238"/>
  <c r="O45" i="238" s="1"/>
  <c r="O44" i="171"/>
  <c r="J56" i="238"/>
  <c r="J63" i="238" s="1"/>
  <c r="J68" i="238" s="1"/>
  <c r="J23" i="238" s="1"/>
  <c r="M62" i="171"/>
  <c r="M67" i="171" s="1"/>
  <c r="H43" i="238"/>
  <c r="H48" i="238" s="1"/>
  <c r="H53" i="238" s="1"/>
  <c r="H21" i="238" s="1"/>
  <c r="K47" i="171"/>
  <c r="G43" i="238"/>
  <c r="G48" i="238" s="1"/>
  <c r="G53" i="238" s="1"/>
  <c r="G21" i="238" s="1"/>
  <c r="J47" i="171"/>
  <c r="K43" i="238"/>
  <c r="K48" i="238" s="1"/>
  <c r="K53" i="238" s="1"/>
  <c r="K21" i="238" s="1"/>
  <c r="N47" i="171"/>
  <c r="N52" i="171" s="1"/>
  <c r="F56" i="238"/>
  <c r="I62" i="171"/>
  <c r="O55" i="171"/>
  <c r="F44" i="238"/>
  <c r="O44" i="238" s="1"/>
  <c r="O43" i="171"/>
  <c r="F43" i="238"/>
  <c r="I47" i="171"/>
  <c r="O42" i="171"/>
  <c r="J43" i="238"/>
  <c r="J48" i="238" s="1"/>
  <c r="J53" i="238" s="1"/>
  <c r="J21" i="238" s="1"/>
  <c r="M47" i="171"/>
  <c r="M52" i="171" s="1"/>
  <c r="I43" i="238"/>
  <c r="I48" i="238" s="1"/>
  <c r="I53" i="238" s="1"/>
  <c r="I21" i="238" s="1"/>
  <c r="L47" i="171"/>
  <c r="L52" i="171" s="1"/>
  <c r="K56" i="238"/>
  <c r="K63" i="238" s="1"/>
  <c r="K68" i="238" s="1"/>
  <c r="K23" i="238" s="1"/>
  <c r="N62" i="171"/>
  <c r="N67" i="171" s="1"/>
  <c r="F58" i="238"/>
  <c r="O58" i="238" s="1"/>
  <c r="O57" i="171"/>
  <c r="H56" i="238"/>
  <c r="H63" i="238" s="1"/>
  <c r="H68" i="238" s="1"/>
  <c r="H23" i="238" s="1"/>
  <c r="K62" i="171"/>
  <c r="J29" i="171"/>
  <c r="G30" i="238" s="1"/>
  <c r="J28" i="171"/>
  <c r="G29" i="238" s="1"/>
  <c r="J27" i="171"/>
  <c r="M27" i="171"/>
  <c r="M28" i="171"/>
  <c r="M29" i="171"/>
  <c r="N28" i="171"/>
  <c r="N27" i="171"/>
  <c r="N29" i="171"/>
  <c r="I27" i="171"/>
  <c r="I29" i="171"/>
  <c r="I28" i="171"/>
  <c r="K27" i="171"/>
  <c r="K29" i="171"/>
  <c r="H30" i="238" s="1"/>
  <c r="L27" i="171"/>
  <c r="L28" i="171"/>
  <c r="L29" i="171"/>
  <c r="I28" i="238" l="1"/>
  <c r="L34" i="171"/>
  <c r="L39" i="171" s="1"/>
  <c r="F30" i="238"/>
  <c r="O29" i="171"/>
  <c r="N29" i="238"/>
  <c r="K29" i="238"/>
  <c r="J28" i="238"/>
  <c r="M34" i="171"/>
  <c r="M39" i="171" s="1"/>
  <c r="L20" i="171"/>
  <c r="O52" i="171"/>
  <c r="N20" i="171"/>
  <c r="G28" i="238"/>
  <c r="G35" i="238" s="1"/>
  <c r="G40" i="238" s="1"/>
  <c r="G22" i="238" s="1"/>
  <c r="G25" i="238" s="1"/>
  <c r="H16" i="222" s="1"/>
  <c r="J34" i="171"/>
  <c r="O47" i="171"/>
  <c r="F28" i="238"/>
  <c r="I34" i="171"/>
  <c r="O27" i="171"/>
  <c r="L30" i="238"/>
  <c r="I30" i="238"/>
  <c r="H28" i="238"/>
  <c r="H35" i="238" s="1"/>
  <c r="H40" i="238" s="1"/>
  <c r="H22" i="238" s="1"/>
  <c r="H25" i="238" s="1"/>
  <c r="I16" i="222" s="1"/>
  <c r="K34" i="171"/>
  <c r="N30" i="238"/>
  <c r="K30" i="238"/>
  <c r="M30" i="238"/>
  <c r="J30" i="238"/>
  <c r="N22" i="171"/>
  <c r="M20" i="171"/>
  <c r="O43" i="238"/>
  <c r="F48" i="238"/>
  <c r="O62" i="171"/>
  <c r="M22" i="171"/>
  <c r="L22" i="171"/>
  <c r="O67" i="171"/>
  <c r="I29" i="238"/>
  <c r="L29" i="238"/>
  <c r="F29" i="238"/>
  <c r="O28" i="171"/>
  <c r="K28" i="238"/>
  <c r="K35" i="238" s="1"/>
  <c r="K40" i="238" s="1"/>
  <c r="K22" i="238" s="1"/>
  <c r="K25" i="238" s="1"/>
  <c r="L16" i="222" s="1"/>
  <c r="N34" i="171"/>
  <c r="N39" i="171" s="1"/>
  <c r="M29" i="238"/>
  <c r="J29" i="238"/>
  <c r="O56" i="238"/>
  <c r="F63" i="238"/>
  <c r="L35" i="238" l="1"/>
  <c r="L40" i="238" s="1"/>
  <c r="L22" i="238" s="1"/>
  <c r="L25" i="238" s="1"/>
  <c r="M16" i="222" s="1"/>
  <c r="M35" i="238"/>
  <c r="M40" i="238" s="1"/>
  <c r="M22" i="238" s="1"/>
  <c r="M25" i="238" s="1"/>
  <c r="N16" i="222" s="1"/>
  <c r="M21" i="171"/>
  <c r="M24" i="171" s="1"/>
  <c r="N16" i="44" s="1"/>
  <c r="F68" i="238"/>
  <c r="O63" i="238"/>
  <c r="O29" i="238"/>
  <c r="J35" i="238"/>
  <c r="J40" i="238" s="1"/>
  <c r="J22" i="238" s="1"/>
  <c r="J25" i="238" s="1"/>
  <c r="K16" i="222" s="1"/>
  <c r="O30" i="238"/>
  <c r="O34" i="171"/>
  <c r="L21" i="171"/>
  <c r="L24" i="171" s="1"/>
  <c r="O39" i="171"/>
  <c r="N21" i="171"/>
  <c r="F53" i="238"/>
  <c r="O48" i="238"/>
  <c r="O22" i="171"/>
  <c r="O28" i="238"/>
  <c r="F35" i="238"/>
  <c r="O20" i="171"/>
  <c r="N35" i="238"/>
  <c r="N40" i="238" s="1"/>
  <c r="N22" i="238" s="1"/>
  <c r="N25" i="238" s="1"/>
  <c r="O16" i="222" s="1"/>
  <c r="I35" i="238"/>
  <c r="I40" i="238" s="1"/>
  <c r="I22" i="238" s="1"/>
  <c r="I25" i="238" s="1"/>
  <c r="J16" i="222" s="1"/>
  <c r="O21" i="171" l="1"/>
  <c r="F40" i="238"/>
  <c r="O35" i="238"/>
  <c r="F21" i="238"/>
  <c r="O53" i="238"/>
  <c r="F23" i="238"/>
  <c r="O23" i="238" s="1"/>
  <c r="O68" i="238"/>
  <c r="M16" i="44"/>
  <c r="N24" i="171"/>
  <c r="O16" i="44" s="1"/>
  <c r="F22" i="238" l="1"/>
  <c r="O22" i="238" s="1"/>
  <c r="O40" i="238"/>
  <c r="O24" i="171"/>
  <c r="P16" i="44"/>
  <c r="O21" i="238"/>
  <c r="F25" i="238" l="1"/>
  <c r="O25" i="238" s="1"/>
  <c r="D19" i="48"/>
  <c r="D176" i="45"/>
  <c r="D168" i="51"/>
  <c r="G16" i="222" l="1"/>
  <c r="P16" i="222" s="1"/>
  <c r="D27" i="46"/>
  <c r="J28" i="42"/>
  <c r="D18" i="48" l="1"/>
  <c r="D20" i="48" s="1"/>
  <c r="H168" i="51" s="1"/>
  <c r="D172" i="79"/>
  <c r="D21" i="47"/>
  <c r="L28" i="42" l="1"/>
  <c r="K27" i="46"/>
  <c r="D21" i="48"/>
  <c r="F27" i="46" l="1"/>
  <c r="O27" i="46"/>
  <c r="H170" i="51"/>
  <c r="H172" i="51" s="1"/>
  <c r="P168" i="51"/>
  <c r="P170" i="51" s="1"/>
  <c r="P172" i="51" s="1"/>
  <c r="F21" i="47" l="1"/>
  <c r="D173" i="237" l="1"/>
  <c r="H173" i="237" s="1"/>
  <c r="D102" i="207" l="1"/>
  <c r="F102" i="207" s="1"/>
  <c r="I102" i="207" s="1"/>
  <c r="D106" i="213"/>
  <c r="F106" i="213" s="1"/>
  <c r="I106" i="213" s="1"/>
  <c r="D106" i="207"/>
  <c r="F106" i="207" s="1"/>
  <c r="I106" i="207" s="1"/>
  <c r="D93" i="207"/>
  <c r="F93" i="207" s="1"/>
  <c r="I93" i="207" s="1"/>
  <c r="D93" i="236"/>
  <c r="F93" i="236" s="1"/>
  <c r="I93" i="236" s="1"/>
  <c r="K93" i="207"/>
  <c r="N93" i="207" s="1"/>
  <c r="D93" i="213"/>
  <c r="F93" i="213" s="1"/>
  <c r="I93" i="213" s="1"/>
  <c r="K102" i="207"/>
  <c r="N102" i="207" s="1"/>
  <c r="D102" i="213"/>
  <c r="F102" i="213" s="1"/>
  <c r="I102" i="213" s="1"/>
  <c r="K93" i="213" l="1"/>
  <c r="N93" i="213" s="1"/>
  <c r="K102" i="213"/>
  <c r="N102" i="213" s="1"/>
  <c r="D101" i="207" l="1"/>
  <c r="F101" i="207" s="1"/>
  <c r="I101" i="207" s="1"/>
  <c r="D105" i="207"/>
  <c r="F105" i="207" s="1"/>
  <c r="I105" i="207" s="1"/>
  <c r="K101" i="236" l="1"/>
  <c r="N101" i="236" s="1"/>
  <c r="D101" i="236"/>
  <c r="F101" i="236" s="1"/>
  <c r="I101" i="236" s="1"/>
  <c r="K101" i="207"/>
  <c r="N101" i="207" s="1"/>
  <c r="K105" i="236" l="1"/>
  <c r="N105" i="236" s="1"/>
  <c r="D105" i="236"/>
  <c r="F105" i="236" s="1"/>
  <c r="I105" i="236" s="1"/>
  <c r="D93" i="237" l="1"/>
  <c r="H93" i="237" s="1"/>
  <c r="D93" i="209" l="1"/>
  <c r="F93" i="209" s="1"/>
  <c r="I93" i="209" s="1"/>
  <c r="D256" i="207" l="1"/>
  <c r="F256" i="207" s="1"/>
  <c r="I256" i="207" s="1"/>
  <c r="K256" i="207" l="1"/>
  <c r="N256" i="207" s="1"/>
  <c r="D241" i="207"/>
  <c r="F241" i="207" s="1"/>
  <c r="I241" i="207" s="1"/>
  <c r="D239" i="207"/>
  <c r="F239" i="207" s="1"/>
  <c r="I239" i="207" s="1"/>
  <c r="D240" i="207"/>
  <c r="F240" i="207" s="1"/>
  <c r="I240" i="207" s="1"/>
  <c r="D238" i="207"/>
  <c r="F238" i="207" s="1"/>
  <c r="I238" i="207" s="1"/>
  <c r="D236" i="207"/>
  <c r="F236" i="207" s="1"/>
  <c r="I236" i="207" s="1"/>
  <c r="D235" i="207"/>
  <c r="F235" i="207" s="1"/>
  <c r="I235" i="207" s="1"/>
  <c r="K245" i="207" l="1"/>
  <c r="N245" i="207" s="1"/>
  <c r="D245" i="207"/>
  <c r="F245" i="207" s="1"/>
  <c r="I245" i="207" s="1"/>
  <c r="K257" i="207"/>
  <c r="N257" i="207" s="1"/>
  <c r="D257" i="207"/>
  <c r="F257" i="207" s="1"/>
  <c r="I257" i="207" s="1"/>
  <c r="D250" i="207"/>
  <c r="F250" i="207" s="1"/>
  <c r="I250" i="207" s="1"/>
  <c r="D253" i="207"/>
  <c r="F253" i="207" s="1"/>
  <c r="I253" i="207" s="1"/>
  <c r="D246" i="207"/>
  <c r="F246" i="207" s="1"/>
  <c r="I246" i="207" s="1"/>
  <c r="K240" i="207"/>
  <c r="N240" i="207" s="1"/>
  <c r="K241" i="207"/>
  <c r="N241" i="207" s="1"/>
  <c r="D248" i="207"/>
  <c r="F248" i="207" s="1"/>
  <c r="I248" i="207" s="1"/>
  <c r="D252" i="207"/>
  <c r="F252" i="207" s="1"/>
  <c r="I252" i="207" s="1"/>
  <c r="D254" i="207"/>
  <c r="F254" i="207" s="1"/>
  <c r="I254" i="207" s="1"/>
  <c r="D247" i="207"/>
  <c r="F247" i="207" s="1"/>
  <c r="I247" i="207" s="1"/>
  <c r="D251" i="207"/>
  <c r="F251" i="207" s="1"/>
  <c r="I251" i="207" s="1"/>
  <c r="K235" i="207"/>
  <c r="N235" i="207" s="1"/>
  <c r="K236" i="207"/>
  <c r="N236" i="207" s="1"/>
  <c r="K238" i="207"/>
  <c r="N238" i="207" s="1"/>
  <c r="K239" i="207"/>
  <c r="N239" i="207" s="1"/>
  <c r="D243" i="207" l="1"/>
  <c r="F243" i="207" s="1"/>
  <c r="I243" i="207" s="1"/>
  <c r="D242" i="207"/>
  <c r="F242" i="207" s="1"/>
  <c r="I242" i="207" s="1"/>
  <c r="D244" i="207"/>
  <c r="F244" i="207" s="1"/>
  <c r="I244" i="207" s="1"/>
  <c r="K247" i="207"/>
  <c r="N247" i="207" s="1"/>
  <c r="K252" i="207"/>
  <c r="N252" i="207" s="1"/>
  <c r="K246" i="207"/>
  <c r="N246" i="207" s="1"/>
  <c r="K251" i="207"/>
  <c r="N251" i="207" s="1"/>
  <c r="K250" i="207"/>
  <c r="N250" i="207" s="1"/>
  <c r="K254" i="207"/>
  <c r="N254" i="207" s="1"/>
  <c r="K248" i="207"/>
  <c r="N248" i="207" s="1"/>
  <c r="K253" i="207"/>
  <c r="N253" i="207" s="1"/>
  <c r="K244" i="207"/>
  <c r="N244" i="207" s="1"/>
  <c r="K242" i="207"/>
  <c r="N242" i="207" s="1"/>
  <c r="K243" i="207"/>
  <c r="N243" i="207" s="1"/>
  <c r="D243" i="213"/>
  <c r="F243" i="213" s="1"/>
  <c r="I243" i="213" s="1"/>
  <c r="D244" i="213"/>
  <c r="F244" i="213" s="1"/>
  <c r="I244" i="213" s="1"/>
  <c r="D242" i="213"/>
  <c r="F242" i="213" s="1"/>
  <c r="I242" i="213" s="1"/>
  <c r="K242" i="213" l="1"/>
  <c r="N242" i="213" s="1"/>
  <c r="D249" i="207"/>
  <c r="F249" i="207" s="1"/>
  <c r="I249" i="207" s="1"/>
  <c r="D237" i="213"/>
  <c r="F237" i="213" s="1"/>
  <c r="I237" i="213" s="1"/>
  <c r="D237" i="207"/>
  <c r="F237" i="207" s="1"/>
  <c r="I237" i="207" s="1"/>
  <c r="D255" i="207"/>
  <c r="F255" i="207" s="1"/>
  <c r="I255" i="207" s="1"/>
  <c r="K249" i="207"/>
  <c r="N249" i="207" s="1"/>
  <c r="D249" i="213"/>
  <c r="F249" i="213" s="1"/>
  <c r="I249" i="213" s="1"/>
  <c r="D254" i="213"/>
  <c r="F254" i="213" s="1"/>
  <c r="I254" i="213" s="1"/>
  <c r="D251" i="213"/>
  <c r="F251" i="213" s="1"/>
  <c r="I251" i="213" s="1"/>
  <c r="D246" i="213"/>
  <c r="F246" i="213" s="1"/>
  <c r="I246" i="213" s="1"/>
  <c r="K255" i="207"/>
  <c r="N255" i="207" s="1"/>
  <c r="D253" i="213"/>
  <c r="F253" i="213" s="1"/>
  <c r="I253" i="213" s="1"/>
  <c r="D248" i="213"/>
  <c r="F248" i="213" s="1"/>
  <c r="I248" i="213" s="1"/>
  <c r="D255" i="213"/>
  <c r="F255" i="213" s="1"/>
  <c r="I255" i="213" s="1"/>
  <c r="D250" i="213"/>
  <c r="F250" i="213" s="1"/>
  <c r="I250" i="213" s="1"/>
  <c r="D252" i="213"/>
  <c r="F252" i="213" s="1"/>
  <c r="I252" i="213" s="1"/>
  <c r="K237" i="207"/>
  <c r="N237" i="207" s="1"/>
  <c r="K244" i="213"/>
  <c r="N244" i="213" s="1"/>
  <c r="K243" i="213"/>
  <c r="N243" i="213" s="1"/>
  <c r="K247" i="213" l="1"/>
  <c r="N247" i="213" s="1"/>
  <c r="D247" i="213"/>
  <c r="F247" i="213" s="1"/>
  <c r="I247" i="213" s="1"/>
  <c r="K251" i="213"/>
  <c r="N251" i="213" s="1"/>
  <c r="K252" i="213"/>
  <c r="N252" i="213" s="1"/>
  <c r="K250" i="213"/>
  <c r="N250" i="213" s="1"/>
  <c r="K248" i="213"/>
  <c r="N248" i="213" s="1"/>
  <c r="K246" i="213"/>
  <c r="N246" i="213" s="1"/>
  <c r="D105" i="213"/>
  <c r="F105" i="213" s="1"/>
  <c r="I105" i="213" s="1"/>
  <c r="D101" i="213"/>
  <c r="F101" i="213" s="1"/>
  <c r="I101" i="213" s="1"/>
  <c r="D101" i="237"/>
  <c r="H101" i="237" s="1"/>
  <c r="K254" i="213"/>
  <c r="N254" i="213" s="1"/>
  <c r="K249" i="213"/>
  <c r="N249" i="213" s="1"/>
  <c r="K255" i="213"/>
  <c r="N255" i="213" s="1"/>
  <c r="K253" i="213"/>
  <c r="N253" i="213" s="1"/>
  <c r="K237" i="213"/>
  <c r="N237" i="213" s="1"/>
  <c r="D230" i="207"/>
  <c r="F230" i="207" s="1"/>
  <c r="I230" i="207" s="1"/>
  <c r="D229" i="207"/>
  <c r="D231" i="207"/>
  <c r="F231" i="207" s="1"/>
  <c r="I231" i="207" s="1"/>
  <c r="F229" i="207" l="1"/>
  <c r="D105" i="237"/>
  <c r="H105" i="237" s="1"/>
  <c r="K101" i="209"/>
  <c r="N101" i="209" s="1"/>
  <c r="K101" i="213"/>
  <c r="N101" i="213" s="1"/>
  <c r="K230" i="207"/>
  <c r="N230" i="207" s="1"/>
  <c r="D234" i="207"/>
  <c r="F234" i="207" s="1"/>
  <c r="I234" i="207" s="1"/>
  <c r="K231" i="207"/>
  <c r="N231" i="207" s="1"/>
  <c r="D232" i="207"/>
  <c r="F232" i="207" s="1"/>
  <c r="I232" i="207" s="1"/>
  <c r="K229" i="207"/>
  <c r="D233" i="207"/>
  <c r="F233" i="207" s="1"/>
  <c r="I233" i="207" s="1"/>
  <c r="D105" i="209" l="1"/>
  <c r="F105" i="209" s="1"/>
  <c r="I105" i="209" s="1"/>
  <c r="D101" i="209"/>
  <c r="F101" i="209" s="1"/>
  <c r="I101" i="209" s="1"/>
  <c r="N229" i="207"/>
  <c r="I229" i="207"/>
  <c r="I259" i="207" s="1"/>
  <c r="F259" i="207"/>
  <c r="D259" i="207"/>
  <c r="K105" i="209"/>
  <c r="N105" i="209" s="1"/>
  <c r="K232" i="207"/>
  <c r="N232" i="207" s="1"/>
  <c r="K233" i="207"/>
  <c r="N233" i="207" s="1"/>
  <c r="K234" i="207"/>
  <c r="N234" i="207" s="1"/>
  <c r="N259" i="207" l="1"/>
  <c r="K259" i="207"/>
  <c r="D256" i="213" l="1"/>
  <c r="F256" i="213" s="1"/>
  <c r="I256" i="213" s="1"/>
  <c r="D235" i="213" l="1"/>
  <c r="F235" i="213" s="1"/>
  <c r="I235" i="213" s="1"/>
  <c r="D239" i="213"/>
  <c r="F239" i="213" s="1"/>
  <c r="I239" i="213" s="1"/>
  <c r="K256" i="213"/>
  <c r="N256" i="213" s="1"/>
  <c r="D236" i="213"/>
  <c r="F236" i="213" s="1"/>
  <c r="I236" i="213" s="1"/>
  <c r="D240" i="213"/>
  <c r="F240" i="213" s="1"/>
  <c r="I240" i="213" s="1"/>
  <c r="D241" i="213"/>
  <c r="F241" i="213" s="1"/>
  <c r="I241" i="213" s="1"/>
  <c r="D257" i="213"/>
  <c r="F257" i="213" s="1"/>
  <c r="I257" i="213" s="1"/>
  <c r="D245" i="213"/>
  <c r="F245" i="213" s="1"/>
  <c r="I245" i="213" s="1"/>
  <c r="D238" i="213"/>
  <c r="F238" i="213" s="1"/>
  <c r="I238" i="213" s="1"/>
  <c r="K238" i="213" l="1"/>
  <c r="N238" i="213" s="1"/>
  <c r="K257" i="213"/>
  <c r="N257" i="213" s="1"/>
  <c r="K240" i="213"/>
  <c r="N240" i="213" s="1"/>
  <c r="K235" i="213"/>
  <c r="N235" i="213" s="1"/>
  <c r="K245" i="213"/>
  <c r="N245" i="213" s="1"/>
  <c r="K241" i="213"/>
  <c r="N241" i="213" s="1"/>
  <c r="K236" i="213"/>
  <c r="N236" i="213" s="1"/>
  <c r="K239" i="213"/>
  <c r="N239" i="213" s="1"/>
  <c r="D229" i="213" l="1"/>
  <c r="F229" i="213" l="1"/>
  <c r="I229" i="213" s="1"/>
  <c r="K229" i="213"/>
  <c r="D231" i="213"/>
  <c r="F231" i="213" s="1"/>
  <c r="I231" i="213" s="1"/>
  <c r="N229" i="213" l="1"/>
  <c r="K231" i="213"/>
  <c r="N231" i="213" s="1"/>
  <c r="D230" i="213" l="1"/>
  <c r="D234" i="213"/>
  <c r="F234" i="213" s="1"/>
  <c r="I234" i="213" s="1"/>
  <c r="F230" i="213" l="1"/>
  <c r="K234" i="213"/>
  <c r="N234" i="213" s="1"/>
  <c r="K230" i="213"/>
  <c r="D233" i="213"/>
  <c r="F233" i="213" s="1"/>
  <c r="I233" i="213" s="1"/>
  <c r="D232" i="213" l="1"/>
  <c r="N230" i="213"/>
  <c r="I230" i="213"/>
  <c r="K232" i="213"/>
  <c r="N232" i="213" s="1"/>
  <c r="K233" i="213"/>
  <c r="N233" i="213" s="1"/>
  <c r="F232" i="213" l="1"/>
  <c r="D259" i="213"/>
  <c r="K259" i="213"/>
  <c r="N259" i="213"/>
  <c r="I232" i="213" l="1"/>
  <c r="I259" i="213" s="1"/>
  <c r="F259" i="213"/>
  <c r="D164" i="207" l="1"/>
  <c r="F164" i="207" s="1"/>
  <c r="I164" i="207" s="1"/>
  <c r="K164" i="207"/>
  <c r="N164" i="207" s="1"/>
  <c r="D164" i="213"/>
  <c r="F164" i="213" s="1"/>
  <c r="I164" i="213" s="1"/>
  <c r="K164" i="213" l="1"/>
  <c r="N164" i="213" s="1"/>
  <c r="D156" i="207" l="1"/>
  <c r="F156" i="207" s="1"/>
  <c r="I156" i="207" s="1"/>
  <c r="D157" i="207"/>
  <c r="F157" i="207" s="1"/>
  <c r="I157" i="207" s="1"/>
  <c r="D163" i="207"/>
  <c r="F163" i="207" s="1"/>
  <c r="I163" i="207" s="1"/>
  <c r="D159" i="207"/>
  <c r="F159" i="207" s="1"/>
  <c r="I159" i="207" s="1"/>
  <c r="K160" i="236" l="1"/>
  <c r="N160" i="236" s="1"/>
  <c r="D160" i="236"/>
  <c r="F160" i="236" s="1"/>
  <c r="I160" i="236" s="1"/>
  <c r="K157" i="236"/>
  <c r="N157" i="236" s="1"/>
  <c r="D157" i="236"/>
  <c r="F157" i="236" s="1"/>
  <c r="I157" i="236" s="1"/>
  <c r="D161" i="207"/>
  <c r="F161" i="207" s="1"/>
  <c r="I161" i="207" s="1"/>
  <c r="D160" i="207"/>
  <c r="F160" i="207" s="1"/>
  <c r="I160" i="207" s="1"/>
  <c r="K164" i="236"/>
  <c r="N164" i="236" s="1"/>
  <c r="D164" i="236"/>
  <c r="F164" i="236" s="1"/>
  <c r="I164" i="236" s="1"/>
  <c r="K158" i="236"/>
  <c r="N158" i="236" s="1"/>
  <c r="D158" i="236"/>
  <c r="F158" i="236" s="1"/>
  <c r="I158" i="236" s="1"/>
  <c r="D162" i="207"/>
  <c r="F162" i="207" s="1"/>
  <c r="I162" i="207" s="1"/>
  <c r="D158" i="207"/>
  <c r="F158" i="207" s="1"/>
  <c r="I158" i="207" s="1"/>
  <c r="K163" i="207"/>
  <c r="N163" i="207" s="1"/>
  <c r="K159" i="207"/>
  <c r="N159" i="207" s="1"/>
  <c r="K157" i="207"/>
  <c r="N157" i="207" s="1"/>
  <c r="K156" i="207"/>
  <c r="N156" i="207" s="1"/>
  <c r="K162" i="207"/>
  <c r="N162" i="207" s="1"/>
  <c r="K161" i="207"/>
  <c r="N161" i="207" s="1"/>
  <c r="D158" i="213"/>
  <c r="F158" i="213" s="1"/>
  <c r="I158" i="213" s="1"/>
  <c r="D160" i="213"/>
  <c r="F160" i="213" s="1"/>
  <c r="I160" i="213" s="1"/>
  <c r="D161" i="213"/>
  <c r="F161" i="213" s="1"/>
  <c r="I161" i="213" s="1"/>
  <c r="D162" i="213"/>
  <c r="F162" i="213" s="1"/>
  <c r="I162" i="213" s="1"/>
  <c r="K158" i="207"/>
  <c r="N158" i="207" s="1"/>
  <c r="K160" i="207"/>
  <c r="N160" i="207" s="1"/>
  <c r="K161" i="213" l="1"/>
  <c r="N161" i="213" s="1"/>
  <c r="K158" i="213"/>
  <c r="N158" i="213" s="1"/>
  <c r="K160" i="213"/>
  <c r="N160" i="213" s="1"/>
  <c r="K162" i="213"/>
  <c r="N162" i="213" s="1"/>
  <c r="D152" i="207" l="1"/>
  <c r="F152" i="207" l="1"/>
  <c r="D122" i="207"/>
  <c r="F122" i="207" s="1"/>
  <c r="I122" i="207" s="1"/>
  <c r="K152" i="207"/>
  <c r="D121" i="207"/>
  <c r="I152" i="207" l="1"/>
  <c r="F121" i="207"/>
  <c r="D124" i="207"/>
  <c r="N152" i="207"/>
  <c r="D165" i="236"/>
  <c r="F165" i="236" s="1"/>
  <c r="I165" i="236" s="1"/>
  <c r="D168" i="207"/>
  <c r="F168" i="207" s="1"/>
  <c r="I168" i="207" s="1"/>
  <c r="K122" i="207"/>
  <c r="N122" i="207" s="1"/>
  <c r="D170" i="207"/>
  <c r="F170" i="207" s="1"/>
  <c r="I170" i="207" s="1"/>
  <c r="D171" i="207"/>
  <c r="F171" i="207" s="1"/>
  <c r="I171" i="207" s="1"/>
  <c r="D167" i="207"/>
  <c r="F167" i="207" s="1"/>
  <c r="I167" i="207" s="1"/>
  <c r="K121" i="207"/>
  <c r="D166" i="207"/>
  <c r="F166" i="207" s="1"/>
  <c r="I166" i="207" s="1"/>
  <c r="D154" i="207"/>
  <c r="F154" i="207" s="1"/>
  <c r="I154" i="207" s="1"/>
  <c r="D165" i="207"/>
  <c r="F165" i="207" s="1"/>
  <c r="I165" i="207" s="1"/>
  <c r="K169" i="207" l="1"/>
  <c r="N169" i="207" s="1"/>
  <c r="D169" i="207"/>
  <c r="F169" i="207" s="1"/>
  <c r="I169" i="207" s="1"/>
  <c r="N121" i="207"/>
  <c r="N124" i="207" s="1"/>
  <c r="K124" i="207"/>
  <c r="K153" i="207"/>
  <c r="D153" i="207"/>
  <c r="I121" i="207"/>
  <c r="I124" i="207" s="1"/>
  <c r="F124" i="207"/>
  <c r="D159" i="236"/>
  <c r="F159" i="236" s="1"/>
  <c r="I159" i="236" s="1"/>
  <c r="D163" i="236"/>
  <c r="F163" i="236" s="1"/>
  <c r="I163" i="236" s="1"/>
  <c r="K165" i="236"/>
  <c r="N165" i="236" s="1"/>
  <c r="D123" i="236"/>
  <c r="F123" i="236" s="1"/>
  <c r="I123" i="236" s="1"/>
  <c r="D153" i="236"/>
  <c r="D168" i="236"/>
  <c r="F168" i="236" s="1"/>
  <c r="I168" i="236" s="1"/>
  <c r="K171" i="207"/>
  <c r="N171" i="207" s="1"/>
  <c r="K170" i="207"/>
  <c r="N170" i="207" s="1"/>
  <c r="K168" i="207"/>
  <c r="N168" i="207" s="1"/>
  <c r="K167" i="207"/>
  <c r="N167" i="207" s="1"/>
  <c r="K154" i="207"/>
  <c r="N154" i="207" s="1"/>
  <c r="K165" i="207"/>
  <c r="N165" i="207" s="1"/>
  <c r="D172" i="207"/>
  <c r="F172" i="207" s="1"/>
  <c r="I172" i="207" s="1"/>
  <c r="D155" i="207"/>
  <c r="F155" i="207" s="1"/>
  <c r="I155" i="207" s="1"/>
  <c r="D155" i="236"/>
  <c r="F155" i="236" s="1"/>
  <c r="I155" i="236" s="1"/>
  <c r="K166" i="207"/>
  <c r="N166" i="207" s="1"/>
  <c r="D170" i="236"/>
  <c r="F170" i="236" s="1"/>
  <c r="I170" i="236" s="1"/>
  <c r="F153" i="236" l="1"/>
  <c r="F153" i="207"/>
  <c r="D174" i="207"/>
  <c r="D176" i="207" s="1"/>
  <c r="N153" i="207"/>
  <c r="K163" i="236"/>
  <c r="N163" i="236" s="1"/>
  <c r="K159" i="236"/>
  <c r="N159" i="236" s="1"/>
  <c r="K123" i="236"/>
  <c r="N123" i="236" s="1"/>
  <c r="D154" i="236"/>
  <c r="F154" i="236" s="1"/>
  <c r="I154" i="236" s="1"/>
  <c r="K153" i="236"/>
  <c r="D171" i="236"/>
  <c r="F171" i="236" s="1"/>
  <c r="I171" i="236" s="1"/>
  <c r="D169" i="236"/>
  <c r="F169" i="236" s="1"/>
  <c r="I169" i="236" s="1"/>
  <c r="K170" i="236"/>
  <c r="N170" i="236" s="1"/>
  <c r="K168" i="236"/>
  <c r="N168" i="236" s="1"/>
  <c r="K155" i="236"/>
  <c r="N155" i="236" s="1"/>
  <c r="K155" i="207"/>
  <c r="N155" i="207" s="1"/>
  <c r="K172" i="207"/>
  <c r="N172" i="207" s="1"/>
  <c r="N174" i="207" l="1"/>
  <c r="N176" i="207" s="1"/>
  <c r="D167" i="236"/>
  <c r="F167" i="236" s="1"/>
  <c r="I167" i="236" s="1"/>
  <c r="I153" i="207"/>
  <c r="I174" i="207" s="1"/>
  <c r="I176" i="207" s="1"/>
  <c r="F174" i="207"/>
  <c r="F176" i="207" s="1"/>
  <c r="D172" i="236"/>
  <c r="F172" i="236" s="1"/>
  <c r="I172" i="236" s="1"/>
  <c r="K174" i="207"/>
  <c r="K176" i="207" s="1"/>
  <c r="I153" i="236"/>
  <c r="N153" i="236"/>
  <c r="D161" i="236"/>
  <c r="F161" i="236" s="1"/>
  <c r="I161" i="236" s="1"/>
  <c r="D162" i="236"/>
  <c r="F162" i="236" s="1"/>
  <c r="I162" i="236" s="1"/>
  <c r="K172" i="236"/>
  <c r="N172" i="236" s="1"/>
  <c r="K171" i="236"/>
  <c r="N171" i="236" s="1"/>
  <c r="K154" i="236"/>
  <c r="N154" i="236" s="1"/>
  <c r="K167" i="236"/>
  <c r="N167" i="236" s="1"/>
  <c r="D156" i="236"/>
  <c r="F156" i="236" s="1"/>
  <c r="I156" i="236" s="1"/>
  <c r="K169" i="236"/>
  <c r="N169" i="236" s="1"/>
  <c r="D166" i="236"/>
  <c r="F166" i="236" s="1"/>
  <c r="I166" i="236" s="1"/>
  <c r="K173" i="236" l="1"/>
  <c r="N173" i="236" s="1"/>
  <c r="D173" i="236"/>
  <c r="F173" i="236" s="1"/>
  <c r="I173" i="236" s="1"/>
  <c r="I176" i="236" s="1"/>
  <c r="K161" i="236"/>
  <c r="N161" i="236" s="1"/>
  <c r="K162" i="236"/>
  <c r="N162" i="236" s="1"/>
  <c r="K156" i="236"/>
  <c r="N156" i="236" s="1"/>
  <c r="K166" i="236"/>
  <c r="N166" i="236" s="1"/>
  <c r="F176" i="236" l="1"/>
  <c r="D122" i="236" l="1"/>
  <c r="D125" i="236" l="1"/>
  <c r="F122" i="236"/>
  <c r="D174" i="236"/>
  <c r="D176" i="236" s="1"/>
  <c r="K174" i="236"/>
  <c r="K122" i="236"/>
  <c r="D178" i="236" l="1"/>
  <c r="F125" i="236"/>
  <c r="F178" i="236" s="1"/>
  <c r="I122" i="236"/>
  <c r="I125" i="236" s="1"/>
  <c r="I178" i="236" s="1"/>
  <c r="K125" i="236"/>
  <c r="N122" i="236"/>
  <c r="N125" i="236" s="1"/>
  <c r="N174" i="236"/>
  <c r="N176" i="236" s="1"/>
  <c r="K176" i="236"/>
  <c r="D159" i="213"/>
  <c r="F159" i="213" s="1"/>
  <c r="I159" i="213" s="1"/>
  <c r="D160" i="237"/>
  <c r="H160" i="237" s="1"/>
  <c r="D163" i="213"/>
  <c r="F163" i="213" s="1"/>
  <c r="I163" i="213" s="1"/>
  <c r="D164" i="237"/>
  <c r="H164" i="237" s="1"/>
  <c r="D156" i="213"/>
  <c r="F156" i="213" s="1"/>
  <c r="I156" i="213" s="1"/>
  <c r="D157" i="237"/>
  <c r="H157" i="237" s="1"/>
  <c r="D157" i="213"/>
  <c r="F157" i="213" s="1"/>
  <c r="I157" i="213" s="1"/>
  <c r="D158" i="237"/>
  <c r="H158" i="237" s="1"/>
  <c r="N178" i="236" l="1"/>
  <c r="K178" i="236"/>
  <c r="K156" i="213"/>
  <c r="N156" i="213" s="1"/>
  <c r="K159" i="213"/>
  <c r="N159" i="213" s="1"/>
  <c r="K157" i="213"/>
  <c r="N157" i="213" s="1"/>
  <c r="K163" i="213"/>
  <c r="N163" i="213" s="1"/>
  <c r="K159" i="209" l="1"/>
  <c r="N159" i="209" s="1"/>
  <c r="D159" i="209"/>
  <c r="F159" i="209" s="1"/>
  <c r="I159" i="209" s="1"/>
  <c r="K162" i="209"/>
  <c r="D162" i="209"/>
  <c r="K160" i="209"/>
  <c r="D160" i="209"/>
  <c r="K166" i="209"/>
  <c r="N166" i="209" s="1"/>
  <c r="D166" i="209"/>
  <c r="F166" i="209" s="1"/>
  <c r="I166" i="209" s="1"/>
  <c r="D121" i="213" l="1"/>
  <c r="F121" i="213" l="1"/>
  <c r="K121" i="213"/>
  <c r="I121" i="213" l="1"/>
  <c r="N121" i="213"/>
  <c r="D166" i="213"/>
  <c r="F166" i="213" s="1"/>
  <c r="I166" i="213" s="1"/>
  <c r="D168" i="237" l="1"/>
  <c r="H168" i="237" s="1"/>
  <c r="D123" i="237"/>
  <c r="H123" i="237" s="1"/>
  <c r="K166" i="213"/>
  <c r="N166" i="213" s="1"/>
  <c r="D122" i="213"/>
  <c r="D168" i="213"/>
  <c r="F168" i="213" s="1"/>
  <c r="I168" i="213" s="1"/>
  <c r="F122" i="213" l="1"/>
  <c r="D124" i="213"/>
  <c r="K152" i="213"/>
  <c r="D152" i="213"/>
  <c r="D154" i="213"/>
  <c r="F154" i="213" s="1"/>
  <c r="I154" i="213" s="1"/>
  <c r="K168" i="213"/>
  <c r="N168" i="213" s="1"/>
  <c r="K122" i="213"/>
  <c r="F152" i="213" l="1"/>
  <c r="N152" i="213"/>
  <c r="N122" i="213"/>
  <c r="N124" i="213" s="1"/>
  <c r="K124" i="213"/>
  <c r="I122" i="213"/>
  <c r="I124" i="213" s="1"/>
  <c r="F124" i="213"/>
  <c r="D155" i="237"/>
  <c r="H155" i="237" s="1"/>
  <c r="D166" i="237"/>
  <c r="H166" i="237" s="1"/>
  <c r="D163" i="237"/>
  <c r="H163" i="237" s="1"/>
  <c r="D167" i="237"/>
  <c r="H167" i="237" s="1"/>
  <c r="D153" i="237"/>
  <c r="D155" i="209"/>
  <c r="K154" i="213"/>
  <c r="N154" i="213" s="1"/>
  <c r="D171" i="213"/>
  <c r="F171" i="213" s="1"/>
  <c r="I171" i="213" s="1"/>
  <c r="D153" i="213"/>
  <c r="F153" i="213" s="1"/>
  <c r="I153" i="213" s="1"/>
  <c r="D125" i="209"/>
  <c r="F125" i="209" s="1"/>
  <c r="I125" i="209" s="1"/>
  <c r="F155" i="209" l="1"/>
  <c r="I152" i="213"/>
  <c r="H153" i="237"/>
  <c r="D170" i="237"/>
  <c r="H170" i="237" s="1"/>
  <c r="D169" i="209"/>
  <c r="F169" i="209" s="1"/>
  <c r="I169" i="209" s="1"/>
  <c r="D169" i="237"/>
  <c r="H169" i="237" s="1"/>
  <c r="D171" i="209"/>
  <c r="F171" i="209" s="1"/>
  <c r="I171" i="209" s="1"/>
  <c r="K155" i="209"/>
  <c r="D165" i="237"/>
  <c r="H165" i="237" s="1"/>
  <c r="K153" i="213"/>
  <c r="K171" i="213"/>
  <c r="N171" i="213" s="1"/>
  <c r="D157" i="209"/>
  <c r="F157" i="209" s="1"/>
  <c r="I157" i="209" s="1"/>
  <c r="D167" i="213"/>
  <c r="F167" i="213" s="1"/>
  <c r="I167" i="213" s="1"/>
  <c r="K125" i="209"/>
  <c r="N125" i="209" s="1"/>
  <c r="D169" i="213"/>
  <c r="F169" i="213" s="1"/>
  <c r="I169" i="213" s="1"/>
  <c r="D155" i="213"/>
  <c r="F155" i="213" s="1"/>
  <c r="I155" i="213" s="1"/>
  <c r="N155" i="209" l="1"/>
  <c r="D165" i="209"/>
  <c r="F165" i="209" s="1"/>
  <c r="I165" i="209" s="1"/>
  <c r="I155" i="209"/>
  <c r="N153" i="213"/>
  <c r="K169" i="209"/>
  <c r="N169" i="209" s="1"/>
  <c r="K171" i="209"/>
  <c r="N171" i="209" s="1"/>
  <c r="K165" i="209"/>
  <c r="N165" i="209" s="1"/>
  <c r="D156" i="237"/>
  <c r="H156" i="237" s="1"/>
  <c r="K157" i="209"/>
  <c r="N157" i="209" s="1"/>
  <c r="D165" i="213"/>
  <c r="F165" i="213" s="1"/>
  <c r="I165" i="213" s="1"/>
  <c r="K155" i="213"/>
  <c r="N155" i="213" s="1"/>
  <c r="K167" i="213"/>
  <c r="N167" i="213" s="1"/>
  <c r="K169" i="213"/>
  <c r="N169" i="213" s="1"/>
  <c r="D156" i="209"/>
  <c r="D154" i="237"/>
  <c r="F156" i="209" l="1"/>
  <c r="K172" i="209"/>
  <c r="N172" i="209" s="1"/>
  <c r="D172" i="209"/>
  <c r="F172" i="209" s="1"/>
  <c r="I172" i="209" s="1"/>
  <c r="D170" i="209"/>
  <c r="F170" i="209" s="1"/>
  <c r="I170" i="209" s="1"/>
  <c r="D171" i="237"/>
  <c r="H171" i="237" s="1"/>
  <c r="D170" i="213"/>
  <c r="F170" i="213" s="1"/>
  <c r="I170" i="213" s="1"/>
  <c r="H154" i="237"/>
  <c r="K167" i="209"/>
  <c r="N167" i="209" s="1"/>
  <c r="D167" i="209"/>
  <c r="F167" i="209" s="1"/>
  <c r="I167" i="209" s="1"/>
  <c r="D162" i="237"/>
  <c r="H162" i="237" s="1"/>
  <c r="D164" i="209"/>
  <c r="K170" i="209"/>
  <c r="N170" i="209" s="1"/>
  <c r="K165" i="213"/>
  <c r="N165" i="213" s="1"/>
  <c r="K170" i="213"/>
  <c r="N170" i="213" s="1"/>
  <c r="D172" i="213"/>
  <c r="F172" i="213" s="1"/>
  <c r="I172" i="213" s="1"/>
  <c r="K156" i="209"/>
  <c r="D158" i="209"/>
  <c r="F158" i="209" s="1"/>
  <c r="I158" i="209" s="1"/>
  <c r="I174" i="213" l="1"/>
  <c r="I176" i="213" s="1"/>
  <c r="N156" i="209"/>
  <c r="D174" i="213"/>
  <c r="D176" i="213" s="1"/>
  <c r="F174" i="213"/>
  <c r="F176" i="213" s="1"/>
  <c r="K168" i="209"/>
  <c r="N168" i="209" s="1"/>
  <c r="D168" i="209"/>
  <c r="F168" i="209" s="1"/>
  <c r="I168" i="209" s="1"/>
  <c r="I156" i="209"/>
  <c r="K164" i="209"/>
  <c r="D172" i="237"/>
  <c r="H172" i="237" s="1"/>
  <c r="D174" i="209"/>
  <c r="F174" i="209" s="1"/>
  <c r="I174" i="209" s="1"/>
  <c r="K173" i="209"/>
  <c r="N173" i="209" s="1"/>
  <c r="K172" i="213"/>
  <c r="N172" i="213" s="1"/>
  <c r="N174" i="213" s="1"/>
  <c r="N176" i="213" s="1"/>
  <c r="K158" i="209"/>
  <c r="N158" i="209" s="1"/>
  <c r="D173" i="209" l="1"/>
  <c r="F173" i="209" s="1"/>
  <c r="I173" i="209" s="1"/>
  <c r="K174" i="213"/>
  <c r="K176" i="213" s="1"/>
  <c r="D159" i="237"/>
  <c r="K174" i="209"/>
  <c r="N174" i="209" s="1"/>
  <c r="D175" i="209" l="1"/>
  <c r="F175" i="209" s="1"/>
  <c r="D161" i="209"/>
  <c r="H159" i="237"/>
  <c r="K161" i="209"/>
  <c r="D161" i="237"/>
  <c r="H161" i="237" s="1"/>
  <c r="K175" i="209"/>
  <c r="N175" i="209" s="1"/>
  <c r="H176" i="237" l="1"/>
  <c r="D176" i="237"/>
  <c r="I175" i="209"/>
  <c r="I178" i="209" s="1"/>
  <c r="F178" i="209"/>
  <c r="D163" i="209" l="1"/>
  <c r="K163" i="209"/>
  <c r="D122" i="237" l="1"/>
  <c r="D125" i="237" l="1"/>
  <c r="D178" i="237" s="1"/>
  <c r="H122" i="237"/>
  <c r="H125" i="237" s="1"/>
  <c r="H178" i="237" s="1"/>
  <c r="D124" i="209"/>
  <c r="F124" i="209" l="1"/>
  <c r="D127" i="209"/>
  <c r="K124" i="209"/>
  <c r="I124" i="209" l="1"/>
  <c r="I127" i="209" s="1"/>
  <c r="I180" i="209" s="1"/>
  <c r="F127" i="209"/>
  <c r="F180" i="209" s="1"/>
  <c r="D176" i="209"/>
  <c r="D178" i="209" s="1"/>
  <c r="D180" i="209" s="1"/>
  <c r="K127" i="209"/>
  <c r="N124" i="209"/>
  <c r="N127" i="209" s="1"/>
  <c r="K176" i="209"/>
  <c r="N176" i="209" l="1"/>
  <c r="N178" i="209" s="1"/>
  <c r="N180" i="209" s="1"/>
  <c r="K178" i="209"/>
  <c r="K180" i="209" s="1"/>
  <c r="K192" i="207" l="1"/>
  <c r="N192" i="207" s="1"/>
  <c r="D192" i="213"/>
  <c r="F192" i="213" s="1"/>
  <c r="I192" i="213" s="1"/>
  <c r="D192" i="207"/>
  <c r="F192" i="207" s="1"/>
  <c r="I192" i="207" s="1"/>
  <c r="D188" i="207"/>
  <c r="F188" i="207" s="1"/>
  <c r="I188" i="207" s="1"/>
  <c r="D204" i="207"/>
  <c r="F204" i="207" s="1"/>
  <c r="I204" i="207" s="1"/>
  <c r="D211" i="207" l="1"/>
  <c r="F211" i="207" s="1"/>
  <c r="I211" i="207" s="1"/>
  <c r="D206" i="207"/>
  <c r="F206" i="207" s="1"/>
  <c r="I206" i="207" s="1"/>
  <c r="D190" i="207"/>
  <c r="F190" i="207" s="1"/>
  <c r="I190" i="207" s="1"/>
  <c r="D205" i="213"/>
  <c r="F205" i="213" s="1"/>
  <c r="I205" i="213" s="1"/>
  <c r="D205" i="207"/>
  <c r="F205" i="207" s="1"/>
  <c r="I205" i="207" s="1"/>
  <c r="D208" i="207"/>
  <c r="F208" i="207" s="1"/>
  <c r="I208" i="207" s="1"/>
  <c r="D201" i="207"/>
  <c r="F201" i="207" s="1"/>
  <c r="I201" i="207" s="1"/>
  <c r="D194" i="207"/>
  <c r="F194" i="207" s="1"/>
  <c r="I194" i="207" s="1"/>
  <c r="D216" i="213"/>
  <c r="F216" i="213" s="1"/>
  <c r="I216" i="213" s="1"/>
  <c r="D216" i="207"/>
  <c r="F216" i="207" s="1"/>
  <c r="I216" i="207" s="1"/>
  <c r="D195" i="207"/>
  <c r="F195" i="207" s="1"/>
  <c r="I195" i="207" s="1"/>
  <c r="D198" i="213"/>
  <c r="F198" i="213" s="1"/>
  <c r="I198" i="213" s="1"/>
  <c r="D198" i="207"/>
  <c r="F198" i="207" s="1"/>
  <c r="I198" i="207" s="1"/>
  <c r="D212" i="207"/>
  <c r="F212" i="207" s="1"/>
  <c r="I212" i="207" s="1"/>
  <c r="D207" i="213"/>
  <c r="F207" i="213" s="1"/>
  <c r="I207" i="213" s="1"/>
  <c r="D207" i="207"/>
  <c r="F207" i="207" s="1"/>
  <c r="I207" i="207" s="1"/>
  <c r="D196" i="207"/>
  <c r="F196" i="207" s="1"/>
  <c r="I196" i="207" s="1"/>
  <c r="D209" i="213"/>
  <c r="F209" i="213" s="1"/>
  <c r="I209" i="213" s="1"/>
  <c r="D209" i="207"/>
  <c r="F209" i="207" s="1"/>
  <c r="I209" i="207" s="1"/>
  <c r="D191" i="207"/>
  <c r="F191" i="207" s="1"/>
  <c r="I191" i="207" s="1"/>
  <c r="D210" i="213"/>
  <c r="F210" i="213" s="1"/>
  <c r="I210" i="213" s="1"/>
  <c r="D210" i="207"/>
  <c r="F210" i="207" s="1"/>
  <c r="I210" i="207" s="1"/>
  <c r="D199" i="207"/>
  <c r="F199" i="207" s="1"/>
  <c r="I199" i="207" s="1"/>
  <c r="D203" i="213"/>
  <c r="F203" i="213" s="1"/>
  <c r="I203" i="213" s="1"/>
  <c r="D203" i="207"/>
  <c r="F203" i="207" s="1"/>
  <c r="I203" i="207" s="1"/>
  <c r="K192" i="213"/>
  <c r="N192" i="213" s="1"/>
  <c r="K212" i="207"/>
  <c r="N212" i="207" s="1"/>
  <c r="K199" i="207"/>
  <c r="N199" i="207" s="1"/>
  <c r="K201" i="207"/>
  <c r="N201" i="207" s="1"/>
  <c r="K211" i="207"/>
  <c r="N211" i="207" s="1"/>
  <c r="K194" i="207"/>
  <c r="N194" i="207" s="1"/>
  <c r="K190" i="207"/>
  <c r="N190" i="207" s="1"/>
  <c r="K205" i="207"/>
  <c r="N205" i="207" s="1"/>
  <c r="K203" i="207"/>
  <c r="N203" i="207" s="1"/>
  <c r="K191" i="207"/>
  <c r="N191" i="207" s="1"/>
  <c r="K208" i="207"/>
  <c r="N208" i="207" s="1"/>
  <c r="K209" i="207"/>
  <c r="N209" i="207" s="1"/>
  <c r="D194" i="213"/>
  <c r="F194" i="213" s="1"/>
  <c r="I194" i="213" s="1"/>
  <c r="K195" i="207"/>
  <c r="N195" i="207" s="1"/>
  <c r="K210" i="207"/>
  <c r="N210" i="207" s="1"/>
  <c r="K198" i="207"/>
  <c r="N198" i="207" s="1"/>
  <c r="K207" i="207"/>
  <c r="N207" i="207" s="1"/>
  <c r="K196" i="207"/>
  <c r="N196" i="207" s="1"/>
  <c r="D208" i="213"/>
  <c r="F208" i="213" s="1"/>
  <c r="I208" i="213" s="1"/>
  <c r="D195" i="213"/>
  <c r="F195" i="213" s="1"/>
  <c r="I195" i="213" s="1"/>
  <c r="D196" i="213"/>
  <c r="F196" i="213" s="1"/>
  <c r="I196" i="213" s="1"/>
  <c r="K204" i="207"/>
  <c r="N204" i="207" s="1"/>
  <c r="D211" i="213"/>
  <c r="F211" i="213" s="1"/>
  <c r="I211" i="213" s="1"/>
  <c r="K188" i="207"/>
  <c r="N188" i="207" s="1"/>
  <c r="K216" i="207"/>
  <c r="N216" i="207" s="1"/>
  <c r="D191" i="213"/>
  <c r="F191" i="213" s="1"/>
  <c r="I191" i="213" s="1"/>
  <c r="K206" i="207"/>
  <c r="N206" i="207" s="1"/>
  <c r="D212" i="213"/>
  <c r="F212" i="213" s="1"/>
  <c r="I212" i="213" s="1"/>
  <c r="D199" i="213"/>
  <c r="F199" i="213" s="1"/>
  <c r="I199" i="213" s="1"/>
  <c r="D190" i="213"/>
  <c r="F190" i="213" s="1"/>
  <c r="I190" i="213" s="1"/>
  <c r="D206" i="213"/>
  <c r="F206" i="213" s="1"/>
  <c r="I206" i="213" s="1"/>
  <c r="K201" i="213" l="1"/>
  <c r="N201" i="213" s="1"/>
  <c r="D201" i="213"/>
  <c r="F201" i="213" s="1"/>
  <c r="I201" i="213" s="1"/>
  <c r="K203" i="213"/>
  <c r="N203" i="213" s="1"/>
  <c r="K206" i="213"/>
  <c r="N206" i="213" s="1"/>
  <c r="K208" i="213"/>
  <c r="N208" i="213" s="1"/>
  <c r="K212" i="213"/>
  <c r="N212" i="213" s="1"/>
  <c r="K199" i="213"/>
  <c r="N199" i="213" s="1"/>
  <c r="K211" i="213"/>
  <c r="N211" i="213" s="1"/>
  <c r="D204" i="213"/>
  <c r="F204" i="213" s="1"/>
  <c r="I204" i="213" s="1"/>
  <c r="K191" i="213"/>
  <c r="N191" i="213" s="1"/>
  <c r="D188" i="213"/>
  <c r="F188" i="213" s="1"/>
  <c r="I188" i="213" s="1"/>
  <c r="K196" i="213"/>
  <c r="N196" i="213" s="1"/>
  <c r="K210" i="213"/>
  <c r="N210" i="213" s="1"/>
  <c r="K195" i="213"/>
  <c r="N195" i="213" s="1"/>
  <c r="K194" i="213"/>
  <c r="N194" i="213" s="1"/>
  <c r="K209" i="213"/>
  <c r="N209" i="213" s="1"/>
  <c r="K190" i="213"/>
  <c r="N190" i="213" s="1"/>
  <c r="K207" i="213"/>
  <c r="N207" i="213" s="1"/>
  <c r="K198" i="213"/>
  <c r="N198" i="213" s="1"/>
  <c r="K205" i="213"/>
  <c r="N205" i="213" s="1"/>
  <c r="K216" i="213"/>
  <c r="N216" i="213" s="1"/>
  <c r="K204" i="213" l="1"/>
  <c r="N204" i="213" s="1"/>
  <c r="K188" i="213"/>
  <c r="N188" i="213" s="1"/>
  <c r="D187" i="207" l="1"/>
  <c r="F187" i="207" s="1"/>
  <c r="I187" i="207" s="1"/>
  <c r="D219" i="207"/>
  <c r="F219" i="207" s="1"/>
  <c r="I219" i="207" s="1"/>
  <c r="D214" i="207"/>
  <c r="F214" i="207" s="1"/>
  <c r="I214" i="207" s="1"/>
  <c r="D193" i="207"/>
  <c r="F193" i="207" s="1"/>
  <c r="I193" i="207" s="1"/>
  <c r="D213" i="207"/>
  <c r="F213" i="207" s="1"/>
  <c r="I213" i="207" s="1"/>
  <c r="D186" i="207"/>
  <c r="F186" i="207" s="1"/>
  <c r="I186" i="207" s="1"/>
  <c r="D218" i="207"/>
  <c r="F218" i="207" s="1"/>
  <c r="I218" i="207" s="1"/>
  <c r="D202" i="207"/>
  <c r="F202" i="207" s="1"/>
  <c r="I202" i="207" s="1"/>
  <c r="D215" i="207"/>
  <c r="F215" i="207" s="1"/>
  <c r="I215" i="207" s="1"/>
  <c r="D220" i="207"/>
  <c r="F220" i="207" s="1"/>
  <c r="I220" i="207" s="1"/>
  <c r="D217" i="207"/>
  <c r="F217" i="207" s="1"/>
  <c r="I217" i="207" s="1"/>
  <c r="D197" i="207"/>
  <c r="F197" i="207" s="1"/>
  <c r="I197" i="207" s="1"/>
  <c r="D189" i="207"/>
  <c r="F189" i="207" s="1"/>
  <c r="I189" i="207" s="1"/>
  <c r="D220" i="236" l="1"/>
  <c r="F220" i="236" s="1"/>
  <c r="I220" i="236" s="1"/>
  <c r="K200" i="207"/>
  <c r="N200" i="207" s="1"/>
  <c r="D200" i="207"/>
  <c r="F200" i="207" s="1"/>
  <c r="I200" i="207" s="1"/>
  <c r="D187" i="236"/>
  <c r="F187" i="236" s="1"/>
  <c r="I187" i="236" s="1"/>
  <c r="K220" i="236"/>
  <c r="K197" i="207"/>
  <c r="N197" i="207" s="1"/>
  <c r="K189" i="207"/>
  <c r="N189" i="207" s="1"/>
  <c r="K202" i="207"/>
  <c r="N202" i="207" s="1"/>
  <c r="K186" i="207"/>
  <c r="N186" i="207" s="1"/>
  <c r="K193" i="207"/>
  <c r="N193" i="207" s="1"/>
  <c r="K219" i="207"/>
  <c r="N219" i="207" s="1"/>
  <c r="K217" i="207"/>
  <c r="N217" i="207" s="1"/>
  <c r="K214" i="207"/>
  <c r="N214" i="207" s="1"/>
  <c r="K220" i="207"/>
  <c r="N220" i="207" s="1"/>
  <c r="K215" i="207"/>
  <c r="N215" i="207" s="1"/>
  <c r="K218" i="207"/>
  <c r="N218" i="207" s="1"/>
  <c r="K213" i="207"/>
  <c r="N213" i="207" s="1"/>
  <c r="K187" i="207"/>
  <c r="N187" i="207" s="1"/>
  <c r="K187" i="236" l="1"/>
  <c r="N187" i="236" s="1"/>
  <c r="D186" i="236"/>
  <c r="F186" i="236" s="1"/>
  <c r="I186" i="236" s="1"/>
  <c r="D219" i="236"/>
  <c r="F219" i="236" s="1"/>
  <c r="I219" i="236" s="1"/>
  <c r="D218" i="236"/>
  <c r="F218" i="236" s="1"/>
  <c r="I218" i="236" s="1"/>
  <c r="D217" i="236"/>
  <c r="F217" i="236" s="1"/>
  <c r="I217" i="236" s="1"/>
  <c r="K218" i="236"/>
  <c r="N218" i="236" s="1"/>
  <c r="K219" i="236"/>
  <c r="N219" i="236" s="1"/>
  <c r="K217" i="236"/>
  <c r="N217" i="236" s="1"/>
  <c r="K186" i="236"/>
  <c r="N186" i="236" s="1"/>
  <c r="D189" i="213" l="1"/>
  <c r="F189" i="213" s="1"/>
  <c r="I189" i="213" s="1"/>
  <c r="D200" i="213"/>
  <c r="F200" i="213" s="1"/>
  <c r="I200" i="213" s="1"/>
  <c r="D186" i="213"/>
  <c r="F186" i="213" s="1"/>
  <c r="I186" i="213" s="1"/>
  <c r="D213" i="213"/>
  <c r="F213" i="213" s="1"/>
  <c r="I213" i="213" s="1"/>
  <c r="D197" i="213"/>
  <c r="F197" i="213" s="1"/>
  <c r="I197" i="213" s="1"/>
  <c r="D219" i="213"/>
  <c r="F219" i="213" s="1"/>
  <c r="I219" i="213" s="1"/>
  <c r="D187" i="213"/>
  <c r="F187" i="213" s="1"/>
  <c r="I187" i="213" s="1"/>
  <c r="D215" i="213"/>
  <c r="F215" i="213" s="1"/>
  <c r="I215" i="213" s="1"/>
  <c r="D218" i="213"/>
  <c r="F218" i="213" s="1"/>
  <c r="I218" i="213" s="1"/>
  <c r="D202" i="213"/>
  <c r="F202" i="213" s="1"/>
  <c r="I202" i="213" s="1"/>
  <c r="D214" i="213"/>
  <c r="F214" i="213" s="1"/>
  <c r="I214" i="213" s="1"/>
  <c r="D220" i="213"/>
  <c r="F220" i="213" s="1"/>
  <c r="I220" i="213" s="1"/>
  <c r="D217" i="213"/>
  <c r="F217" i="213" s="1"/>
  <c r="I217" i="213" s="1"/>
  <c r="D193" i="213"/>
  <c r="F193" i="213" s="1"/>
  <c r="I193" i="213" s="1"/>
  <c r="D187" i="237" l="1"/>
  <c r="H187" i="237" s="1"/>
  <c r="D186" i="237"/>
  <c r="H186" i="237" s="1"/>
  <c r="K220" i="213"/>
  <c r="N220" i="213" s="1"/>
  <c r="K202" i="213"/>
  <c r="N202" i="213" s="1"/>
  <c r="K219" i="213"/>
  <c r="N219" i="213" s="1"/>
  <c r="K213" i="213"/>
  <c r="N213" i="213" s="1"/>
  <c r="K200" i="213"/>
  <c r="N200" i="213" s="1"/>
  <c r="K214" i="213"/>
  <c r="N214" i="213" s="1"/>
  <c r="K217" i="213"/>
  <c r="N217" i="213" s="1"/>
  <c r="K218" i="213"/>
  <c r="N218" i="213" s="1"/>
  <c r="K187" i="213"/>
  <c r="N187" i="213" s="1"/>
  <c r="K197" i="213"/>
  <c r="N197" i="213" s="1"/>
  <c r="K186" i="213"/>
  <c r="N186" i="213" s="1"/>
  <c r="K189" i="213"/>
  <c r="N189" i="213" s="1"/>
  <c r="K193" i="213"/>
  <c r="N193" i="213" s="1"/>
  <c r="K215" i="213"/>
  <c r="N215" i="213" s="1"/>
  <c r="D189" i="209" l="1"/>
  <c r="F189" i="209" s="1"/>
  <c r="I189" i="209" s="1"/>
  <c r="K189" i="209"/>
  <c r="N189" i="209" s="1"/>
  <c r="D188" i="209" l="1"/>
  <c r="F188" i="209" s="1"/>
  <c r="I188" i="209" s="1"/>
  <c r="K188" i="209"/>
  <c r="N188" i="209" s="1"/>
  <c r="D216" i="236" l="1"/>
  <c r="F216" i="236" s="1"/>
  <c r="I216" i="236" s="1"/>
  <c r="K216" i="236"/>
  <c r="N216" i="236" s="1"/>
  <c r="D215" i="236" l="1"/>
  <c r="F215" i="236" s="1"/>
  <c r="I215" i="236" s="1"/>
  <c r="K215" i="236"/>
  <c r="N215" i="236" s="1"/>
  <c r="D210" i="236" l="1"/>
  <c r="F210" i="236" s="1"/>
  <c r="I210" i="236" s="1"/>
  <c r="D209" i="236"/>
  <c r="F209" i="236" s="1"/>
  <c r="I209" i="236" s="1"/>
  <c r="D208" i="236"/>
  <c r="F208" i="236" s="1"/>
  <c r="I208" i="236" s="1"/>
  <c r="D214" i="236"/>
  <c r="F214" i="236" s="1"/>
  <c r="I214" i="236" s="1"/>
  <c r="K210" i="236"/>
  <c r="N210" i="236" s="1"/>
  <c r="D185" i="207"/>
  <c r="F185" i="207" s="1"/>
  <c r="I185" i="207" s="1"/>
  <c r="D213" i="236" l="1"/>
  <c r="F213" i="236" s="1"/>
  <c r="I213" i="236" s="1"/>
  <c r="D184" i="207"/>
  <c r="F184" i="207" s="1"/>
  <c r="I184" i="207" s="1"/>
  <c r="K208" i="236"/>
  <c r="N208" i="236" s="1"/>
  <c r="K209" i="236"/>
  <c r="N209" i="236" s="1"/>
  <c r="D211" i="236"/>
  <c r="F211" i="236" s="1"/>
  <c r="I211" i="236" s="1"/>
  <c r="D206" i="236"/>
  <c r="F206" i="236" s="1"/>
  <c r="I206" i="236" s="1"/>
  <c r="K214" i="236"/>
  <c r="N214" i="236" s="1"/>
  <c r="K213" i="236"/>
  <c r="N213" i="236" s="1"/>
  <c r="D184" i="236"/>
  <c r="F184" i="236" s="1"/>
  <c r="I184" i="236" s="1"/>
  <c r="K185" i="207"/>
  <c r="N185" i="207" s="1"/>
  <c r="K184" i="207"/>
  <c r="N184" i="207" s="1"/>
  <c r="D202" i="236" l="1"/>
  <c r="F202" i="236" s="1"/>
  <c r="I202" i="236" s="1"/>
  <c r="D197" i="236"/>
  <c r="F197" i="236" s="1"/>
  <c r="I197" i="236" s="1"/>
  <c r="D207" i="236"/>
  <c r="F207" i="236" s="1"/>
  <c r="I207" i="236" s="1"/>
  <c r="K212" i="236"/>
  <c r="N212" i="236" s="1"/>
  <c r="D212" i="236"/>
  <c r="F212" i="236" s="1"/>
  <c r="I212" i="236" s="1"/>
  <c r="D193" i="236"/>
  <c r="F193" i="236" s="1"/>
  <c r="I193" i="236" s="1"/>
  <c r="D190" i="236"/>
  <c r="F190" i="236" s="1"/>
  <c r="I190" i="236" s="1"/>
  <c r="D189" i="236"/>
  <c r="F189" i="236" s="1"/>
  <c r="I189" i="236" s="1"/>
  <c r="K207" i="236"/>
  <c r="N207" i="236" s="1"/>
  <c r="D200" i="236"/>
  <c r="F200" i="236" s="1"/>
  <c r="I200" i="236" s="1"/>
  <c r="D191" i="236"/>
  <c r="F191" i="236" s="1"/>
  <c r="I191" i="236" s="1"/>
  <c r="D198" i="236"/>
  <c r="F198" i="236" s="1"/>
  <c r="I198" i="236" s="1"/>
  <c r="D188" i="236"/>
  <c r="F188" i="236" s="1"/>
  <c r="I188" i="236" s="1"/>
  <c r="K206" i="236"/>
  <c r="N206" i="236" s="1"/>
  <c r="K211" i="236"/>
  <c r="N211" i="236" s="1"/>
  <c r="K202" i="236"/>
  <c r="N202" i="236" s="1"/>
  <c r="K193" i="236"/>
  <c r="N193" i="236" s="1"/>
  <c r="K197" i="236"/>
  <c r="N197" i="236" s="1"/>
  <c r="K190" i="236"/>
  <c r="N190" i="236" s="1"/>
  <c r="K189" i="236"/>
  <c r="N189" i="236" s="1"/>
  <c r="K184" i="236"/>
  <c r="N184" i="236" s="1"/>
  <c r="D194" i="236" l="1"/>
  <c r="F194" i="236" s="1"/>
  <c r="I194" i="236" s="1"/>
  <c r="D199" i="236"/>
  <c r="F199" i="236" s="1"/>
  <c r="I199" i="236" s="1"/>
  <c r="D192" i="236"/>
  <c r="F192" i="236" s="1"/>
  <c r="I192" i="236" s="1"/>
  <c r="D201" i="236"/>
  <c r="F201" i="236" s="1"/>
  <c r="I201" i="236" s="1"/>
  <c r="D196" i="236"/>
  <c r="F196" i="236" s="1"/>
  <c r="I196" i="236" s="1"/>
  <c r="D185" i="236"/>
  <c r="F185" i="236" s="1"/>
  <c r="I185" i="236" s="1"/>
  <c r="K199" i="236"/>
  <c r="N199" i="236" s="1"/>
  <c r="K196" i="236"/>
  <c r="N196" i="236" s="1"/>
  <c r="K192" i="236"/>
  <c r="N192" i="236" s="1"/>
  <c r="K201" i="236"/>
  <c r="N201" i="236" s="1"/>
  <c r="K198" i="236"/>
  <c r="N198" i="236" s="1"/>
  <c r="K191" i="236"/>
  <c r="N191" i="236" s="1"/>
  <c r="D195" i="236"/>
  <c r="F195" i="236" s="1"/>
  <c r="I195" i="236" s="1"/>
  <c r="K194" i="236"/>
  <c r="N194" i="236" s="1"/>
  <c r="K200" i="236"/>
  <c r="N200" i="236" s="1"/>
  <c r="K188" i="236"/>
  <c r="N188" i="236" s="1"/>
  <c r="D205" i="236"/>
  <c r="F205" i="236" s="1"/>
  <c r="I205" i="236" s="1"/>
  <c r="K185" i="236"/>
  <c r="N185" i="236" s="1"/>
  <c r="D204" i="236" l="1"/>
  <c r="F204" i="236" s="1"/>
  <c r="I204" i="236" s="1"/>
  <c r="D203" i="236"/>
  <c r="F203" i="236" s="1"/>
  <c r="I203" i="236" s="1"/>
  <c r="K203" i="236"/>
  <c r="N203" i="236" s="1"/>
  <c r="K195" i="236"/>
  <c r="N195" i="236" s="1"/>
  <c r="K205" i="236"/>
  <c r="N205" i="236" s="1"/>
  <c r="K204" i="236"/>
  <c r="N204" i="236" s="1"/>
  <c r="D220" i="237" l="1"/>
  <c r="H220" i="237" s="1"/>
  <c r="D222" i="209" l="1"/>
  <c r="F222" i="209" s="1"/>
  <c r="I222" i="209" s="1"/>
  <c r="D219" i="237"/>
  <c r="H219" i="237" s="1"/>
  <c r="D216" i="237"/>
  <c r="H216" i="237" s="1"/>
  <c r="D218" i="237"/>
  <c r="H218" i="237" s="1"/>
  <c r="D220" i="209" l="1"/>
  <c r="F220" i="209" s="1"/>
  <c r="I220" i="209" s="1"/>
  <c r="K222" i="209"/>
  <c r="N222" i="209" s="1"/>
  <c r="D221" i="209"/>
  <c r="F221" i="209" s="1"/>
  <c r="I221" i="209" s="1"/>
  <c r="K220" i="209"/>
  <c r="N220" i="209" s="1"/>
  <c r="D217" i="237"/>
  <c r="H217" i="237" s="1"/>
  <c r="D219" i="209" l="1"/>
  <c r="F219" i="209" s="1"/>
  <c r="I219" i="209" s="1"/>
  <c r="D218" i="209"/>
  <c r="F218" i="209" s="1"/>
  <c r="I218" i="209" s="1"/>
  <c r="K218" i="209"/>
  <c r="N218" i="209" s="1"/>
  <c r="K221" i="209"/>
  <c r="N221" i="209" s="1"/>
  <c r="K219" i="209"/>
  <c r="N219" i="209" s="1"/>
  <c r="D215" i="237"/>
  <c r="H215" i="237" s="1"/>
  <c r="D184" i="213"/>
  <c r="F184" i="213" s="1"/>
  <c r="I184" i="213" s="1"/>
  <c r="D217" i="209" l="1"/>
  <c r="F217" i="209" s="1"/>
  <c r="I217" i="209" s="1"/>
  <c r="D214" i="237"/>
  <c r="H214" i="237" s="1"/>
  <c r="K217" i="209"/>
  <c r="N217" i="209" s="1"/>
  <c r="K184" i="213"/>
  <c r="N184" i="213" s="1"/>
  <c r="D185" i="213" l="1"/>
  <c r="F185" i="213" s="1"/>
  <c r="I185" i="213" s="1"/>
  <c r="D216" i="209"/>
  <c r="F216" i="209" s="1"/>
  <c r="I216" i="209" s="1"/>
  <c r="D210" i="237"/>
  <c r="H210" i="237" s="1"/>
  <c r="D209" i="237"/>
  <c r="H209" i="237" s="1"/>
  <c r="K216" i="209"/>
  <c r="N216" i="209" s="1"/>
  <c r="D185" i="237"/>
  <c r="H185" i="237" s="1"/>
  <c r="K185" i="213"/>
  <c r="N185" i="213" s="1"/>
  <c r="D186" i="209"/>
  <c r="F186" i="209" s="1"/>
  <c r="I186" i="209" s="1"/>
  <c r="D184" i="237"/>
  <c r="H184" i="237" s="1"/>
  <c r="D187" i="209" l="1"/>
  <c r="F187" i="209" s="1"/>
  <c r="I187" i="209" s="1"/>
  <c r="D212" i="209"/>
  <c r="F212" i="209" s="1"/>
  <c r="I212" i="209" s="1"/>
  <c r="K212" i="209"/>
  <c r="N212" i="209" s="1"/>
  <c r="D190" i="237"/>
  <c r="H190" i="237" s="1"/>
  <c r="D211" i="209"/>
  <c r="F211" i="209" s="1"/>
  <c r="I211" i="209" s="1"/>
  <c r="D212" i="237"/>
  <c r="H212" i="237" s="1"/>
  <c r="D211" i="237"/>
  <c r="H211" i="237" s="1"/>
  <c r="D208" i="237"/>
  <c r="H208" i="237" s="1"/>
  <c r="D213" i="237"/>
  <c r="H213" i="237" s="1"/>
  <c r="D204" i="237"/>
  <c r="H204" i="237" s="1"/>
  <c r="D203" i="237"/>
  <c r="H203" i="237" s="1"/>
  <c r="K187" i="209"/>
  <c r="N187" i="209" s="1"/>
  <c r="D188" i="237"/>
  <c r="H188" i="237" s="1"/>
  <c r="K186" i="209"/>
  <c r="N186" i="209" s="1"/>
  <c r="D192" i="209" l="1"/>
  <c r="D210" i="209"/>
  <c r="F210" i="209" s="1"/>
  <c r="I210" i="209" s="1"/>
  <c r="D214" i="209"/>
  <c r="F214" i="209" s="1"/>
  <c r="I214" i="209" s="1"/>
  <c r="D215" i="209"/>
  <c r="F215" i="209" s="1"/>
  <c r="I215" i="209" s="1"/>
  <c r="D200" i="237"/>
  <c r="H200" i="237" s="1"/>
  <c r="D201" i="237"/>
  <c r="H201" i="237" s="1"/>
  <c r="D203" i="209"/>
  <c r="D204" i="209"/>
  <c r="F204" i="209" s="1"/>
  <c r="I204" i="209" s="1"/>
  <c r="D202" i="237"/>
  <c r="H202" i="237" s="1"/>
  <c r="K211" i="209"/>
  <c r="N211" i="209" s="1"/>
  <c r="D199" i="237"/>
  <c r="H199" i="237" s="1"/>
  <c r="K214" i="209"/>
  <c r="N214" i="209" s="1"/>
  <c r="K210" i="209"/>
  <c r="N210" i="209" s="1"/>
  <c r="K215" i="209"/>
  <c r="N215" i="209" s="1"/>
  <c r="D201" i="209"/>
  <c r="D189" i="237"/>
  <c r="H189" i="237" s="1"/>
  <c r="D205" i="237"/>
  <c r="H205" i="237" s="1"/>
  <c r="D198" i="237"/>
  <c r="H198" i="237" s="1"/>
  <c r="K202" i="209"/>
  <c r="K192" i="209"/>
  <c r="D191" i="209" l="1"/>
  <c r="D206" i="209"/>
  <c r="F206" i="209" s="1"/>
  <c r="I206" i="209" s="1"/>
  <c r="D213" i="209"/>
  <c r="F213" i="209" s="1"/>
  <c r="I213" i="209" s="1"/>
  <c r="D207" i="209"/>
  <c r="F207" i="209" s="1"/>
  <c r="I207" i="209" s="1"/>
  <c r="D202" i="209"/>
  <c r="D205" i="209"/>
  <c r="F205" i="209" s="1"/>
  <c r="I205" i="209" s="1"/>
  <c r="K191" i="209"/>
  <c r="K207" i="209"/>
  <c r="N207" i="209" s="1"/>
  <c r="K201" i="209"/>
  <c r="K205" i="209"/>
  <c r="N205" i="209" s="1"/>
  <c r="K204" i="209"/>
  <c r="N204" i="209" s="1"/>
  <c r="D192" i="237"/>
  <c r="H192" i="237" s="1"/>
  <c r="D191" i="237"/>
  <c r="H191" i="237" s="1"/>
  <c r="K203" i="209"/>
  <c r="D207" i="237"/>
  <c r="H207" i="237" s="1"/>
  <c r="D197" i="237"/>
  <c r="H197" i="237" s="1"/>
  <c r="D199" i="209"/>
  <c r="K213" i="209"/>
  <c r="N213" i="209" s="1"/>
  <c r="K206" i="209"/>
  <c r="N206" i="209" s="1"/>
  <c r="D209" i="209" l="1"/>
  <c r="F209" i="209" s="1"/>
  <c r="I209" i="209" s="1"/>
  <c r="D190" i="209"/>
  <c r="D200" i="209"/>
  <c r="K200" i="209"/>
  <c r="D196" i="237"/>
  <c r="H196" i="237" s="1"/>
  <c r="D195" i="237"/>
  <c r="H195" i="237" s="1"/>
  <c r="K199" i="209"/>
  <c r="D198" i="209"/>
  <c r="K209" i="209"/>
  <c r="N209" i="209" s="1"/>
  <c r="D206" i="237"/>
  <c r="H206" i="237" s="1"/>
  <c r="D194" i="237"/>
  <c r="H194" i="237" s="1"/>
  <c r="K190" i="209"/>
  <c r="D193" i="209" l="1"/>
  <c r="D194" i="209"/>
  <c r="D208" i="209"/>
  <c r="F208" i="209" s="1"/>
  <c r="I208" i="209" s="1"/>
  <c r="K194" i="209"/>
  <c r="K198" i="209"/>
  <c r="K208" i="209"/>
  <c r="N208" i="209" s="1"/>
  <c r="K193" i="209"/>
  <c r="D196" i="209" l="1"/>
  <c r="D197" i="209"/>
  <c r="D195" i="209"/>
  <c r="D193" i="237"/>
  <c r="H193" i="237" s="1"/>
  <c r="K197" i="209"/>
  <c r="K196" i="209"/>
  <c r="K195" i="209" l="1"/>
  <c r="D16" i="207" l="1"/>
  <c r="F16" i="207" l="1"/>
  <c r="K16" i="207"/>
  <c r="N16" i="207" l="1"/>
  <c r="I16" i="207"/>
  <c r="D16" i="236" l="1"/>
  <c r="F16" i="236" l="1"/>
  <c r="K16" i="236"/>
  <c r="N16" i="236" l="1"/>
  <c r="I16" i="236"/>
  <c r="D98" i="207" l="1"/>
  <c r="F98" i="207" s="1"/>
  <c r="I98" i="207" s="1"/>
  <c r="D100" i="207"/>
  <c r="F100" i="207" s="1"/>
  <c r="I100" i="207" s="1"/>
  <c r="K100" i="207" l="1"/>
  <c r="N100" i="207" s="1"/>
  <c r="D94" i="207"/>
  <c r="F94" i="207" s="1"/>
  <c r="I94" i="207" s="1"/>
  <c r="D97" i="207"/>
  <c r="F97" i="207" s="1"/>
  <c r="I97" i="207" s="1"/>
  <c r="D99" i="207"/>
  <c r="F99" i="207" s="1"/>
  <c r="I99" i="207" s="1"/>
  <c r="D95" i="207"/>
  <c r="F95" i="207" s="1"/>
  <c r="I95" i="207" s="1"/>
  <c r="K98" i="207"/>
  <c r="N98" i="207" s="1"/>
  <c r="D96" i="207" l="1"/>
  <c r="F96" i="207" s="1"/>
  <c r="I96" i="207" s="1"/>
  <c r="K96" i="207"/>
  <c r="N96" i="207" s="1"/>
  <c r="K97" i="207"/>
  <c r="N97" i="207" s="1"/>
  <c r="K95" i="207"/>
  <c r="N95" i="207" s="1"/>
  <c r="K99" i="207"/>
  <c r="N99" i="207" s="1"/>
  <c r="K94" i="207"/>
  <c r="N94" i="207" s="1"/>
  <c r="D55" i="207"/>
  <c r="F55" i="207" s="1"/>
  <c r="I55" i="207" s="1"/>
  <c r="D51" i="207"/>
  <c r="F51" i="207" s="1"/>
  <c r="I51" i="207" s="1"/>
  <c r="D78" i="207" l="1"/>
  <c r="F78" i="207" s="1"/>
  <c r="I78" i="207" s="1"/>
  <c r="D56" i="207"/>
  <c r="F56" i="207" s="1"/>
  <c r="I56" i="207" s="1"/>
  <c r="D37" i="207"/>
  <c r="F37" i="207" s="1"/>
  <c r="I37" i="207" s="1"/>
  <c r="D72" i="207"/>
  <c r="F72" i="207" s="1"/>
  <c r="I72" i="207" s="1"/>
  <c r="D89" i="207"/>
  <c r="F89" i="207" s="1"/>
  <c r="I89" i="207" s="1"/>
  <c r="D76" i="207"/>
  <c r="F76" i="207" s="1"/>
  <c r="I76" i="207" s="1"/>
  <c r="D80" i="207"/>
  <c r="F80" i="207" s="1"/>
  <c r="I80" i="207" s="1"/>
  <c r="D91" i="207"/>
  <c r="F91" i="207" s="1"/>
  <c r="I91" i="207" s="1"/>
  <c r="D17" i="207"/>
  <c r="D52" i="207"/>
  <c r="F52" i="207" s="1"/>
  <c r="I52" i="207" s="1"/>
  <c r="D40" i="207"/>
  <c r="F40" i="207" s="1"/>
  <c r="I40" i="207" s="1"/>
  <c r="D65" i="207"/>
  <c r="F65" i="207" s="1"/>
  <c r="I65" i="207" s="1"/>
  <c r="K55" i="207"/>
  <c r="N55" i="207" s="1"/>
  <c r="K51" i="207"/>
  <c r="N51" i="207" s="1"/>
  <c r="D110" i="207"/>
  <c r="F110" i="207" s="1"/>
  <c r="I110" i="207" s="1"/>
  <c r="D31" i="207"/>
  <c r="F31" i="207" s="1"/>
  <c r="I31" i="207" s="1"/>
  <c r="D41" i="207"/>
  <c r="F41" i="207" s="1"/>
  <c r="I41" i="207" s="1"/>
  <c r="D44" i="207"/>
  <c r="F44" i="207" s="1"/>
  <c r="I44" i="207" s="1"/>
  <c r="D74" i="207"/>
  <c r="F74" i="207" s="1"/>
  <c r="I74" i="207" s="1"/>
  <c r="D70" i="207"/>
  <c r="F70" i="207" s="1"/>
  <c r="I70" i="207" s="1"/>
  <c r="K45" i="207" l="1"/>
  <c r="N45" i="207" s="1"/>
  <c r="D45" i="207"/>
  <c r="F45" i="207" s="1"/>
  <c r="I45" i="207" s="1"/>
  <c r="K36" i="207"/>
  <c r="N36" i="207" s="1"/>
  <c r="D36" i="207"/>
  <c r="F36" i="207" s="1"/>
  <c r="I36" i="207" s="1"/>
  <c r="K43" i="207"/>
  <c r="N43" i="207" s="1"/>
  <c r="D43" i="207"/>
  <c r="F43" i="207" s="1"/>
  <c r="I43" i="207" s="1"/>
  <c r="K42" i="207"/>
  <c r="N42" i="207" s="1"/>
  <c r="D42" i="207"/>
  <c r="F42" i="207" s="1"/>
  <c r="I42" i="207" s="1"/>
  <c r="K108" i="207"/>
  <c r="N108" i="207" s="1"/>
  <c r="D108" i="207"/>
  <c r="F108" i="207" s="1"/>
  <c r="I108" i="207" s="1"/>
  <c r="F17" i="207"/>
  <c r="D19" i="207"/>
  <c r="K71" i="207"/>
  <c r="N71" i="207" s="1"/>
  <c r="D71" i="207"/>
  <c r="F71" i="207" s="1"/>
  <c r="I71" i="207" s="1"/>
  <c r="K63" i="207"/>
  <c r="N63" i="207" s="1"/>
  <c r="D63" i="207"/>
  <c r="F63" i="207" s="1"/>
  <c r="I63" i="207" s="1"/>
  <c r="D72" i="236"/>
  <c r="F72" i="236" s="1"/>
  <c r="I72" i="236" s="1"/>
  <c r="D76" i="236"/>
  <c r="F76" i="236" s="1"/>
  <c r="I76" i="236" s="1"/>
  <c r="D55" i="236"/>
  <c r="F55" i="236" s="1"/>
  <c r="I55" i="236" s="1"/>
  <c r="D50" i="207"/>
  <c r="K52" i="207"/>
  <c r="N52" i="207" s="1"/>
  <c r="K91" i="207"/>
  <c r="N91" i="207" s="1"/>
  <c r="K76" i="207"/>
  <c r="N76" i="207" s="1"/>
  <c r="K89" i="207"/>
  <c r="N89" i="207" s="1"/>
  <c r="D73" i="207"/>
  <c r="F73" i="207" s="1"/>
  <c r="I73" i="207" s="1"/>
  <c r="D53" i="207"/>
  <c r="F53" i="207" s="1"/>
  <c r="I53" i="207" s="1"/>
  <c r="D109" i="207"/>
  <c r="F109" i="207" s="1"/>
  <c r="I109" i="207" s="1"/>
  <c r="D22" i="207"/>
  <c r="K70" i="207"/>
  <c r="N70" i="207" s="1"/>
  <c r="K44" i="207"/>
  <c r="N44" i="207" s="1"/>
  <c r="D75" i="207"/>
  <c r="F75" i="207" s="1"/>
  <c r="I75" i="207" s="1"/>
  <c r="D35" i="207"/>
  <c r="F35" i="207" s="1"/>
  <c r="I35" i="207" s="1"/>
  <c r="D24" i="207"/>
  <c r="F24" i="207" s="1"/>
  <c r="I24" i="207" s="1"/>
  <c r="D81" i="207"/>
  <c r="F81" i="207" s="1"/>
  <c r="I81" i="207" s="1"/>
  <c r="D67" i="207"/>
  <c r="F67" i="207" s="1"/>
  <c r="I67" i="207" s="1"/>
  <c r="K65" i="207"/>
  <c r="N65" i="207" s="1"/>
  <c r="D62" i="207"/>
  <c r="D86" i="207"/>
  <c r="K17" i="207"/>
  <c r="D23" i="207"/>
  <c r="F23" i="207" s="1"/>
  <c r="I23" i="207" s="1"/>
  <c r="D32" i="207"/>
  <c r="F32" i="207" s="1"/>
  <c r="I32" i="207" s="1"/>
  <c r="D34" i="207"/>
  <c r="F34" i="207" s="1"/>
  <c r="I34" i="207" s="1"/>
  <c r="D77" i="207"/>
  <c r="F77" i="207" s="1"/>
  <c r="I77" i="207" s="1"/>
  <c r="K41" i="207"/>
  <c r="N41" i="207" s="1"/>
  <c r="D64" i="207"/>
  <c r="F64" i="207" s="1"/>
  <c r="I64" i="207" s="1"/>
  <c r="K31" i="207"/>
  <c r="N31" i="207" s="1"/>
  <c r="D66" i="207"/>
  <c r="F66" i="207" s="1"/>
  <c r="I66" i="207" s="1"/>
  <c r="D57" i="207"/>
  <c r="F57" i="207" s="1"/>
  <c r="I57" i="207" s="1"/>
  <c r="D92" i="207"/>
  <c r="F92" i="207" s="1"/>
  <c r="I92" i="207" s="1"/>
  <c r="K74" i="207"/>
  <c r="N74" i="207" s="1"/>
  <c r="D79" i="207"/>
  <c r="F79" i="207" s="1"/>
  <c r="I79" i="207" s="1"/>
  <c r="D54" i="207"/>
  <c r="F54" i="207" s="1"/>
  <c r="I54" i="207" s="1"/>
  <c r="D87" i="207"/>
  <c r="F87" i="207" s="1"/>
  <c r="I87" i="207" s="1"/>
  <c r="K80" i="207"/>
  <c r="N80" i="207" s="1"/>
  <c r="D38" i="207"/>
  <c r="F38" i="207" s="1"/>
  <c r="I38" i="207" s="1"/>
  <c r="D39" i="207"/>
  <c r="F39" i="207" s="1"/>
  <c r="I39" i="207" s="1"/>
  <c r="K37" i="207"/>
  <c r="N37" i="207" s="1"/>
  <c r="K110" i="207"/>
  <c r="N110" i="207" s="1"/>
  <c r="K40" i="207"/>
  <c r="N40" i="207" s="1"/>
  <c r="D29" i="207"/>
  <c r="K72" i="207"/>
  <c r="N72" i="207" s="1"/>
  <c r="D33" i="207"/>
  <c r="F33" i="207" s="1"/>
  <c r="I33" i="207" s="1"/>
  <c r="K56" i="207"/>
  <c r="N56" i="207" s="1"/>
  <c r="K78" i="207"/>
  <c r="N78" i="207" s="1"/>
  <c r="K30" i="207" l="1"/>
  <c r="N30" i="207" s="1"/>
  <c r="D30" i="207"/>
  <c r="F30" i="207" s="1"/>
  <c r="I30" i="207" s="1"/>
  <c r="F62" i="207"/>
  <c r="N17" i="207"/>
  <c r="N19" i="207" s="1"/>
  <c r="K19" i="207"/>
  <c r="K88" i="207"/>
  <c r="N88" i="207" s="1"/>
  <c r="D88" i="207"/>
  <c r="F88" i="207" s="1"/>
  <c r="I88" i="207" s="1"/>
  <c r="F50" i="207"/>
  <c r="D59" i="207"/>
  <c r="I17" i="207"/>
  <c r="I19" i="207" s="1"/>
  <c r="F19" i="207"/>
  <c r="K104" i="207"/>
  <c r="N104" i="207" s="1"/>
  <c r="D104" i="207"/>
  <c r="F104" i="207" s="1"/>
  <c r="I104" i="207" s="1"/>
  <c r="K90" i="207"/>
  <c r="N90" i="207" s="1"/>
  <c r="D90" i="207"/>
  <c r="F90" i="207" s="1"/>
  <c r="I90" i="207" s="1"/>
  <c r="K69" i="207"/>
  <c r="N69" i="207" s="1"/>
  <c r="D69" i="207"/>
  <c r="F69" i="207" s="1"/>
  <c r="I69" i="207" s="1"/>
  <c r="K68" i="207"/>
  <c r="N68" i="207" s="1"/>
  <c r="D68" i="207"/>
  <c r="F68" i="207" s="1"/>
  <c r="I68" i="207" s="1"/>
  <c r="F29" i="207"/>
  <c r="D47" i="207"/>
  <c r="K103" i="207"/>
  <c r="N103" i="207" s="1"/>
  <c r="D103" i="207"/>
  <c r="F103" i="207" s="1"/>
  <c r="I103" i="207" s="1"/>
  <c r="K107" i="207"/>
  <c r="N107" i="207" s="1"/>
  <c r="D107" i="207"/>
  <c r="F107" i="207" s="1"/>
  <c r="I107" i="207" s="1"/>
  <c r="F86" i="207"/>
  <c r="F22" i="207"/>
  <c r="D26" i="207"/>
  <c r="K106" i="236"/>
  <c r="N106" i="236" s="1"/>
  <c r="D106" i="236"/>
  <c r="F106" i="236" s="1"/>
  <c r="I106" i="236" s="1"/>
  <c r="D68" i="236"/>
  <c r="F68" i="236" s="1"/>
  <c r="I68" i="236" s="1"/>
  <c r="D86" i="236"/>
  <c r="F86" i="236" s="1"/>
  <c r="I86" i="236" s="1"/>
  <c r="D34" i="236"/>
  <c r="F34" i="236" s="1"/>
  <c r="I34" i="236" s="1"/>
  <c r="D79" i="236"/>
  <c r="F79" i="236" s="1"/>
  <c r="I79" i="236" s="1"/>
  <c r="D69" i="236"/>
  <c r="F69" i="236" s="1"/>
  <c r="I69" i="236" s="1"/>
  <c r="D53" i="236"/>
  <c r="F53" i="236" s="1"/>
  <c r="I53" i="236" s="1"/>
  <c r="D67" i="236"/>
  <c r="F67" i="236" s="1"/>
  <c r="I67" i="236" s="1"/>
  <c r="D50" i="236"/>
  <c r="D87" i="236"/>
  <c r="F87" i="236" s="1"/>
  <c r="I87" i="236" s="1"/>
  <c r="D77" i="236"/>
  <c r="F77" i="236" s="1"/>
  <c r="I77" i="236" s="1"/>
  <c r="D73" i="236"/>
  <c r="F73" i="236" s="1"/>
  <c r="I73" i="236" s="1"/>
  <c r="D92" i="236"/>
  <c r="F92" i="236" s="1"/>
  <c r="I92" i="236" s="1"/>
  <c r="D29" i="236"/>
  <c r="D75" i="236"/>
  <c r="F75" i="236" s="1"/>
  <c r="I75" i="236" s="1"/>
  <c r="D88" i="236"/>
  <c r="F88" i="236" s="1"/>
  <c r="I88" i="236" s="1"/>
  <c r="D32" i="236"/>
  <c r="F32" i="236" s="1"/>
  <c r="I32" i="236" s="1"/>
  <c r="D38" i="236"/>
  <c r="F38" i="236" s="1"/>
  <c r="I38" i="236" s="1"/>
  <c r="D90" i="236"/>
  <c r="F90" i="236" s="1"/>
  <c r="I90" i="236" s="1"/>
  <c r="D42" i="236"/>
  <c r="F42" i="236" s="1"/>
  <c r="I42" i="236" s="1"/>
  <c r="D37" i="236"/>
  <c r="F37" i="236" s="1"/>
  <c r="I37" i="236" s="1"/>
  <c r="K55" i="236"/>
  <c r="N55" i="236" s="1"/>
  <c r="D40" i="236"/>
  <c r="F40" i="236" s="1"/>
  <c r="I40" i="236" s="1"/>
  <c r="K76" i="236"/>
  <c r="N76" i="236" s="1"/>
  <c r="K72" i="236"/>
  <c r="N72" i="236" s="1"/>
  <c r="D24" i="236"/>
  <c r="F24" i="236" s="1"/>
  <c r="I24" i="236" s="1"/>
  <c r="D51" i="236"/>
  <c r="F51" i="236" s="1"/>
  <c r="I51" i="236" s="1"/>
  <c r="K38" i="207"/>
  <c r="N38" i="207" s="1"/>
  <c r="K54" i="207"/>
  <c r="N54" i="207" s="1"/>
  <c r="K66" i="207"/>
  <c r="N66" i="207" s="1"/>
  <c r="K23" i="207"/>
  <c r="N23" i="207" s="1"/>
  <c r="K62" i="207"/>
  <c r="K75" i="207"/>
  <c r="N75" i="207" s="1"/>
  <c r="K109" i="207"/>
  <c r="N109" i="207" s="1"/>
  <c r="K50" i="207"/>
  <c r="K92" i="207"/>
  <c r="N92" i="207" s="1"/>
  <c r="K39" i="207"/>
  <c r="N39" i="207" s="1"/>
  <c r="K87" i="207"/>
  <c r="N87" i="207" s="1"/>
  <c r="K35" i="207"/>
  <c r="N35" i="207" s="1"/>
  <c r="K22" i="207"/>
  <c r="K73" i="207"/>
  <c r="N73" i="207" s="1"/>
  <c r="K57" i="207"/>
  <c r="N57" i="207" s="1"/>
  <c r="K33" i="207"/>
  <c r="N33" i="207" s="1"/>
  <c r="K64" i="207"/>
  <c r="N64" i="207" s="1"/>
  <c r="K67" i="207"/>
  <c r="N67" i="207" s="1"/>
  <c r="K29" i="207"/>
  <c r="K79" i="207"/>
  <c r="N79" i="207" s="1"/>
  <c r="K77" i="207"/>
  <c r="N77" i="207" s="1"/>
  <c r="K34" i="207"/>
  <c r="N34" i="207" s="1"/>
  <c r="K32" i="207"/>
  <c r="N32" i="207" s="1"/>
  <c r="K86" i="207"/>
  <c r="K81" i="207"/>
  <c r="N81" i="207" s="1"/>
  <c r="K24" i="207"/>
  <c r="N24" i="207" s="1"/>
  <c r="K53" i="207"/>
  <c r="N53" i="207" s="1"/>
  <c r="D112" i="207" l="1"/>
  <c r="N50" i="207"/>
  <c r="N59" i="207" s="1"/>
  <c r="K59" i="207"/>
  <c r="F112" i="207"/>
  <c r="I86" i="207"/>
  <c r="I112" i="207" s="1"/>
  <c r="I29" i="207"/>
  <c r="I47" i="207" s="1"/>
  <c r="H19" i="10" s="1"/>
  <c r="F47" i="207"/>
  <c r="I50" i="207"/>
  <c r="I59" i="207" s="1"/>
  <c r="H20" i="10" s="1"/>
  <c r="F59" i="207"/>
  <c r="D83" i="207"/>
  <c r="N62" i="207"/>
  <c r="N83" i="207" s="1"/>
  <c r="K83" i="207"/>
  <c r="F83" i="207"/>
  <c r="I62" i="207"/>
  <c r="I83" i="207" s="1"/>
  <c r="H21" i="10" s="1"/>
  <c r="K112" i="207"/>
  <c r="N86" i="207"/>
  <c r="N112" i="207" s="1"/>
  <c r="H17" i="10"/>
  <c r="N29" i="207"/>
  <c r="N47" i="207" s="1"/>
  <c r="K47" i="207"/>
  <c r="N22" i="207"/>
  <c r="N26" i="207" s="1"/>
  <c r="K26" i="207"/>
  <c r="I22" i="207"/>
  <c r="I26" i="207" s="1"/>
  <c r="H18" i="10" s="1"/>
  <c r="F26" i="207"/>
  <c r="D107" i="236"/>
  <c r="F107" i="236" s="1"/>
  <c r="I107" i="236" s="1"/>
  <c r="K54" i="236"/>
  <c r="N54" i="236" s="1"/>
  <c r="D54" i="236"/>
  <c r="F54" i="236" s="1"/>
  <c r="I54" i="236" s="1"/>
  <c r="D39" i="236"/>
  <c r="F39" i="236" s="1"/>
  <c r="I39" i="236" s="1"/>
  <c r="K36" i="236"/>
  <c r="N36" i="236" s="1"/>
  <c r="D36" i="236"/>
  <c r="F36" i="236" s="1"/>
  <c r="I36" i="236" s="1"/>
  <c r="D57" i="236"/>
  <c r="F57" i="236" s="1"/>
  <c r="I57" i="236" s="1"/>
  <c r="D43" i="236"/>
  <c r="F43" i="236" s="1"/>
  <c r="I43" i="236" s="1"/>
  <c r="D65" i="236"/>
  <c r="F65" i="236" s="1"/>
  <c r="I65" i="236" s="1"/>
  <c r="F29" i="236"/>
  <c r="K31" i="236"/>
  <c r="N31" i="236" s="1"/>
  <c r="D31" i="236"/>
  <c r="F31" i="236" s="1"/>
  <c r="I31" i="236" s="1"/>
  <c r="K64" i="236"/>
  <c r="N64" i="236" s="1"/>
  <c r="D64" i="236"/>
  <c r="F64" i="236" s="1"/>
  <c r="I64" i="236" s="1"/>
  <c r="K41" i="236"/>
  <c r="N41" i="236" s="1"/>
  <c r="D41" i="236"/>
  <c r="F41" i="236" s="1"/>
  <c r="I41" i="236" s="1"/>
  <c r="D80" i="236"/>
  <c r="F80" i="236" s="1"/>
  <c r="I80" i="236" s="1"/>
  <c r="D45" i="236"/>
  <c r="F45" i="236" s="1"/>
  <c r="I45" i="236" s="1"/>
  <c r="D35" i="236"/>
  <c r="F35" i="236" s="1"/>
  <c r="I35" i="236" s="1"/>
  <c r="K33" i="236"/>
  <c r="N33" i="236" s="1"/>
  <c r="D33" i="236"/>
  <c r="F33" i="236" s="1"/>
  <c r="I33" i="236" s="1"/>
  <c r="K44" i="236"/>
  <c r="N44" i="236" s="1"/>
  <c r="D44" i="236"/>
  <c r="F44" i="236" s="1"/>
  <c r="I44" i="236" s="1"/>
  <c r="K23" i="236"/>
  <c r="N23" i="236" s="1"/>
  <c r="D23" i="236"/>
  <c r="F23" i="236" s="1"/>
  <c r="I23" i="236" s="1"/>
  <c r="K30" i="236"/>
  <c r="N30" i="236" s="1"/>
  <c r="D30" i="236"/>
  <c r="F30" i="236" s="1"/>
  <c r="I30" i="236" s="1"/>
  <c r="F50" i="236"/>
  <c r="D66" i="236"/>
  <c r="F66" i="236" s="1"/>
  <c r="I66" i="236" s="1"/>
  <c r="K62" i="236"/>
  <c r="D62" i="236"/>
  <c r="K42" i="236"/>
  <c r="N42" i="236" s="1"/>
  <c r="K43" i="236"/>
  <c r="N43" i="236" s="1"/>
  <c r="K37" i="236"/>
  <c r="N37" i="236" s="1"/>
  <c r="D52" i="236"/>
  <c r="F52" i="236" s="1"/>
  <c r="I52" i="236" s="1"/>
  <c r="D89" i="236"/>
  <c r="F89" i="236" s="1"/>
  <c r="I89" i="236" s="1"/>
  <c r="D78" i="236"/>
  <c r="F78" i="236" s="1"/>
  <c r="I78" i="236" s="1"/>
  <c r="D91" i="236"/>
  <c r="F91" i="236" s="1"/>
  <c r="I91" i="236" s="1"/>
  <c r="K45" i="236"/>
  <c r="N45" i="236" s="1"/>
  <c r="K80" i="236"/>
  <c r="N80" i="236" s="1"/>
  <c r="K65" i="236"/>
  <c r="N65" i="236" s="1"/>
  <c r="K53" i="236"/>
  <c r="N53" i="236" s="1"/>
  <c r="K75" i="236"/>
  <c r="N75" i="236" s="1"/>
  <c r="K24" i="236"/>
  <c r="N24" i="236" s="1"/>
  <c r="K92" i="236"/>
  <c r="N92" i="236" s="1"/>
  <c r="K50" i="236"/>
  <c r="K87" i="236"/>
  <c r="N87" i="236" s="1"/>
  <c r="K88" i="236"/>
  <c r="N88" i="236" s="1"/>
  <c r="K79" i="236"/>
  <c r="N79" i="236" s="1"/>
  <c r="K29" i="236"/>
  <c r="K32" i="236"/>
  <c r="N32" i="236" s="1"/>
  <c r="K67" i="236"/>
  <c r="N67" i="236" s="1"/>
  <c r="K51" i="236"/>
  <c r="N51" i="236" s="1"/>
  <c r="K40" i="236"/>
  <c r="N40" i="236" s="1"/>
  <c r="K69" i="236"/>
  <c r="N69" i="236" s="1"/>
  <c r="K68" i="236"/>
  <c r="N68" i="236" s="1"/>
  <c r="K77" i="236"/>
  <c r="N77" i="236" s="1"/>
  <c r="K73" i="236"/>
  <c r="N73" i="236" s="1"/>
  <c r="K90" i="236"/>
  <c r="N90" i="236" s="1"/>
  <c r="D108" i="236"/>
  <c r="F108" i="236" s="1"/>
  <c r="I108" i="236" s="1"/>
  <c r="K34" i="236"/>
  <c r="N34" i="236" s="1"/>
  <c r="K57" i="236"/>
  <c r="N57" i="236" s="1"/>
  <c r="K86" i="236"/>
  <c r="N86" i="236" s="1"/>
  <c r="K35" i="236"/>
  <c r="N35" i="236" s="1"/>
  <c r="K38" i="236"/>
  <c r="N38" i="236" s="1"/>
  <c r="K66" i="236"/>
  <c r="N66" i="236" s="1"/>
  <c r="K39" i="236"/>
  <c r="N39" i="236" s="1"/>
  <c r="K107" i="236"/>
  <c r="N107" i="236" s="1"/>
  <c r="D114" i="207" l="1"/>
  <c r="F114" i="207"/>
  <c r="K114" i="207"/>
  <c r="N114" i="207"/>
  <c r="I114" i="207"/>
  <c r="I29" i="236"/>
  <c r="I47" i="236" s="1"/>
  <c r="F47" i="236"/>
  <c r="N50" i="236"/>
  <c r="K74" i="236"/>
  <c r="N74" i="236" s="1"/>
  <c r="D74" i="236"/>
  <c r="F74" i="236" s="1"/>
  <c r="I74" i="236" s="1"/>
  <c r="D47" i="236"/>
  <c r="N29" i="236"/>
  <c r="N47" i="236" s="1"/>
  <c r="K47" i="236"/>
  <c r="K63" i="236"/>
  <c r="N63" i="236" s="1"/>
  <c r="D63" i="236"/>
  <c r="F63" i="236" s="1"/>
  <c r="I63" i="236" s="1"/>
  <c r="F62" i="236"/>
  <c r="N62" i="236"/>
  <c r="I50" i="236"/>
  <c r="D97" i="236"/>
  <c r="F97" i="236" s="1"/>
  <c r="I97" i="236" s="1"/>
  <c r="D102" i="236"/>
  <c r="F102" i="236" s="1"/>
  <c r="I102" i="236" s="1"/>
  <c r="D109" i="236"/>
  <c r="F109" i="236" s="1"/>
  <c r="I109" i="236" s="1"/>
  <c r="K78" i="236"/>
  <c r="N78" i="236" s="1"/>
  <c r="K52" i="236"/>
  <c r="N52" i="236" s="1"/>
  <c r="K89" i="236"/>
  <c r="N89" i="236" s="1"/>
  <c r="K91" i="236"/>
  <c r="N91" i="236" s="1"/>
  <c r="K108" i="236"/>
  <c r="N108" i="236" s="1"/>
  <c r="D81" i="236" l="1"/>
  <c r="F81" i="236" s="1"/>
  <c r="I81" i="236" s="1"/>
  <c r="D95" i="236"/>
  <c r="F95" i="236" s="1"/>
  <c r="I95" i="236" s="1"/>
  <c r="I62" i="236"/>
  <c r="D99" i="236"/>
  <c r="F99" i="236" s="1"/>
  <c r="I99" i="236" s="1"/>
  <c r="K22" i="236"/>
  <c r="D22" i="236"/>
  <c r="D56" i="236"/>
  <c r="D96" i="236"/>
  <c r="F96" i="236" s="1"/>
  <c r="I96" i="236" s="1"/>
  <c r="D100" i="236"/>
  <c r="F100" i="236" s="1"/>
  <c r="I100" i="236" s="1"/>
  <c r="K102" i="236"/>
  <c r="N102" i="236" s="1"/>
  <c r="K97" i="236"/>
  <c r="N97" i="236" s="1"/>
  <c r="K96" i="236"/>
  <c r="N96" i="236" s="1"/>
  <c r="K100" i="236"/>
  <c r="N100" i="236" s="1"/>
  <c r="K109" i="236"/>
  <c r="N109" i="236" s="1"/>
  <c r="K99" i="236"/>
  <c r="N99" i="236" s="1"/>
  <c r="K95" i="236"/>
  <c r="N95" i="236" s="1"/>
  <c r="K56" i="236"/>
  <c r="N56" i="236" s="1"/>
  <c r="N59" i="236" s="1"/>
  <c r="K81" i="236"/>
  <c r="N81" i="236" s="1"/>
  <c r="D70" i="236"/>
  <c r="D71" i="236"/>
  <c r="F71" i="236" s="1"/>
  <c r="I71" i="236" s="1"/>
  <c r="D98" i="236" l="1"/>
  <c r="F98" i="236" s="1"/>
  <c r="I98" i="236" s="1"/>
  <c r="N22" i="236"/>
  <c r="N26" i="236" s="1"/>
  <c r="K26" i="236"/>
  <c r="F70" i="236"/>
  <c r="D83" i="236"/>
  <c r="F56" i="236"/>
  <c r="D59" i="236"/>
  <c r="K110" i="236"/>
  <c r="N110" i="236" s="1"/>
  <c r="D110" i="236"/>
  <c r="F110" i="236" s="1"/>
  <c r="I110" i="236" s="1"/>
  <c r="D103" i="236"/>
  <c r="F103" i="236" s="1"/>
  <c r="I103" i="236" s="1"/>
  <c r="D104" i="236"/>
  <c r="F104" i="236" s="1"/>
  <c r="I104" i="236" s="1"/>
  <c r="F22" i="236"/>
  <c r="D26" i="236"/>
  <c r="K59" i="236"/>
  <c r="K98" i="236"/>
  <c r="N98" i="236" s="1"/>
  <c r="D111" i="236"/>
  <c r="F111" i="236" s="1"/>
  <c r="I111" i="236" s="1"/>
  <c r="K103" i="236"/>
  <c r="N103" i="236" s="1"/>
  <c r="K104" i="236"/>
  <c r="N104" i="236" s="1"/>
  <c r="K71" i="236"/>
  <c r="N71" i="236" s="1"/>
  <c r="K70" i="236"/>
  <c r="N70" i="236" l="1"/>
  <c r="N83" i="236" s="1"/>
  <c r="K83" i="236"/>
  <c r="D94" i="236"/>
  <c r="F94" i="236" s="1"/>
  <c r="I94" i="236" s="1"/>
  <c r="I22" i="236"/>
  <c r="I26" i="236" s="1"/>
  <c r="F26" i="236"/>
  <c r="I56" i="236"/>
  <c r="I59" i="236" s="1"/>
  <c r="F59" i="236"/>
  <c r="I70" i="236"/>
  <c r="I83" i="236" s="1"/>
  <c r="F83" i="236"/>
  <c r="K111" i="236"/>
  <c r="N111" i="236" s="1"/>
  <c r="K94" i="236"/>
  <c r="N94" i="236" s="1"/>
  <c r="D112" i="236" l="1"/>
  <c r="F112" i="236" l="1"/>
  <c r="K112" i="236"/>
  <c r="N112" i="236" l="1"/>
  <c r="I112" i="236"/>
  <c r="D113" i="236"/>
  <c r="D17" i="236"/>
  <c r="F17" i="236" l="1"/>
  <c r="D19" i="236"/>
  <c r="F113" i="236"/>
  <c r="D115" i="236"/>
  <c r="K113" i="236"/>
  <c r="K17" i="236"/>
  <c r="D117" i="236" l="1"/>
  <c r="I17" i="236"/>
  <c r="I19" i="236" s="1"/>
  <c r="F19" i="236"/>
  <c r="N17" i="236"/>
  <c r="N19" i="236" s="1"/>
  <c r="K19" i="236"/>
  <c r="N113" i="236"/>
  <c r="N115" i="236" s="1"/>
  <c r="K115" i="236"/>
  <c r="I113" i="236"/>
  <c r="I115" i="236" s="1"/>
  <c r="F115" i="236"/>
  <c r="F117" i="236" s="1"/>
  <c r="H132" i="10"/>
  <c r="I117" i="236" l="1"/>
  <c r="N117" i="236"/>
  <c r="K117" i="236"/>
  <c r="D223" i="209" l="1"/>
  <c r="F223" i="209" s="1"/>
  <c r="I223" i="209" s="1"/>
  <c r="D221" i="236"/>
  <c r="F221" i="236" s="1"/>
  <c r="I221" i="236" s="1"/>
  <c r="K221" i="236"/>
  <c r="N221" i="236" s="1"/>
  <c r="K223" i="209" l="1"/>
  <c r="N223" i="209" s="1"/>
  <c r="D183" i="207"/>
  <c r="D222" i="207" l="1"/>
  <c r="D263" i="207" s="1"/>
  <c r="F183" i="207"/>
  <c r="K183" i="207" l="1"/>
  <c r="F222" i="207"/>
  <c r="F263" i="207" s="1"/>
  <c r="I183" i="207"/>
  <c r="I222" i="207" s="1"/>
  <c r="I263" i="207" l="1"/>
  <c r="D15" i="3" s="1"/>
  <c r="H22" i="10"/>
  <c r="H25" i="10" s="1"/>
  <c r="K222" i="207"/>
  <c r="K263" i="207" s="1"/>
  <c r="N183" i="207"/>
  <c r="N222" i="207" s="1"/>
  <c r="N263" i="207" s="1"/>
  <c r="F15" i="3" s="1"/>
  <c r="D183" i="236" l="1"/>
  <c r="D223" i="236" l="1"/>
  <c r="F183" i="236"/>
  <c r="K183" i="236"/>
  <c r="K223" i="236" l="1"/>
  <c r="N183" i="236"/>
  <c r="N223" i="236" s="1"/>
  <c r="F223" i="236"/>
  <c r="I183" i="236"/>
  <c r="I223" i="236" s="1"/>
  <c r="D183" i="213" l="1"/>
  <c r="D222" i="213" l="1"/>
  <c r="F183" i="213"/>
  <c r="K183" i="213" l="1"/>
  <c r="I183" i="213"/>
  <c r="I222" i="213" s="1"/>
  <c r="F222" i="213"/>
  <c r="K222" i="213" l="1"/>
  <c r="N183" i="213"/>
  <c r="N222" i="213" s="1"/>
  <c r="D183" i="237" l="1"/>
  <c r="D185" i="209"/>
  <c r="D225" i="209" l="1"/>
  <c r="F185" i="209"/>
  <c r="H183" i="237"/>
  <c r="H223" i="237" s="1"/>
  <c r="D223" i="237"/>
  <c r="K185" i="209"/>
  <c r="I185" i="209" l="1"/>
  <c r="I225" i="209" s="1"/>
  <c r="F225" i="209"/>
  <c r="K225" i="209"/>
  <c r="N185" i="209"/>
  <c r="N225" i="209" s="1"/>
  <c r="D95" i="213" l="1"/>
  <c r="F95" i="213" s="1"/>
  <c r="I95" i="213" s="1"/>
  <c r="D94" i="213" l="1"/>
  <c r="F94" i="213" s="1"/>
  <c r="I94" i="213" s="1"/>
  <c r="D99" i="213"/>
  <c r="F99" i="213" s="1"/>
  <c r="I99" i="213" s="1"/>
  <c r="K95" i="213"/>
  <c r="N95" i="213" s="1"/>
  <c r="D96" i="213"/>
  <c r="F96" i="213" s="1"/>
  <c r="I96" i="213" s="1"/>
  <c r="D100" i="213"/>
  <c r="F100" i="213" s="1"/>
  <c r="I100" i="213" s="1"/>
  <c r="D97" i="213"/>
  <c r="F97" i="213" s="1"/>
  <c r="I97" i="213" s="1"/>
  <c r="D98" i="213"/>
  <c r="F98" i="213" s="1"/>
  <c r="I98" i="213" s="1"/>
  <c r="K97" i="213" l="1"/>
  <c r="N97" i="213" s="1"/>
  <c r="K96" i="213"/>
  <c r="N96" i="213" s="1"/>
  <c r="K99" i="213"/>
  <c r="N99" i="213" s="1"/>
  <c r="K98" i="213"/>
  <c r="N98" i="213" s="1"/>
  <c r="K94" i="213"/>
  <c r="N94" i="213" s="1"/>
  <c r="K100" i="213"/>
  <c r="N100" i="213" s="1"/>
  <c r="D110" i="213" l="1"/>
  <c r="F110" i="213" s="1"/>
  <c r="I110" i="213" s="1"/>
  <c r="D64" i="213" l="1"/>
  <c r="F64" i="213" s="1"/>
  <c r="I64" i="213" s="1"/>
  <c r="D53" i="213"/>
  <c r="F53" i="213" s="1"/>
  <c r="I53" i="213" s="1"/>
  <c r="D78" i="213"/>
  <c r="F78" i="213" s="1"/>
  <c r="I78" i="213" s="1"/>
  <c r="K110" i="213"/>
  <c r="N110" i="213" s="1"/>
  <c r="D107" i="213"/>
  <c r="F107" i="213" s="1"/>
  <c r="I107" i="213" s="1"/>
  <c r="D54" i="213"/>
  <c r="F54" i="213" s="1"/>
  <c r="I54" i="213" s="1"/>
  <c r="D90" i="213"/>
  <c r="F90" i="213" s="1"/>
  <c r="I90" i="213" s="1"/>
  <c r="D50" i="213"/>
  <c r="D88" i="213"/>
  <c r="F88" i="213" s="1"/>
  <c r="I88" i="213" s="1"/>
  <c r="D69" i="213"/>
  <c r="F69" i="213" s="1"/>
  <c r="I69" i="213" s="1"/>
  <c r="D35" i="213"/>
  <c r="F35" i="213" s="1"/>
  <c r="I35" i="213" s="1"/>
  <c r="D42" i="213"/>
  <c r="F42" i="213" s="1"/>
  <c r="I42" i="213" s="1"/>
  <c r="D92" i="213"/>
  <c r="F92" i="213" s="1"/>
  <c r="I92" i="213" s="1"/>
  <c r="D71" i="213"/>
  <c r="F71" i="213" s="1"/>
  <c r="I71" i="213" s="1"/>
  <c r="D75" i="213"/>
  <c r="F75" i="213" s="1"/>
  <c r="I75" i="213" s="1"/>
  <c r="D41" i="213"/>
  <c r="F41" i="213" s="1"/>
  <c r="I41" i="213" s="1"/>
  <c r="D17" i="213"/>
  <c r="F17" i="213" s="1"/>
  <c r="I17" i="213" s="1"/>
  <c r="D30" i="213"/>
  <c r="F30" i="213" s="1"/>
  <c r="I30" i="213" s="1"/>
  <c r="D70" i="213"/>
  <c r="F70" i="213" s="1"/>
  <c r="I70" i="213" s="1"/>
  <c r="D37" i="213"/>
  <c r="F37" i="213" s="1"/>
  <c r="I37" i="213" s="1"/>
  <c r="D31" i="213"/>
  <c r="F31" i="213" s="1"/>
  <c r="I31" i="213" s="1"/>
  <c r="D56" i="213"/>
  <c r="F56" i="213" s="1"/>
  <c r="I56" i="213" s="1"/>
  <c r="D45" i="213"/>
  <c r="F45" i="213" s="1"/>
  <c r="I45" i="213" s="1"/>
  <c r="D103" i="213"/>
  <c r="F103" i="213" s="1"/>
  <c r="I103" i="213" s="1"/>
  <c r="D22" i="213"/>
  <c r="D74" i="213"/>
  <c r="F74" i="213" s="1"/>
  <c r="I74" i="213" s="1"/>
  <c r="D55" i="213"/>
  <c r="F55" i="213" s="1"/>
  <c r="I55" i="213" s="1"/>
  <c r="D72" i="213"/>
  <c r="F72" i="213" s="1"/>
  <c r="I72" i="213" s="1"/>
  <c r="D80" i="213"/>
  <c r="F80" i="213" s="1"/>
  <c r="I80" i="213" s="1"/>
  <c r="D39" i="213"/>
  <c r="F39" i="213" s="1"/>
  <c r="I39" i="213" s="1"/>
  <c r="D16" i="213"/>
  <c r="D36" i="213"/>
  <c r="F36" i="213" s="1"/>
  <c r="I36" i="213" s="1"/>
  <c r="D81" i="213"/>
  <c r="F81" i="213" s="1"/>
  <c r="I81" i="213" s="1"/>
  <c r="D63" i="213"/>
  <c r="F63" i="213" s="1"/>
  <c r="I63" i="213" s="1"/>
  <c r="D65" i="213"/>
  <c r="F65" i="213" s="1"/>
  <c r="I65" i="213" s="1"/>
  <c r="D104" i="213"/>
  <c r="F104" i="213" s="1"/>
  <c r="I104" i="213" s="1"/>
  <c r="F16" i="213" l="1"/>
  <c r="D19" i="213"/>
  <c r="F22" i="213"/>
  <c r="F50" i="213"/>
  <c r="K54" i="213"/>
  <c r="N54" i="213" s="1"/>
  <c r="K30" i="213"/>
  <c r="N30" i="213" s="1"/>
  <c r="K90" i="213"/>
  <c r="N90" i="213" s="1"/>
  <c r="K81" i="213"/>
  <c r="N81" i="213" s="1"/>
  <c r="K37" i="213"/>
  <c r="N37" i="213" s="1"/>
  <c r="K16" i="213"/>
  <c r="K39" i="213"/>
  <c r="N39" i="213" s="1"/>
  <c r="K55" i="213"/>
  <c r="N55" i="213" s="1"/>
  <c r="K17" i="213"/>
  <c r="N17" i="213" s="1"/>
  <c r="D42" i="237"/>
  <c r="H42" i="237" s="1"/>
  <c r="K36" i="213"/>
  <c r="N36" i="213" s="1"/>
  <c r="K80" i="213"/>
  <c r="N80" i="213" s="1"/>
  <c r="D44" i="213"/>
  <c r="F44" i="213" s="1"/>
  <c r="I44" i="213" s="1"/>
  <c r="K70" i="213"/>
  <c r="N70" i="213" s="1"/>
  <c r="D87" i="213"/>
  <c r="F87" i="213" s="1"/>
  <c r="I87" i="213" s="1"/>
  <c r="K35" i="213"/>
  <c r="N35" i="213" s="1"/>
  <c r="K45" i="213"/>
  <c r="N45" i="213" s="1"/>
  <c r="K103" i="213"/>
  <c r="N103" i="213" s="1"/>
  <c r="D57" i="213"/>
  <c r="F57" i="213" s="1"/>
  <c r="I57" i="213" s="1"/>
  <c r="K75" i="213"/>
  <c r="N75" i="213" s="1"/>
  <c r="K71" i="213"/>
  <c r="N71" i="213" s="1"/>
  <c r="K42" i="213"/>
  <c r="N42" i="213" s="1"/>
  <c r="K88" i="213"/>
  <c r="N88" i="213" s="1"/>
  <c r="K107" i="213"/>
  <c r="N107" i="213" s="1"/>
  <c r="K63" i="213"/>
  <c r="N63" i="213" s="1"/>
  <c r="D66" i="213"/>
  <c r="F66" i="213" s="1"/>
  <c r="I66" i="213" s="1"/>
  <c r="D51" i="213"/>
  <c r="F51" i="213" s="1"/>
  <c r="I51" i="213" s="1"/>
  <c r="D38" i="213"/>
  <c r="F38" i="213" s="1"/>
  <c r="I38" i="213" s="1"/>
  <c r="K56" i="213"/>
  <c r="N56" i="213" s="1"/>
  <c r="D109" i="213"/>
  <c r="F109" i="213" s="1"/>
  <c r="I109" i="213" s="1"/>
  <c r="D23" i="213"/>
  <c r="F23" i="213" s="1"/>
  <c r="I23" i="213" s="1"/>
  <c r="K41" i="213"/>
  <c r="N41" i="213" s="1"/>
  <c r="K69" i="213"/>
  <c r="N69" i="213" s="1"/>
  <c r="D24" i="213"/>
  <c r="F24" i="213" s="1"/>
  <c r="I24" i="213" s="1"/>
  <c r="D91" i="213"/>
  <c r="F91" i="213" s="1"/>
  <c r="I91" i="213" s="1"/>
  <c r="K78" i="213"/>
  <c r="N78" i="213" s="1"/>
  <c r="K104" i="213"/>
  <c r="N104" i="213" s="1"/>
  <c r="K74" i="213"/>
  <c r="N74" i="213" s="1"/>
  <c r="K22" i="213"/>
  <c r="D52" i="213"/>
  <c r="F52" i="213" s="1"/>
  <c r="I52" i="213" s="1"/>
  <c r="D86" i="213"/>
  <c r="D77" i="213"/>
  <c r="F77" i="213" s="1"/>
  <c r="I77" i="213" s="1"/>
  <c r="D67" i="213"/>
  <c r="F67" i="213" s="1"/>
  <c r="I67" i="213" s="1"/>
  <c r="D68" i="213"/>
  <c r="F68" i="213" s="1"/>
  <c r="I68" i="213" s="1"/>
  <c r="K65" i="213"/>
  <c r="N65" i="213" s="1"/>
  <c r="D79" i="213"/>
  <c r="F79" i="213" s="1"/>
  <c r="I79" i="213" s="1"/>
  <c r="K31" i="213"/>
  <c r="N31" i="213" s="1"/>
  <c r="K92" i="213"/>
  <c r="N92" i="213" s="1"/>
  <c r="D76" i="213"/>
  <c r="F76" i="213" s="1"/>
  <c r="I76" i="213" s="1"/>
  <c r="K64" i="213"/>
  <c r="N64" i="213" s="1"/>
  <c r="D89" i="213"/>
  <c r="F89" i="213" s="1"/>
  <c r="I89" i="213" s="1"/>
  <c r="K72" i="213"/>
  <c r="N72" i="213" s="1"/>
  <c r="D22" i="237"/>
  <c r="D33" i="213"/>
  <c r="F33" i="213" s="1"/>
  <c r="I33" i="213" s="1"/>
  <c r="D43" i="213"/>
  <c r="F43" i="213" s="1"/>
  <c r="I43" i="213" s="1"/>
  <c r="D29" i="213"/>
  <c r="D73" i="213"/>
  <c r="F73" i="213" s="1"/>
  <c r="I73" i="213" s="1"/>
  <c r="D40" i="213"/>
  <c r="F40" i="213" s="1"/>
  <c r="I40" i="213" s="1"/>
  <c r="K50" i="213"/>
  <c r="D34" i="213"/>
  <c r="F34" i="213" s="1"/>
  <c r="I34" i="213" s="1"/>
  <c r="D108" i="213"/>
  <c r="F108" i="213" s="1"/>
  <c r="I108" i="213" s="1"/>
  <c r="D62" i="213"/>
  <c r="D32" i="213"/>
  <c r="F32" i="213" s="1"/>
  <c r="I32" i="213" s="1"/>
  <c r="K53" i="213"/>
  <c r="N53" i="213" s="1"/>
  <c r="N50" i="213" l="1"/>
  <c r="N16" i="213"/>
  <c r="N19" i="213" s="1"/>
  <c r="K19" i="213"/>
  <c r="D26" i="213"/>
  <c r="N22" i="213"/>
  <c r="I22" i="213"/>
  <c r="I26" i="213" s="1"/>
  <c r="G18" i="10" s="1"/>
  <c r="F26" i="213"/>
  <c r="F86" i="213"/>
  <c r="D112" i="213"/>
  <c r="D59" i="213"/>
  <c r="F62" i="213"/>
  <c r="D83" i="213"/>
  <c r="F29" i="213"/>
  <c r="D47" i="213"/>
  <c r="I50" i="213"/>
  <c r="I59" i="213" s="1"/>
  <c r="G20" i="10" s="1"/>
  <c r="F59" i="213"/>
  <c r="I16" i="213"/>
  <c r="I19" i="213" s="1"/>
  <c r="F19" i="213"/>
  <c r="D42" i="209"/>
  <c r="F42" i="209" s="1"/>
  <c r="I42" i="209" s="1"/>
  <c r="H22" i="237"/>
  <c r="K79" i="213"/>
  <c r="N79" i="213" s="1"/>
  <c r="K77" i="213"/>
  <c r="N77" i="213" s="1"/>
  <c r="K91" i="213"/>
  <c r="N91" i="213" s="1"/>
  <c r="K57" i="213"/>
  <c r="N57" i="213" s="1"/>
  <c r="K89" i="213"/>
  <c r="N89" i="213" s="1"/>
  <c r="K44" i="213"/>
  <c r="N44" i="213" s="1"/>
  <c r="K87" i="213"/>
  <c r="N87" i="213" s="1"/>
  <c r="K52" i="213"/>
  <c r="N52" i="213" s="1"/>
  <c r="K62" i="213"/>
  <c r="K40" i="213"/>
  <c r="N40" i="213" s="1"/>
  <c r="K109" i="213"/>
  <c r="N109" i="213" s="1"/>
  <c r="D78" i="237"/>
  <c r="H78" i="237" s="1"/>
  <c r="D75" i="237"/>
  <c r="H75" i="237" s="1"/>
  <c r="D17" i="237"/>
  <c r="H17" i="237" s="1"/>
  <c r="D64" i="237"/>
  <c r="H64" i="237" s="1"/>
  <c r="D88" i="237"/>
  <c r="H88" i="237" s="1"/>
  <c r="D50" i="237"/>
  <c r="D30" i="237"/>
  <c r="H30" i="237" s="1"/>
  <c r="K68" i="213"/>
  <c r="N68" i="213" s="1"/>
  <c r="D22" i="209"/>
  <c r="K66" i="213"/>
  <c r="N66" i="213" s="1"/>
  <c r="K86" i="213"/>
  <c r="K29" i="213"/>
  <c r="K34" i="213"/>
  <c r="N34" i="213" s="1"/>
  <c r="K67" i="213"/>
  <c r="N67" i="213" s="1"/>
  <c r="K42" i="209"/>
  <c r="N42" i="209" s="1"/>
  <c r="K23" i="213"/>
  <c r="N23" i="213" s="1"/>
  <c r="K38" i="213"/>
  <c r="N38" i="213" s="1"/>
  <c r="K51" i="213"/>
  <c r="N51" i="213" s="1"/>
  <c r="K108" i="213"/>
  <c r="N108" i="213" s="1"/>
  <c r="K73" i="213"/>
  <c r="N73" i="213" s="1"/>
  <c r="D63" i="237"/>
  <c r="H63" i="237" s="1"/>
  <c r="K76" i="213"/>
  <c r="N76" i="213" s="1"/>
  <c r="K24" i="213"/>
  <c r="N24" i="213" s="1"/>
  <c r="K32" i="213"/>
  <c r="N32" i="213" s="1"/>
  <c r="K43" i="213"/>
  <c r="N43" i="213" s="1"/>
  <c r="K33" i="213"/>
  <c r="N33" i="213" s="1"/>
  <c r="D56" i="237"/>
  <c r="H56" i="237" s="1"/>
  <c r="D45" i="237"/>
  <c r="H45" i="237" s="1"/>
  <c r="D36" i="237"/>
  <c r="H36" i="237" s="1"/>
  <c r="D54" i="237"/>
  <c r="H54" i="237" s="1"/>
  <c r="D53" i="237"/>
  <c r="H53" i="237" s="1"/>
  <c r="D114" i="213" l="1"/>
  <c r="D263" i="213" s="1"/>
  <c r="K112" i="213"/>
  <c r="N86" i="213"/>
  <c r="N112" i="213" s="1"/>
  <c r="N62" i="213"/>
  <c r="N83" i="213" s="1"/>
  <c r="K83" i="213"/>
  <c r="G17" i="10"/>
  <c r="I29" i="213"/>
  <c r="I47" i="213" s="1"/>
  <c r="G19" i="10" s="1"/>
  <c r="F47" i="213"/>
  <c r="K26" i="213"/>
  <c r="I62" i="213"/>
  <c r="I83" i="213" s="1"/>
  <c r="G21" i="10" s="1"/>
  <c r="F83" i="213"/>
  <c r="F112" i="213"/>
  <c r="I86" i="213"/>
  <c r="I112" i="213" s="1"/>
  <c r="G22" i="10" s="1"/>
  <c r="N26" i="213"/>
  <c r="K59" i="213"/>
  <c r="K47" i="213"/>
  <c r="N29" i="213"/>
  <c r="N47" i="213" s="1"/>
  <c r="N59" i="213"/>
  <c r="H50" i="237"/>
  <c r="F22" i="209"/>
  <c r="K22" i="209"/>
  <c r="D104" i="237"/>
  <c r="H104" i="237" s="1"/>
  <c r="D36" i="209"/>
  <c r="F36" i="209" s="1"/>
  <c r="I36" i="209" s="1"/>
  <c r="D53" i="209"/>
  <c r="F53" i="209" s="1"/>
  <c r="I53" i="209" s="1"/>
  <c r="D54" i="209"/>
  <c r="F54" i="209" s="1"/>
  <c r="I54" i="209" s="1"/>
  <c r="D56" i="209"/>
  <c r="F56" i="209" s="1"/>
  <c r="I56" i="209" s="1"/>
  <c r="D75" i="209"/>
  <c r="F75" i="209" s="1"/>
  <c r="I75" i="209" s="1"/>
  <c r="D63" i="209"/>
  <c r="F63" i="209" s="1"/>
  <c r="I63" i="209" s="1"/>
  <c r="D64" i="209"/>
  <c r="F64" i="209" s="1"/>
  <c r="I64" i="209" s="1"/>
  <c r="D29" i="237"/>
  <c r="D35" i="237"/>
  <c r="H35" i="237" s="1"/>
  <c r="D72" i="237"/>
  <c r="H72" i="237" s="1"/>
  <c r="D37" i="237"/>
  <c r="H37" i="237" s="1"/>
  <c r="D74" i="237"/>
  <c r="H74" i="237" s="1"/>
  <c r="D39" i="237"/>
  <c r="H39" i="237" s="1"/>
  <c r="D55" i="237"/>
  <c r="H55" i="237" s="1"/>
  <c r="D91" i="237"/>
  <c r="H91" i="237" s="1"/>
  <c r="D31" i="237"/>
  <c r="H31" i="237" s="1"/>
  <c r="D24" i="237"/>
  <c r="H24" i="237" s="1"/>
  <c r="D67" i="237"/>
  <c r="H67" i="237" s="1"/>
  <c r="D81" i="237"/>
  <c r="H81" i="237" s="1"/>
  <c r="D70" i="237"/>
  <c r="H70" i="237" s="1"/>
  <c r="D50" i="209"/>
  <c r="D88" i="209"/>
  <c r="F88" i="209" s="1"/>
  <c r="I88" i="209" s="1"/>
  <c r="D92" i="237"/>
  <c r="H92" i="237" s="1"/>
  <c r="D79" i="237"/>
  <c r="H79" i="237" s="1"/>
  <c r="D51" i="237"/>
  <c r="H51" i="237" s="1"/>
  <c r="D80" i="237"/>
  <c r="H80" i="237" s="1"/>
  <c r="D43" i="237"/>
  <c r="H43" i="237" s="1"/>
  <c r="D45" i="209"/>
  <c r="F45" i="209" s="1"/>
  <c r="I45" i="209" s="1"/>
  <c r="D30" i="209"/>
  <c r="F30" i="209" s="1"/>
  <c r="I30" i="209" s="1"/>
  <c r="D17" i="209"/>
  <c r="F17" i="209" s="1"/>
  <c r="I17" i="209" s="1"/>
  <c r="D78" i="209"/>
  <c r="F78" i="209" s="1"/>
  <c r="I78" i="209" s="1"/>
  <c r="G25" i="10" l="1"/>
  <c r="K114" i="213"/>
  <c r="K263" i="213" s="1"/>
  <c r="N114" i="213"/>
  <c r="N263" i="213" s="1"/>
  <c r="F15" i="137" s="1"/>
  <c r="F114" i="213"/>
  <c r="F263" i="213" s="1"/>
  <c r="I114" i="213"/>
  <c r="I263" i="213" s="1"/>
  <c r="D15" i="137" s="1"/>
  <c r="F50" i="209"/>
  <c r="I22" i="209"/>
  <c r="H29" i="237"/>
  <c r="N22" i="209"/>
  <c r="D104" i="209"/>
  <c r="F104" i="209" s="1"/>
  <c r="I104" i="209" s="1"/>
  <c r="D97" i="237"/>
  <c r="H97" i="237" s="1"/>
  <c r="D97" i="209"/>
  <c r="F97" i="209" s="1"/>
  <c r="I97" i="209" s="1"/>
  <c r="D102" i="209"/>
  <c r="F102" i="209" s="1"/>
  <c r="I102" i="209" s="1"/>
  <c r="D103" i="237"/>
  <c r="H103" i="237" s="1"/>
  <c r="D102" i="237"/>
  <c r="H102" i="237" s="1"/>
  <c r="K36" i="209"/>
  <c r="N36" i="209" s="1"/>
  <c r="K75" i="209"/>
  <c r="N75" i="209" s="1"/>
  <c r="K53" i="209"/>
  <c r="N53" i="209" s="1"/>
  <c r="K63" i="209"/>
  <c r="N63" i="209" s="1"/>
  <c r="K54" i="209"/>
  <c r="N54" i="209" s="1"/>
  <c r="K56" i="209"/>
  <c r="N56" i="209" s="1"/>
  <c r="K64" i="209"/>
  <c r="N64" i="209" s="1"/>
  <c r="D39" i="209"/>
  <c r="F39" i="209" s="1"/>
  <c r="I39" i="209" s="1"/>
  <c r="D81" i="209"/>
  <c r="F81" i="209" s="1"/>
  <c r="I81" i="209" s="1"/>
  <c r="D51" i="209"/>
  <c r="F51" i="209" s="1"/>
  <c r="I51" i="209" s="1"/>
  <c r="D24" i="209"/>
  <c r="F24" i="209" s="1"/>
  <c r="I24" i="209" s="1"/>
  <c r="D31" i="209"/>
  <c r="F31" i="209" s="1"/>
  <c r="I31" i="209" s="1"/>
  <c r="D43" i="209"/>
  <c r="F43" i="209" s="1"/>
  <c r="I43" i="209" s="1"/>
  <c r="D79" i="209"/>
  <c r="F79" i="209" s="1"/>
  <c r="I79" i="209" s="1"/>
  <c r="D37" i="209"/>
  <c r="F37" i="209" s="1"/>
  <c r="I37" i="209" s="1"/>
  <c r="D69" i="237"/>
  <c r="H69" i="237" s="1"/>
  <c r="D90" i="237"/>
  <c r="H90" i="237" s="1"/>
  <c r="D76" i="237"/>
  <c r="H76" i="237" s="1"/>
  <c r="D40" i="237"/>
  <c r="H40" i="237" s="1"/>
  <c r="D68" i="237"/>
  <c r="H68" i="237" s="1"/>
  <c r="D38" i="237"/>
  <c r="H38" i="237" s="1"/>
  <c r="D57" i="237"/>
  <c r="H57" i="237" s="1"/>
  <c r="D71" i="237"/>
  <c r="H71" i="237" s="1"/>
  <c r="D52" i="237"/>
  <c r="H52" i="237" s="1"/>
  <c r="K45" i="209"/>
  <c r="N45" i="209" s="1"/>
  <c r="D80" i="209"/>
  <c r="F80" i="209" s="1"/>
  <c r="I80" i="209" s="1"/>
  <c r="D92" i="209"/>
  <c r="F92" i="209" s="1"/>
  <c r="I92" i="209" s="1"/>
  <c r="D91" i="209"/>
  <c r="F91" i="209" s="1"/>
  <c r="I91" i="209" s="1"/>
  <c r="D55" i="209"/>
  <c r="F55" i="209" s="1"/>
  <c r="I55" i="209" s="1"/>
  <c r="D74" i="209"/>
  <c r="F74" i="209" s="1"/>
  <c r="I74" i="209" s="1"/>
  <c r="D72" i="209"/>
  <c r="F72" i="209" s="1"/>
  <c r="I72" i="209" s="1"/>
  <c r="D35" i="209"/>
  <c r="F35" i="209" s="1"/>
  <c r="I35" i="209" s="1"/>
  <c r="D29" i="209"/>
  <c r="K78" i="209"/>
  <c r="N78" i="209" s="1"/>
  <c r="K88" i="209"/>
  <c r="N88" i="209" s="1"/>
  <c r="D62" i="237"/>
  <c r="D77" i="237"/>
  <c r="H77" i="237" s="1"/>
  <c r="K50" i="209"/>
  <c r="D70" i="209"/>
  <c r="F70" i="209" s="1"/>
  <c r="I70" i="209" s="1"/>
  <c r="D67" i="209"/>
  <c r="F67" i="209" s="1"/>
  <c r="I67" i="209" s="1"/>
  <c r="K17" i="209"/>
  <c r="N17" i="209" s="1"/>
  <c r="K30" i="209"/>
  <c r="N30" i="209" s="1"/>
  <c r="D65" i="237"/>
  <c r="H65" i="237" s="1"/>
  <c r="D41" i="237"/>
  <c r="H41" i="237" s="1"/>
  <c r="D44" i="237"/>
  <c r="H44" i="237" s="1"/>
  <c r="D89" i="237"/>
  <c r="H89" i="237" s="1"/>
  <c r="F29" i="209" l="1"/>
  <c r="N50" i="209"/>
  <c r="H62" i="237"/>
  <c r="D59" i="237"/>
  <c r="H59" i="237"/>
  <c r="I50" i="209"/>
  <c r="K79" i="209"/>
  <c r="N79" i="209" s="1"/>
  <c r="K104" i="209"/>
  <c r="N104" i="209" s="1"/>
  <c r="K102" i="209"/>
  <c r="N102" i="209" s="1"/>
  <c r="K97" i="209"/>
  <c r="N97" i="209" s="1"/>
  <c r="D99" i="237"/>
  <c r="H99" i="237" s="1"/>
  <c r="D99" i="209"/>
  <c r="F99" i="209" s="1"/>
  <c r="I99" i="209" s="1"/>
  <c r="D103" i="209"/>
  <c r="F103" i="209" s="1"/>
  <c r="I103" i="209" s="1"/>
  <c r="D95" i="237"/>
  <c r="H95" i="237" s="1"/>
  <c r="D107" i="237"/>
  <c r="H107" i="237" s="1"/>
  <c r="D106" i="237"/>
  <c r="D107" i="209"/>
  <c r="F107" i="209" s="1"/>
  <c r="I107" i="209" s="1"/>
  <c r="K24" i="209"/>
  <c r="N24" i="209" s="1"/>
  <c r="K81" i="209"/>
  <c r="N81" i="209" s="1"/>
  <c r="K39" i="209"/>
  <c r="N39" i="209" s="1"/>
  <c r="K31" i="209"/>
  <c r="N31" i="209" s="1"/>
  <c r="K51" i="209"/>
  <c r="N51" i="209" s="1"/>
  <c r="K37" i="209"/>
  <c r="N37" i="209" s="1"/>
  <c r="D76" i="209"/>
  <c r="F76" i="209" s="1"/>
  <c r="I76" i="209" s="1"/>
  <c r="D44" i="209"/>
  <c r="F44" i="209" s="1"/>
  <c r="I44" i="209" s="1"/>
  <c r="K43" i="209"/>
  <c r="N43" i="209" s="1"/>
  <c r="D65" i="209"/>
  <c r="F65" i="209" s="1"/>
  <c r="I65" i="209" s="1"/>
  <c r="D77" i="209"/>
  <c r="F77" i="209" s="1"/>
  <c r="I77" i="209" s="1"/>
  <c r="D71" i="209"/>
  <c r="F71" i="209" s="1"/>
  <c r="I71" i="209" s="1"/>
  <c r="D38" i="209"/>
  <c r="F38" i="209" s="1"/>
  <c r="I38" i="209" s="1"/>
  <c r="D33" i="237"/>
  <c r="H33" i="237" s="1"/>
  <c r="D66" i="237"/>
  <c r="H66" i="237" s="1"/>
  <c r="D32" i="237"/>
  <c r="D73" i="237"/>
  <c r="H73" i="237" s="1"/>
  <c r="D86" i="237"/>
  <c r="H86" i="237" s="1"/>
  <c r="D87" i="237"/>
  <c r="H87" i="237" s="1"/>
  <c r="K74" i="209"/>
  <c r="N74" i="209" s="1"/>
  <c r="K92" i="209"/>
  <c r="N92" i="209" s="1"/>
  <c r="K29" i="209"/>
  <c r="K55" i="209"/>
  <c r="N55" i="209" s="1"/>
  <c r="K80" i="209"/>
  <c r="N80" i="209" s="1"/>
  <c r="D52" i="209"/>
  <c r="F52" i="209" s="1"/>
  <c r="I52" i="209" s="1"/>
  <c r="D89" i="209"/>
  <c r="F89" i="209" s="1"/>
  <c r="I89" i="209" s="1"/>
  <c r="D41" i="209"/>
  <c r="F41" i="209" s="1"/>
  <c r="I41" i="209" s="1"/>
  <c r="K67" i="209"/>
  <c r="N67" i="209" s="1"/>
  <c r="D62" i="209"/>
  <c r="K35" i="209"/>
  <c r="N35" i="209" s="1"/>
  <c r="K91" i="209"/>
  <c r="N91" i="209" s="1"/>
  <c r="D57" i="209"/>
  <c r="F57" i="209" s="1"/>
  <c r="I57" i="209" s="1"/>
  <c r="D68" i="209"/>
  <c r="F68" i="209" s="1"/>
  <c r="I68" i="209" s="1"/>
  <c r="D40" i="209"/>
  <c r="F40" i="209" s="1"/>
  <c r="I40" i="209" s="1"/>
  <c r="D90" i="209"/>
  <c r="F90" i="209" s="1"/>
  <c r="I90" i="209" s="1"/>
  <c r="K70" i="209"/>
  <c r="N70" i="209" s="1"/>
  <c r="K72" i="209"/>
  <c r="N72" i="209" s="1"/>
  <c r="D69" i="209"/>
  <c r="F69" i="209" s="1"/>
  <c r="I69" i="209" s="1"/>
  <c r="H83" i="237" l="1"/>
  <c r="I59" i="209"/>
  <c r="H32" i="237"/>
  <c r="D59" i="209"/>
  <c r="F62" i="209"/>
  <c r="F59" i="209"/>
  <c r="N29" i="209"/>
  <c r="D83" i="237"/>
  <c r="I29" i="209"/>
  <c r="H106" i="237"/>
  <c r="K77" i="209"/>
  <c r="N77" i="209" s="1"/>
  <c r="K103" i="209"/>
  <c r="N103" i="209" s="1"/>
  <c r="K107" i="209"/>
  <c r="N107" i="209" s="1"/>
  <c r="K99" i="209"/>
  <c r="N99" i="209" s="1"/>
  <c r="D98" i="237"/>
  <c r="H98" i="237" s="1"/>
  <c r="D98" i="209"/>
  <c r="F98" i="209" s="1"/>
  <c r="I98" i="209" s="1"/>
  <c r="D100" i="237"/>
  <c r="H100" i="237" s="1"/>
  <c r="D100" i="209"/>
  <c r="F100" i="209" s="1"/>
  <c r="I100" i="209" s="1"/>
  <c r="D94" i="237"/>
  <c r="H94" i="237" s="1"/>
  <c r="D94" i="209"/>
  <c r="F94" i="209" s="1"/>
  <c r="I94" i="209" s="1"/>
  <c r="D95" i="209"/>
  <c r="F95" i="209" s="1"/>
  <c r="I95" i="209" s="1"/>
  <c r="D96" i="237"/>
  <c r="H96" i="237" s="1"/>
  <c r="D106" i="209"/>
  <c r="K44" i="209"/>
  <c r="N44" i="209" s="1"/>
  <c r="K71" i="209"/>
  <c r="N71" i="209" s="1"/>
  <c r="K94" i="209"/>
  <c r="N94" i="209" s="1"/>
  <c r="K65" i="209"/>
  <c r="N65" i="209" s="1"/>
  <c r="K38" i="209"/>
  <c r="N38" i="209" s="1"/>
  <c r="K76" i="209"/>
  <c r="N76" i="209" s="1"/>
  <c r="D34" i="237"/>
  <c r="H34" i="237" s="1"/>
  <c r="D87" i="209"/>
  <c r="F87" i="209" s="1"/>
  <c r="I87" i="209" s="1"/>
  <c r="D86" i="209"/>
  <c r="F86" i="209" s="1"/>
  <c r="I86" i="209" s="1"/>
  <c r="K69" i="209"/>
  <c r="N69" i="209" s="1"/>
  <c r="K68" i="209"/>
  <c r="N68" i="209" s="1"/>
  <c r="K62" i="209"/>
  <c r="K41" i="209"/>
  <c r="N41" i="209" s="1"/>
  <c r="K90" i="209"/>
  <c r="N90" i="209" s="1"/>
  <c r="K40" i="209"/>
  <c r="N40" i="209" s="1"/>
  <c r="K52" i="209"/>
  <c r="N52" i="209" s="1"/>
  <c r="D66" i="209"/>
  <c r="F66" i="209" s="1"/>
  <c r="I66" i="209" s="1"/>
  <c r="K57" i="209"/>
  <c r="N57" i="209" s="1"/>
  <c r="K89" i="209"/>
  <c r="N89" i="209" s="1"/>
  <c r="D73" i="209"/>
  <c r="F73" i="209" s="1"/>
  <c r="I73" i="209" s="1"/>
  <c r="D32" i="209"/>
  <c r="D33" i="209"/>
  <c r="F33" i="209" s="1"/>
  <c r="I33" i="209" s="1"/>
  <c r="N59" i="209" l="1"/>
  <c r="N62" i="209"/>
  <c r="I62" i="209"/>
  <c r="I83" i="209" s="1"/>
  <c r="F83" i="209"/>
  <c r="K59" i="209"/>
  <c r="D47" i="237"/>
  <c r="F32" i="209"/>
  <c r="D83" i="209"/>
  <c r="H47" i="237"/>
  <c r="F106" i="209"/>
  <c r="K95" i="209"/>
  <c r="N95" i="209" s="1"/>
  <c r="K98" i="209"/>
  <c r="N98" i="209" s="1"/>
  <c r="K106" i="209"/>
  <c r="K100" i="209"/>
  <c r="N100" i="209" s="1"/>
  <c r="D96" i="209"/>
  <c r="F96" i="209" s="1"/>
  <c r="I96" i="209" s="1"/>
  <c r="D108" i="237"/>
  <c r="D108" i="209"/>
  <c r="F108" i="209" s="1"/>
  <c r="I108" i="209" s="1"/>
  <c r="D23" i="237"/>
  <c r="K33" i="209"/>
  <c r="N33" i="209" s="1"/>
  <c r="K32" i="209"/>
  <c r="K86" i="209"/>
  <c r="N86" i="209" s="1"/>
  <c r="D34" i="209"/>
  <c r="F34" i="209" s="1"/>
  <c r="I34" i="209" s="1"/>
  <c r="K73" i="209"/>
  <c r="N73" i="209" s="1"/>
  <c r="K87" i="209"/>
  <c r="N87" i="209" s="1"/>
  <c r="K66" i="209"/>
  <c r="N66" i="209" s="1"/>
  <c r="K96" i="209"/>
  <c r="N96" i="209" s="1"/>
  <c r="H23" i="237" l="1"/>
  <c r="H26" i="237" s="1"/>
  <c r="D26" i="237"/>
  <c r="I32" i="209"/>
  <c r="I47" i="209" s="1"/>
  <c r="F47" i="209"/>
  <c r="N32" i="209"/>
  <c r="K83" i="209"/>
  <c r="D47" i="209"/>
  <c r="N83" i="209"/>
  <c r="H108" i="237"/>
  <c r="I106" i="209"/>
  <c r="N106" i="209"/>
  <c r="K108" i="209"/>
  <c r="N108" i="209" s="1"/>
  <c r="D109" i="237"/>
  <c r="H109" i="237" s="1"/>
  <c r="D109" i="209"/>
  <c r="F109" i="209" s="1"/>
  <c r="I109" i="209" s="1"/>
  <c r="K34" i="209"/>
  <c r="N34" i="209" s="1"/>
  <c r="D23" i="209"/>
  <c r="F23" i="209" l="1"/>
  <c r="D26" i="209"/>
  <c r="K47" i="209"/>
  <c r="N47" i="209"/>
  <c r="K23" i="209"/>
  <c r="K109" i="209"/>
  <c r="N109" i="209" s="1"/>
  <c r="N23" i="209" l="1"/>
  <c r="N26" i="209" s="1"/>
  <c r="K26" i="209"/>
  <c r="I23" i="209"/>
  <c r="I26" i="209" s="1"/>
  <c r="F26" i="209"/>
  <c r="D110" i="237"/>
  <c r="D110" i="209"/>
  <c r="F110" i="209" l="1"/>
  <c r="H110" i="237"/>
  <c r="K110" i="209"/>
  <c r="N110" i="209" l="1"/>
  <c r="I110" i="209"/>
  <c r="D111" i="209"/>
  <c r="F111" i="209" l="1"/>
  <c r="K111" i="209"/>
  <c r="N111" i="209" l="1"/>
  <c r="I111" i="209"/>
  <c r="D112" i="209"/>
  <c r="F112" i="209" s="1"/>
  <c r="I112" i="209" s="1"/>
  <c r="K112" i="209" l="1"/>
  <c r="N112" i="209" s="1"/>
  <c r="D111" i="237" l="1"/>
  <c r="D113" i="209"/>
  <c r="D16" i="237"/>
  <c r="D16" i="209"/>
  <c r="H16" i="237" l="1"/>
  <c r="H19" i="237" s="1"/>
  <c r="D19" i="237"/>
  <c r="H111" i="237"/>
  <c r="H113" i="237" s="1"/>
  <c r="D113" i="237"/>
  <c r="D19" i="209"/>
  <c r="F16" i="209"/>
  <c r="F113" i="209"/>
  <c r="D115" i="209"/>
  <c r="K113" i="209"/>
  <c r="K16" i="209"/>
  <c r="G132" i="10"/>
  <c r="D115" i="237" l="1"/>
  <c r="N113" i="209"/>
  <c r="N115" i="209" s="1"/>
  <c r="K115" i="209"/>
  <c r="D117" i="209"/>
  <c r="K19" i="209"/>
  <c r="N16" i="209"/>
  <c r="N19" i="209" s="1"/>
  <c r="I113" i="209"/>
  <c r="I115" i="209" s="1"/>
  <c r="F115" i="209"/>
  <c r="I16" i="209"/>
  <c r="I19" i="209" s="1"/>
  <c r="F19" i="209"/>
  <c r="H115" i="237"/>
  <c r="N117" i="209" l="1"/>
  <c r="I117" i="209"/>
  <c r="K117" i="209"/>
  <c r="F117" i="209"/>
  <c r="K230" i="236" l="1"/>
  <c r="N230" i="236" s="1"/>
  <c r="K253" i="236"/>
  <c r="N253" i="236" s="1"/>
  <c r="K243" i="236"/>
  <c r="N243" i="236" s="1"/>
  <c r="K250" i="236"/>
  <c r="N250" i="236" s="1"/>
  <c r="K245" i="236"/>
  <c r="N245" i="236" s="1"/>
  <c r="K235" i="236"/>
  <c r="N235" i="236" s="1"/>
  <c r="K256" i="236"/>
  <c r="N256" i="236" s="1"/>
  <c r="K236" i="236"/>
  <c r="N236" i="236" s="1"/>
  <c r="D246" i="236" l="1"/>
  <c r="F246" i="236" s="1"/>
  <c r="I246" i="236" s="1"/>
  <c r="K246" i="236"/>
  <c r="N246" i="236" s="1"/>
  <c r="D229" i="236"/>
  <c r="F229" i="236" s="1"/>
  <c r="I229" i="236" s="1"/>
  <c r="K229" i="236"/>
  <c r="N229" i="236" s="1"/>
  <c r="D249" i="236"/>
  <c r="F249" i="236" s="1"/>
  <c r="I249" i="236" s="1"/>
  <c r="K249" i="236"/>
  <c r="N249" i="236" s="1"/>
  <c r="D241" i="236"/>
  <c r="F241" i="236" s="1"/>
  <c r="I241" i="236" s="1"/>
  <c r="K241" i="236"/>
  <c r="N241" i="236" s="1"/>
  <c r="D255" i="236"/>
  <c r="F255" i="236" s="1"/>
  <c r="I255" i="236" s="1"/>
  <c r="K255" i="236"/>
  <c r="N255" i="236" s="1"/>
  <c r="D251" i="236"/>
  <c r="F251" i="236" s="1"/>
  <c r="I251" i="236" s="1"/>
  <c r="K251" i="236"/>
  <c r="N251" i="236" s="1"/>
  <c r="D237" i="236"/>
  <c r="F237" i="236" s="1"/>
  <c r="I237" i="236" s="1"/>
  <c r="K237" i="236"/>
  <c r="N237" i="236" s="1"/>
  <c r="D232" i="236"/>
  <c r="F232" i="236" s="1"/>
  <c r="I232" i="236" s="1"/>
  <c r="K232" i="236"/>
  <c r="N232" i="236" s="1"/>
  <c r="D231" i="236"/>
  <c r="F231" i="236" s="1"/>
  <c r="I231" i="236" s="1"/>
  <c r="K231" i="236"/>
  <c r="N231" i="236" s="1"/>
  <c r="D233" i="236"/>
  <c r="F233" i="236" s="1"/>
  <c r="I233" i="236" s="1"/>
  <c r="K233" i="236"/>
  <c r="N233" i="236" s="1"/>
  <c r="D244" i="236"/>
  <c r="F244" i="236" s="1"/>
  <c r="I244" i="236" s="1"/>
  <c r="D248" i="236"/>
  <c r="F248" i="236" s="1"/>
  <c r="I248" i="236" s="1"/>
  <c r="K248" i="236"/>
  <c r="N248" i="236" s="1"/>
  <c r="D252" i="236"/>
  <c r="F252" i="236" s="1"/>
  <c r="I252" i="236" s="1"/>
  <c r="K252" i="236"/>
  <c r="N252" i="236" s="1"/>
  <c r="D247" i="236"/>
  <c r="F247" i="236" s="1"/>
  <c r="I247" i="236" s="1"/>
  <c r="K247" i="236"/>
  <c r="N247" i="236" s="1"/>
  <c r="D239" i="236"/>
  <c r="F239" i="236" s="1"/>
  <c r="I239" i="236" s="1"/>
  <c r="K239" i="236"/>
  <c r="N239" i="236" s="1"/>
  <c r="D250" i="236"/>
  <c r="F250" i="236" s="1"/>
  <c r="I250" i="236" s="1"/>
  <c r="D253" i="236"/>
  <c r="F253" i="236" s="1"/>
  <c r="I253" i="236" s="1"/>
  <c r="D234" i="236"/>
  <c r="F234" i="236" s="1"/>
  <c r="I234" i="236" s="1"/>
  <c r="K234" i="236"/>
  <c r="N234" i="236" s="1"/>
  <c r="D240" i="236"/>
  <c r="F240" i="236" s="1"/>
  <c r="I240" i="236" s="1"/>
  <c r="K240" i="236"/>
  <c r="N240" i="236" s="1"/>
  <c r="D236" i="236"/>
  <c r="F236" i="236" s="1"/>
  <c r="I236" i="236" s="1"/>
  <c r="D254" i="236"/>
  <c r="F254" i="236" s="1"/>
  <c r="I254" i="236" s="1"/>
  <c r="K254" i="236"/>
  <c r="N254" i="236" s="1"/>
  <c r="D238" i="236"/>
  <c r="F238" i="236" s="1"/>
  <c r="I238" i="236" s="1"/>
  <c r="K238" i="236"/>
  <c r="N238" i="236" s="1"/>
  <c r="D256" i="236"/>
  <c r="F256" i="236" s="1"/>
  <c r="I256" i="236" s="1"/>
  <c r="D235" i="236"/>
  <c r="F235" i="236" s="1"/>
  <c r="I235" i="236" s="1"/>
  <c r="D245" i="236"/>
  <c r="F245" i="236" s="1"/>
  <c r="I245" i="236" s="1"/>
  <c r="D242" i="236"/>
  <c r="F242" i="236" s="1"/>
  <c r="I242" i="236" s="1"/>
  <c r="K242" i="236"/>
  <c r="N242" i="236" s="1"/>
  <c r="D243" i="236"/>
  <c r="F243" i="236" s="1"/>
  <c r="I243" i="236" s="1"/>
  <c r="K244" i="236"/>
  <c r="N244" i="236" s="1"/>
  <c r="D230" i="236"/>
  <c r="F230" i="236" s="1"/>
  <c r="I230" i="236" s="1"/>
  <c r="D228" i="236" l="1"/>
  <c r="D259" i="236" l="1"/>
  <c r="D261" i="236" s="1"/>
  <c r="F228" i="236"/>
  <c r="K228" i="236"/>
  <c r="K259" i="236" l="1"/>
  <c r="K261" i="236" s="1"/>
  <c r="N228" i="236"/>
  <c r="N259" i="236" s="1"/>
  <c r="N261" i="236" s="1"/>
  <c r="F17" i="3" s="1"/>
  <c r="F19" i="3" s="1"/>
  <c r="F259" i="236"/>
  <c r="F261" i="236" s="1"/>
  <c r="I228" i="236"/>
  <c r="I259" i="236" s="1"/>
  <c r="I261" i="236" s="1"/>
  <c r="D17" i="3" s="1"/>
  <c r="D19" i="3" l="1"/>
  <c r="H26" i="10"/>
  <c r="H27" i="10" s="1"/>
  <c r="H33" i="10" s="1"/>
  <c r="D256" i="237" l="1"/>
  <c r="H256" i="237" s="1"/>
  <c r="D237" i="237"/>
  <c r="H237" i="237" s="1"/>
  <c r="D229" i="237"/>
  <c r="H229" i="237" s="1"/>
  <c r="D243" i="237"/>
  <c r="H243" i="237" s="1"/>
  <c r="D245" i="237"/>
  <c r="H245" i="237" s="1"/>
  <c r="D234" i="237"/>
  <c r="H234" i="237" s="1"/>
  <c r="D241" i="237"/>
  <c r="H241" i="237" s="1"/>
  <c r="D239" i="237"/>
  <c r="H239" i="237" s="1"/>
  <c r="D244" i="237"/>
  <c r="H244" i="237" s="1"/>
  <c r="D248" i="237"/>
  <c r="H248" i="237" s="1"/>
  <c r="D238" i="237"/>
  <c r="H238" i="237" s="1"/>
  <c r="D230" i="237"/>
  <c r="H230" i="237" s="1"/>
  <c r="D255" i="237"/>
  <c r="H255" i="237" s="1"/>
  <c r="D254" i="237"/>
  <c r="H254" i="237" s="1"/>
  <c r="D246" i="237"/>
  <c r="H246" i="237" s="1"/>
  <c r="D232" i="237"/>
  <c r="H232" i="237" s="1"/>
  <c r="D232" i="209" l="1"/>
  <c r="F232" i="209" s="1"/>
  <c r="I232" i="209" s="1"/>
  <c r="K231" i="209"/>
  <c r="N231" i="209" s="1"/>
  <c r="K256" i="209"/>
  <c r="N256" i="209" s="1"/>
  <c r="D236" i="237"/>
  <c r="H236" i="237" s="1"/>
  <c r="D252" i="237"/>
  <c r="H252" i="237" s="1"/>
  <c r="D242" i="237"/>
  <c r="H242" i="237" s="1"/>
  <c r="D231" i="237"/>
  <c r="H231" i="237" s="1"/>
  <c r="D247" i="237"/>
  <c r="H247" i="237" s="1"/>
  <c r="D253" i="237"/>
  <c r="H253" i="237" s="1"/>
  <c r="D250" i="237"/>
  <c r="H250" i="237" s="1"/>
  <c r="D233" i="237"/>
  <c r="H233" i="237" s="1"/>
  <c r="D234" i="209"/>
  <c r="F234" i="209" s="1"/>
  <c r="I234" i="209" s="1"/>
  <c r="K234" i="209"/>
  <c r="N234" i="209" s="1"/>
  <c r="D248" i="209"/>
  <c r="F248" i="209" s="1"/>
  <c r="I248" i="209" s="1"/>
  <c r="K248" i="209"/>
  <c r="N248" i="209" s="1"/>
  <c r="D235" i="237"/>
  <c r="H235" i="237" s="1"/>
  <c r="D240" i="237"/>
  <c r="H240" i="237" s="1"/>
  <c r="D251" i="237"/>
  <c r="H251" i="237" s="1"/>
  <c r="D243" i="209"/>
  <c r="F243" i="209" s="1"/>
  <c r="I243" i="209" s="1"/>
  <c r="K243" i="209"/>
  <c r="N243" i="209" s="1"/>
  <c r="D249" i="237"/>
  <c r="H249" i="237" s="1"/>
  <c r="K232" i="209" l="1"/>
  <c r="N232" i="209" s="1"/>
  <c r="D231" i="209"/>
  <c r="F231" i="209" s="1"/>
  <c r="I231" i="209" s="1"/>
  <c r="D256" i="209"/>
  <c r="F256" i="209" s="1"/>
  <c r="I256" i="209" s="1"/>
  <c r="D237" i="209"/>
  <c r="F237" i="209" s="1"/>
  <c r="I237" i="209" s="1"/>
  <c r="D236" i="209"/>
  <c r="F236" i="209" s="1"/>
  <c r="I236" i="209" s="1"/>
  <c r="K236" i="209"/>
  <c r="N236" i="209" s="1"/>
  <c r="D239" i="209"/>
  <c r="F239" i="209" s="1"/>
  <c r="I239" i="209" s="1"/>
  <c r="K239" i="209"/>
  <c r="N239" i="209" s="1"/>
  <c r="D246" i="209"/>
  <c r="F246" i="209" s="1"/>
  <c r="I246" i="209" s="1"/>
  <c r="K246" i="209"/>
  <c r="N246" i="209" s="1"/>
  <c r="D240" i="209"/>
  <c r="F240" i="209" s="1"/>
  <c r="I240" i="209" s="1"/>
  <c r="K240" i="209"/>
  <c r="N240" i="209" s="1"/>
  <c r="D245" i="209"/>
  <c r="F245" i="209" s="1"/>
  <c r="I245" i="209" s="1"/>
  <c r="K245" i="209"/>
  <c r="N245" i="209" s="1"/>
  <c r="D254" i="209"/>
  <c r="F254" i="209" s="1"/>
  <c r="I254" i="209" s="1"/>
  <c r="K254" i="209"/>
  <c r="N254" i="209" s="1"/>
  <c r="K253" i="209"/>
  <c r="N253" i="209" s="1"/>
  <c r="D250" i="209"/>
  <c r="F250" i="209" s="1"/>
  <c r="I250" i="209" s="1"/>
  <c r="K250" i="209"/>
  <c r="N250" i="209" s="1"/>
  <c r="D257" i="209"/>
  <c r="F257" i="209" s="1"/>
  <c r="I257" i="209" s="1"/>
  <c r="K257" i="209"/>
  <c r="N257" i="209" s="1"/>
  <c r="D247" i="209"/>
  <c r="F247" i="209" s="1"/>
  <c r="I247" i="209" s="1"/>
  <c r="K247" i="209"/>
  <c r="N247" i="209" s="1"/>
  <c r="D258" i="209"/>
  <c r="F258" i="209" s="1"/>
  <c r="I258" i="209" s="1"/>
  <c r="K258" i="209"/>
  <c r="N258" i="209" s="1"/>
  <c r="D241" i="209"/>
  <c r="F241" i="209" s="1"/>
  <c r="I241" i="209" s="1"/>
  <c r="K241" i="209"/>
  <c r="N241" i="209" s="1"/>
  <c r="K255" i="209" l="1"/>
  <c r="N255" i="209" s="1"/>
  <c r="K237" i="209"/>
  <c r="N237" i="209" s="1"/>
  <c r="D253" i="209"/>
  <c r="F253" i="209" s="1"/>
  <c r="I253" i="209" s="1"/>
  <c r="D255" i="209"/>
  <c r="F255" i="209" s="1"/>
  <c r="I255" i="209" s="1"/>
  <c r="D238" i="209"/>
  <c r="F238" i="209" s="1"/>
  <c r="I238" i="209" s="1"/>
  <c r="K238" i="209"/>
  <c r="N238" i="209" s="1"/>
  <c r="D244" i="209"/>
  <c r="F244" i="209" s="1"/>
  <c r="I244" i="209" s="1"/>
  <c r="K244" i="209"/>
  <c r="N244" i="209" s="1"/>
  <c r="D242" i="209"/>
  <c r="F242" i="209" s="1"/>
  <c r="I242" i="209" s="1"/>
  <c r="K242" i="209"/>
  <c r="N242" i="209" s="1"/>
  <c r="D249" i="209"/>
  <c r="F249" i="209" s="1"/>
  <c r="I249" i="209" s="1"/>
  <c r="K249" i="209"/>
  <c r="N249" i="209" s="1"/>
  <c r="D251" i="209"/>
  <c r="F251" i="209" s="1"/>
  <c r="I251" i="209" s="1"/>
  <c r="K251" i="209"/>
  <c r="N251" i="209" s="1"/>
  <c r="D252" i="209"/>
  <c r="F252" i="209" s="1"/>
  <c r="I252" i="209" s="1"/>
  <c r="K252" i="209"/>
  <c r="N252" i="209" s="1"/>
  <c r="D233" i="209"/>
  <c r="F233" i="209" s="1"/>
  <c r="I233" i="209" s="1"/>
  <c r="K233" i="209"/>
  <c r="N233" i="209" s="1"/>
  <c r="D235" i="209"/>
  <c r="F235" i="209" s="1"/>
  <c r="I235" i="209" s="1"/>
  <c r="K235" i="209"/>
  <c r="N235" i="209" s="1"/>
  <c r="D230" i="209" l="1"/>
  <c r="D228" i="237"/>
  <c r="D259" i="237" l="1"/>
  <c r="D261" i="237" s="1"/>
  <c r="H228" i="237"/>
  <c r="H259" i="237" s="1"/>
  <c r="H261" i="237" s="1"/>
  <c r="D261" i="209"/>
  <c r="D263" i="209" s="1"/>
  <c r="F230" i="209"/>
  <c r="K230" i="209"/>
  <c r="F261" i="209" l="1"/>
  <c r="F263" i="209" s="1"/>
  <c r="I230" i="209"/>
  <c r="I261" i="209" s="1"/>
  <c r="I263" i="209" s="1"/>
  <c r="D17" i="137" s="1"/>
  <c r="H14" i="222"/>
  <c r="E14" i="222"/>
  <c r="N14" i="222"/>
  <c r="G14" i="222"/>
  <c r="L14" i="222"/>
  <c r="J14" i="222"/>
  <c r="O14" i="222"/>
  <c r="I14" i="222"/>
  <c r="K14" i="222"/>
  <c r="F14" i="222"/>
  <c r="D14" i="222"/>
  <c r="M14" i="222"/>
  <c r="K261" i="209"/>
  <c r="K263" i="209" s="1"/>
  <c r="N230" i="209"/>
  <c r="N261" i="209" s="1"/>
  <c r="N263" i="209" s="1"/>
  <c r="F17" i="137" s="1"/>
  <c r="F19" i="137" s="1"/>
  <c r="P14" i="222" l="1"/>
  <c r="D19" i="137"/>
  <c r="G26" i="10"/>
  <c r="G27" i="10" s="1"/>
  <c r="G33" i="10" s="1"/>
  <c r="D13" i="48" l="1"/>
  <c r="D15" i="48" s="1"/>
  <c r="D171" i="79"/>
  <c r="D16" i="48" l="1"/>
  <c r="F155" i="51"/>
  <c r="K26" i="46"/>
  <c r="O26" i="46"/>
  <c r="F26" i="46" l="1"/>
  <c r="L27" i="42"/>
  <c r="P155" i="51"/>
  <c r="F159" i="51"/>
  <c r="F20" i="47"/>
  <c r="M26" i="46"/>
  <c r="J20" i="47" l="1"/>
  <c r="F161" i="51"/>
  <c r="F163" i="51" s="1"/>
  <c r="P159" i="51"/>
  <c r="P161" i="51" l="1"/>
  <c r="P163" i="51" s="1"/>
  <c r="D44" i="232" l="1"/>
  <c r="G44" i="232" s="1"/>
  <c r="D45" i="231"/>
  <c r="G45" i="231" s="1"/>
  <c r="D42" i="232"/>
  <c r="G42" i="232" s="1"/>
  <c r="D43" i="231"/>
  <c r="G43" i="231" s="1"/>
  <c r="D17" i="232"/>
  <c r="G17" i="232" s="1"/>
  <c r="D17" i="231"/>
  <c r="G17" i="231" s="1"/>
  <c r="D15" i="232"/>
  <c r="G15" i="232" s="1"/>
  <c r="D15" i="231"/>
  <c r="G15" i="231" s="1"/>
  <c r="M19" i="230"/>
  <c r="D34" i="232"/>
  <c r="G34" i="232" s="1"/>
  <c r="D34" i="231"/>
  <c r="G34" i="231" s="1"/>
  <c r="D32" i="232"/>
  <c r="G32" i="232" s="1"/>
  <c r="D32" i="231"/>
  <c r="G32" i="231" s="1"/>
  <c r="L36" i="233"/>
  <c r="H36" i="233"/>
  <c r="K47" i="233" l="1"/>
  <c r="O47" i="233"/>
  <c r="Q17" i="230"/>
  <c r="I17" i="231" s="1"/>
  <c r="L17" i="231" s="1"/>
  <c r="G47" i="233"/>
  <c r="E36" i="233"/>
  <c r="I36" i="233"/>
  <c r="M36" i="233"/>
  <c r="N19" i="230"/>
  <c r="O36" i="230"/>
  <c r="F19" i="233"/>
  <c r="J19" i="233"/>
  <c r="N19" i="233"/>
  <c r="Q17" i="233"/>
  <c r="I17" i="232" s="1"/>
  <c r="L17" i="232" s="1"/>
  <c r="N47" i="230"/>
  <c r="L47" i="233"/>
  <c r="L36" i="230"/>
  <c r="G19" i="233"/>
  <c r="K19" i="233"/>
  <c r="O19" i="233"/>
  <c r="K47" i="230"/>
  <c r="O47" i="230"/>
  <c r="H47" i="233"/>
  <c r="L47" i="230"/>
  <c r="D39" i="231"/>
  <c r="P47" i="230"/>
  <c r="E47" i="233"/>
  <c r="I47" i="233"/>
  <c r="M47" i="233"/>
  <c r="Q41" i="230"/>
  <c r="I43" i="231" s="1"/>
  <c r="L43" i="231" s="1"/>
  <c r="Q41" i="233"/>
  <c r="I42" i="232" s="1"/>
  <c r="L42" i="232" s="1"/>
  <c r="M47" i="230"/>
  <c r="F47" i="233"/>
  <c r="J47" i="233"/>
  <c r="N47" i="233"/>
  <c r="Q43" i="230"/>
  <c r="I45" i="231" s="1"/>
  <c r="L45" i="231" s="1"/>
  <c r="Q43" i="233"/>
  <c r="I44" i="232" s="1"/>
  <c r="L44" i="232" s="1"/>
  <c r="K36" i="230"/>
  <c r="Q30" i="230"/>
  <c r="I30" i="231" s="1"/>
  <c r="D30" i="232"/>
  <c r="P36" i="233"/>
  <c r="Q32" i="230"/>
  <c r="I32" i="231" s="1"/>
  <c r="L32" i="231" s="1"/>
  <c r="D36" i="233"/>
  <c r="Q30" i="233"/>
  <c r="I30" i="232" s="1"/>
  <c r="M36" i="230"/>
  <c r="F36" i="233"/>
  <c r="J36" i="233"/>
  <c r="N36" i="233"/>
  <c r="Q34" i="230"/>
  <c r="I34" i="231" s="1"/>
  <c r="L34" i="231" s="1"/>
  <c r="Q34" i="233"/>
  <c r="I34" i="232" s="1"/>
  <c r="L34" i="232" s="1"/>
  <c r="P36" i="230"/>
  <c r="D30" i="231"/>
  <c r="Q32" i="233"/>
  <c r="I32" i="232" s="1"/>
  <c r="L32" i="232" s="1"/>
  <c r="N36" i="230"/>
  <c r="G36" i="233"/>
  <c r="K36" i="233"/>
  <c r="O36" i="233"/>
  <c r="O19" i="230"/>
  <c r="D19" i="233"/>
  <c r="Q13" i="233"/>
  <c r="I13" i="232" s="1"/>
  <c r="H19" i="233"/>
  <c r="L19" i="233"/>
  <c r="D13" i="232"/>
  <c r="P19" i="233"/>
  <c r="L19" i="230"/>
  <c r="Q13" i="230"/>
  <c r="I13" i="231" s="1"/>
  <c r="D13" i="231"/>
  <c r="P19" i="230"/>
  <c r="E19" i="233"/>
  <c r="I19" i="233"/>
  <c r="M19" i="233"/>
  <c r="Q15" i="230"/>
  <c r="I15" i="231" s="1"/>
  <c r="L15" i="231" s="1"/>
  <c r="K19" i="230"/>
  <c r="Q15" i="233"/>
  <c r="I15" i="232" s="1"/>
  <c r="L15" i="232" s="1"/>
  <c r="O49" i="233" l="1"/>
  <c r="L49" i="233"/>
  <c r="K49" i="233"/>
  <c r="G49" i="233"/>
  <c r="I49" i="233"/>
  <c r="F49" i="233"/>
  <c r="N49" i="230"/>
  <c r="E49" i="233"/>
  <c r="L49" i="230"/>
  <c r="N49" i="233"/>
  <c r="M49" i="230"/>
  <c r="M49" i="233"/>
  <c r="P49" i="230"/>
  <c r="J49" i="233"/>
  <c r="O49" i="230"/>
  <c r="H49" i="233"/>
  <c r="D38" i="232"/>
  <c r="P47" i="233"/>
  <c r="P49" i="233" s="1"/>
  <c r="D47" i="233"/>
  <c r="D49" i="233" s="1"/>
  <c r="Q39" i="233"/>
  <c r="I38" i="232" s="1"/>
  <c r="Q47" i="230"/>
  <c r="D47" i="231"/>
  <c r="G39" i="231"/>
  <c r="G47" i="231" s="1"/>
  <c r="Q39" i="230"/>
  <c r="I39" i="231" s="1"/>
  <c r="Q36" i="233"/>
  <c r="D36" i="231"/>
  <c r="G30" i="231"/>
  <c r="G36" i="231" s="1"/>
  <c r="G30" i="232"/>
  <c r="G36" i="232" s="1"/>
  <c r="D36" i="232"/>
  <c r="L30" i="231"/>
  <c r="L36" i="231" s="1"/>
  <c r="I36" i="231"/>
  <c r="L30" i="232"/>
  <c r="L36" i="232" s="1"/>
  <c r="I36" i="232"/>
  <c r="Q36" i="230"/>
  <c r="G13" i="231"/>
  <c r="G19" i="231" s="1"/>
  <c r="D19" i="231"/>
  <c r="L13" i="232"/>
  <c r="L19" i="232" s="1"/>
  <c r="I19" i="232"/>
  <c r="L13" i="231"/>
  <c r="L19" i="231" s="1"/>
  <c r="I19" i="231"/>
  <c r="G13" i="232"/>
  <c r="G19" i="232" s="1"/>
  <c r="D19" i="232"/>
  <c r="Q19" i="233"/>
  <c r="Q19" i="230"/>
  <c r="K49" i="230"/>
  <c r="G49" i="231" l="1"/>
  <c r="Q49" i="233"/>
  <c r="D49" i="231"/>
  <c r="G38" i="232"/>
  <c r="G46" i="232" s="1"/>
  <c r="G49" i="232" s="1"/>
  <c r="D25" i="137" s="1"/>
  <c r="D46" i="232"/>
  <c r="D49" i="232" s="1"/>
  <c r="L39" i="231"/>
  <c r="L47" i="231" s="1"/>
  <c r="L49" i="231" s="1"/>
  <c r="I47" i="231"/>
  <c r="I49" i="231" s="1"/>
  <c r="L38" i="232"/>
  <c r="L46" i="232" s="1"/>
  <c r="L49" i="232" s="1"/>
  <c r="I72" i="232" s="1"/>
  <c r="I46" i="232"/>
  <c r="I49" i="232" s="1"/>
  <c r="Q49" i="230"/>
  <c r="Q47" i="233"/>
  <c r="D25" i="3" l="1"/>
  <c r="F25" i="3" s="1"/>
  <c r="I79" i="232"/>
  <c r="L53" i="232"/>
  <c r="F25" i="137" s="1"/>
  <c r="I75" i="232"/>
  <c r="I81" i="232"/>
  <c r="I83" i="232" s="1"/>
  <c r="I85" i="232" l="1"/>
  <c r="I15" i="106"/>
  <c r="J27" i="106"/>
  <c r="M25" i="46" s="1"/>
  <c r="I16" i="106" l="1"/>
  <c r="I17" i="106" l="1"/>
  <c r="I18" i="106" s="1"/>
  <c r="I19" i="106" s="1"/>
  <c r="I20" i="106" s="1"/>
  <c r="I21" i="106" s="1"/>
  <c r="I22" i="106" s="1"/>
  <c r="I23" i="106" s="1"/>
  <c r="I24" i="106" s="1"/>
  <c r="I25" i="106" s="1"/>
  <c r="I26" i="106" s="1"/>
  <c r="I31" i="106" l="1"/>
  <c r="D24" i="137"/>
  <c r="I27" i="106"/>
  <c r="I32" i="106"/>
  <c r="I33" i="106" s="1"/>
  <c r="I34" i="106" s="1"/>
  <c r="I35" i="106" s="1"/>
  <c r="I36" i="106" s="1"/>
  <c r="I37" i="106" s="1"/>
  <c r="I38" i="106" s="1"/>
  <c r="I39" i="106" s="1"/>
  <c r="I40" i="106" s="1"/>
  <c r="I41" i="106" s="1"/>
  <c r="I42" i="106" s="1"/>
  <c r="G89" i="222" l="1"/>
  <c r="H89" i="222"/>
  <c r="E89" i="222"/>
  <c r="M89" i="44"/>
  <c r="F70" i="222"/>
  <c r="O70" i="222"/>
  <c r="H70" i="222"/>
  <c r="K92" i="44"/>
  <c r="K55" i="44"/>
  <c r="K102" i="44"/>
  <c r="K70" i="44"/>
  <c r="I80" i="222"/>
  <c r="K83" i="44"/>
  <c r="M61" i="44"/>
  <c r="E50" i="222"/>
  <c r="K109" i="44"/>
  <c r="K46" i="44"/>
  <c r="M62" i="44"/>
  <c r="F62" i="222"/>
  <c r="J62" i="222"/>
  <c r="N62" i="222"/>
  <c r="N62" i="44"/>
  <c r="G62" i="222"/>
  <c r="K62" i="222"/>
  <c r="O62" i="222"/>
  <c r="K62" i="44"/>
  <c r="O62" i="44"/>
  <c r="H62" i="222"/>
  <c r="L62" i="222"/>
  <c r="L62" i="44"/>
  <c r="E62" i="222"/>
  <c r="I62" i="222"/>
  <c r="M62" i="222"/>
  <c r="K108" i="44"/>
  <c r="L81" i="44"/>
  <c r="K50" i="44"/>
  <c r="I50" i="222"/>
  <c r="N50" i="44"/>
  <c r="G81" i="222"/>
  <c r="O50" i="44"/>
  <c r="G108" i="222"/>
  <c r="J81" i="222"/>
  <c r="E70" i="222"/>
  <c r="F80" i="222"/>
  <c r="K70" i="222"/>
  <c r="J70" i="222"/>
  <c r="G70" i="222"/>
  <c r="O70" i="44"/>
  <c r="M70" i="44"/>
  <c r="M70" i="222"/>
  <c r="L70" i="44"/>
  <c r="L80" i="222"/>
  <c r="N70" i="222"/>
  <c r="L70" i="222"/>
  <c r="I70" i="222"/>
  <c r="D70" i="222"/>
  <c r="O61" i="44"/>
  <c r="L61" i="44"/>
  <c r="M61" i="222"/>
  <c r="J61" i="222"/>
  <c r="G61" i="222"/>
  <c r="H61" i="222"/>
  <c r="E61" i="222"/>
  <c r="N61" i="44"/>
  <c r="O61" i="222"/>
  <c r="L61" i="222"/>
  <c r="I61" i="222"/>
  <c r="F61" i="222"/>
  <c r="N61" i="222"/>
  <c r="K61" i="222"/>
  <c r="K50" i="222"/>
  <c r="O50" i="222"/>
  <c r="H50" i="222"/>
  <c r="J50" i="222"/>
  <c r="M50" i="222"/>
  <c r="G50" i="222"/>
  <c r="F50" i="222"/>
  <c r="F108" i="222"/>
  <c r="L50" i="44"/>
  <c r="L50" i="222"/>
  <c r="N50" i="222"/>
  <c r="M50" i="44"/>
  <c r="D80" i="222"/>
  <c r="K80" i="44"/>
  <c r="J59" i="222"/>
  <c r="K77" i="44"/>
  <c r="O83" i="44"/>
  <c r="N83" i="44"/>
  <c r="N59" i="44"/>
  <c r="O59" i="222"/>
  <c r="L59" i="222"/>
  <c r="I59" i="222"/>
  <c r="F59" i="222"/>
  <c r="O59" i="44"/>
  <c r="L59" i="44"/>
  <c r="M59" i="222"/>
  <c r="M59" i="44"/>
  <c r="N59" i="222"/>
  <c r="K59" i="222"/>
  <c r="H59" i="222"/>
  <c r="E59" i="222"/>
  <c r="F83" i="222"/>
  <c r="E83" i="222"/>
  <c r="D77" i="222"/>
  <c r="O92" i="44"/>
  <c r="D83" i="222"/>
  <c r="L83" i="44"/>
  <c r="G59" i="222"/>
  <c r="E102" i="222"/>
  <c r="G80" i="222"/>
  <c r="J80" i="222"/>
  <c r="M80" i="222"/>
  <c r="L80" i="44"/>
  <c r="O80" i="44"/>
  <c r="O80" i="222"/>
  <c r="N80" i="44"/>
  <c r="E80" i="222"/>
  <c r="H80" i="222"/>
  <c r="K80" i="222"/>
  <c r="N80" i="222"/>
  <c r="M80" i="44"/>
  <c r="N92" i="44"/>
  <c r="L92" i="44"/>
  <c r="O89" i="44"/>
  <c r="L89" i="44"/>
  <c r="N89" i="44"/>
  <c r="M30" i="222"/>
  <c r="L30" i="222"/>
  <c r="O30" i="222"/>
  <c r="M92" i="44"/>
  <c r="D89" i="222"/>
  <c r="K89" i="44"/>
  <c r="D61" i="222"/>
  <c r="K59" i="44"/>
  <c r="K61" i="44"/>
  <c r="D59" i="222"/>
  <c r="H105" i="222"/>
  <c r="L105" i="222"/>
  <c r="L105" i="44"/>
  <c r="O46" i="44"/>
  <c r="D46" i="222"/>
  <c r="H46" i="222"/>
  <c r="L46" i="222"/>
  <c r="L46" i="44"/>
  <c r="E46" i="222"/>
  <c r="I46" i="222"/>
  <c r="M46" i="222"/>
  <c r="M46" i="44"/>
  <c r="F46" i="222"/>
  <c r="J46" i="222"/>
  <c r="N46" i="222"/>
  <c r="N46" i="44"/>
  <c r="G46" i="222"/>
  <c r="K46" i="222"/>
  <c r="O46" i="222"/>
  <c r="O105" i="44"/>
  <c r="N55" i="44"/>
  <c r="G55" i="222"/>
  <c r="K55" i="222"/>
  <c r="O55" i="222"/>
  <c r="O55" i="44"/>
  <c r="H55" i="222"/>
  <c r="L55" i="222"/>
  <c r="L55" i="44"/>
  <c r="E55" i="222"/>
  <c r="I55" i="222"/>
  <c r="M55" i="222"/>
  <c r="M55" i="44"/>
  <c r="F55" i="222"/>
  <c r="J55" i="222"/>
  <c r="N55" i="222"/>
  <c r="M66" i="44"/>
  <c r="F66" i="222"/>
  <c r="J66" i="222"/>
  <c r="N66" i="222"/>
  <c r="N66" i="44"/>
  <c r="G66" i="222"/>
  <c r="K66" i="222"/>
  <c r="O66" i="222"/>
  <c r="O66" i="44"/>
  <c r="H66" i="222"/>
  <c r="L66" i="222"/>
  <c r="L66" i="44"/>
  <c r="E66" i="222"/>
  <c r="I66" i="222"/>
  <c r="M66" i="222"/>
  <c r="L109" i="222"/>
  <c r="F109" i="222"/>
  <c r="I109" i="222"/>
  <c r="I30" i="222"/>
  <c r="E30" i="222"/>
  <c r="L30" i="44"/>
  <c r="H30" i="222"/>
  <c r="D30" i="222"/>
  <c r="O30" i="44"/>
  <c r="K30" i="44"/>
  <c r="K30" i="222"/>
  <c r="G30" i="222"/>
  <c r="N30" i="44"/>
  <c r="N30" i="222"/>
  <c r="J30" i="222"/>
  <c r="F30" i="222"/>
  <c r="F89" i="222"/>
  <c r="P59" i="222" l="1"/>
  <c r="D58" i="79" s="1"/>
  <c r="P59" i="44"/>
  <c r="D62" i="45" s="1"/>
  <c r="D64" i="51" s="1"/>
  <c r="P61" i="44"/>
  <c r="D68" i="45" s="1"/>
  <c r="D69" i="51" s="1"/>
  <c r="P61" i="222"/>
  <c r="D64" i="79" s="1"/>
  <c r="P89" i="44"/>
  <c r="D135" i="45" s="1"/>
  <c r="P55" i="44"/>
  <c r="P30" i="222"/>
  <c r="D33" i="79" s="1"/>
  <c r="P80" i="44"/>
  <c r="P92" i="44"/>
  <c r="D138" i="45" s="1"/>
  <c r="D110" i="51" s="1"/>
  <c r="P80" i="222"/>
  <c r="P70" i="222"/>
  <c r="D105" i="79" s="1"/>
  <c r="P46" i="222"/>
  <c r="P50" i="44"/>
  <c r="D49" i="45" s="1"/>
  <c r="D54" i="51" s="1"/>
  <c r="P62" i="44"/>
  <c r="P46" i="44"/>
  <c r="I89" i="222"/>
  <c r="D102" i="222"/>
  <c r="L102" i="44"/>
  <c r="H84" i="222"/>
  <c r="N102" i="44"/>
  <c r="D81" i="222"/>
  <c r="D62" i="222"/>
  <c r="P62" i="222" s="1"/>
  <c r="D65" i="79" s="1"/>
  <c r="I94" i="222"/>
  <c r="F102" i="222"/>
  <c r="K81" i="44"/>
  <c r="K69" i="44"/>
  <c r="M69" i="44"/>
  <c r="M81" i="222"/>
  <c r="K29" i="44"/>
  <c r="M102" i="44"/>
  <c r="K94" i="222"/>
  <c r="N94" i="222"/>
  <c r="M94" i="44"/>
  <c r="O84" i="222"/>
  <c r="J94" i="222"/>
  <c r="M94" i="222"/>
  <c r="O94" i="44"/>
  <c r="K53" i="44"/>
  <c r="L94" i="44"/>
  <c r="G94" i="222"/>
  <c r="M81" i="44"/>
  <c r="O81" i="222"/>
  <c r="G84" i="222"/>
  <c r="K85" i="44"/>
  <c r="J84" i="222"/>
  <c r="E84" i="222"/>
  <c r="F94" i="222"/>
  <c r="D85" i="222"/>
  <c r="L94" i="222"/>
  <c r="F69" i="222"/>
  <c r="I84" i="222"/>
  <c r="F81" i="222"/>
  <c r="E81" i="222"/>
  <c r="K84" i="222"/>
  <c r="O84" i="44"/>
  <c r="L84" i="222"/>
  <c r="K69" i="222"/>
  <c r="M84" i="44"/>
  <c r="N69" i="222"/>
  <c r="K81" i="222"/>
  <c r="N94" i="44"/>
  <c r="H94" i="222"/>
  <c r="E94" i="222"/>
  <c r="O94" i="222"/>
  <c r="F84" i="222"/>
  <c r="N84" i="222"/>
  <c r="M84" i="222"/>
  <c r="L84" i="44"/>
  <c r="N84" i="44"/>
  <c r="H81" i="222"/>
  <c r="N81" i="44"/>
  <c r="L81" i="222"/>
  <c r="D50" i="222"/>
  <c r="P50" i="222" s="1"/>
  <c r="D45" i="79" s="1"/>
  <c r="N77" i="222"/>
  <c r="N81" i="222"/>
  <c r="N70" i="44"/>
  <c r="P70" i="44" s="1"/>
  <c r="D109" i="45" s="1"/>
  <c r="D82" i="51" s="1"/>
  <c r="O69" i="222"/>
  <c r="G83" i="222"/>
  <c r="E79" i="222"/>
  <c r="L79" i="44"/>
  <c r="O79" i="44"/>
  <c r="I81" i="222"/>
  <c r="O81" i="44"/>
  <c r="H69" i="222"/>
  <c r="D69" i="222"/>
  <c r="L79" i="222"/>
  <c r="K79" i="44"/>
  <c r="O77" i="222"/>
  <c r="J79" i="222"/>
  <c r="J77" i="222"/>
  <c r="I79" i="222"/>
  <c r="L51" i="44"/>
  <c r="D84" i="222"/>
  <c r="O53" i="44"/>
  <c r="O97" i="222"/>
  <c r="J69" i="222"/>
  <c r="G69" i="222"/>
  <c r="M79" i="44"/>
  <c r="N69" i="44"/>
  <c r="H79" i="222"/>
  <c r="K79" i="222"/>
  <c r="J29" i="222"/>
  <c r="N29" i="44"/>
  <c r="L29" i="222"/>
  <c r="M77" i="222"/>
  <c r="O79" i="222"/>
  <c r="O29" i="222"/>
  <c r="K29" i="222"/>
  <c r="G86" i="222"/>
  <c r="G79" i="222"/>
  <c r="K84" i="44"/>
  <c r="M29" i="222"/>
  <c r="E29" i="222"/>
  <c r="L97" i="44"/>
  <c r="G77" i="222"/>
  <c r="M69" i="222"/>
  <c r="N79" i="44"/>
  <c r="K97" i="44"/>
  <c r="I53" i="222"/>
  <c r="F29" i="222"/>
  <c r="G29" i="222"/>
  <c r="O29" i="44"/>
  <c r="N96" i="222"/>
  <c r="L69" i="44"/>
  <c r="L69" i="222"/>
  <c r="K96" i="44"/>
  <c r="K68" i="44"/>
  <c r="N29" i="222"/>
  <c r="H29" i="222"/>
  <c r="F79" i="222"/>
  <c r="M79" i="222"/>
  <c r="L29" i="44"/>
  <c r="D29" i="222"/>
  <c r="M29" i="44"/>
  <c r="O69" i="44"/>
  <c r="I29" i="222"/>
  <c r="D79" i="222"/>
  <c r="E77" i="222"/>
  <c r="E69" i="222"/>
  <c r="J97" i="222"/>
  <c r="M77" i="44"/>
  <c r="N79" i="222"/>
  <c r="N97" i="44"/>
  <c r="D97" i="222"/>
  <c r="L96" i="44"/>
  <c r="O97" i="44"/>
  <c r="E105" i="222"/>
  <c r="D54" i="222"/>
  <c r="G54" i="222"/>
  <c r="F54" i="222"/>
  <c r="M97" i="44"/>
  <c r="L97" i="222"/>
  <c r="I97" i="222"/>
  <c r="F97" i="222"/>
  <c r="N77" i="44"/>
  <c r="I105" i="222"/>
  <c r="M105" i="44"/>
  <c r="J54" i="222"/>
  <c r="M83" i="44"/>
  <c r="P83" i="44" s="1"/>
  <c r="D125" i="45" s="1"/>
  <c r="D100" i="51" s="1"/>
  <c r="K77" i="222"/>
  <c r="I77" i="222"/>
  <c r="O105" i="222"/>
  <c r="N105" i="44"/>
  <c r="M54" i="222"/>
  <c r="L54" i="44"/>
  <c r="O54" i="44"/>
  <c r="K96" i="222"/>
  <c r="I69" i="222"/>
  <c r="L77" i="44"/>
  <c r="H97" i="222"/>
  <c r="H77" i="222"/>
  <c r="G97" i="222"/>
  <c r="H96" i="222"/>
  <c r="F77" i="222"/>
  <c r="M105" i="222"/>
  <c r="F105" i="222"/>
  <c r="G105" i="222"/>
  <c r="E54" i="222"/>
  <c r="H54" i="222"/>
  <c r="K54" i="222"/>
  <c r="N54" i="222"/>
  <c r="M54" i="44"/>
  <c r="J105" i="222"/>
  <c r="N105" i="222"/>
  <c r="K105" i="222"/>
  <c r="I54" i="222"/>
  <c r="L54" i="222"/>
  <c r="O54" i="222"/>
  <c r="N54" i="44"/>
  <c r="N85" i="44"/>
  <c r="L85" i="222"/>
  <c r="K85" i="222"/>
  <c r="L85" i="44"/>
  <c r="M85" i="222"/>
  <c r="N74" i="44"/>
  <c r="N85" i="222"/>
  <c r="I85" i="222"/>
  <c r="J85" i="222"/>
  <c r="E85" i="222"/>
  <c r="O85" i="222"/>
  <c r="G85" i="222"/>
  <c r="M85" i="44"/>
  <c r="O85" i="44"/>
  <c r="F85" i="222"/>
  <c r="H85" i="222"/>
  <c r="M97" i="222"/>
  <c r="O77" i="44"/>
  <c r="L77" i="222"/>
  <c r="N97" i="222"/>
  <c r="O102" i="44"/>
  <c r="E96" i="222"/>
  <c r="K97" i="222"/>
  <c r="J96" i="222"/>
  <c r="N96" i="44"/>
  <c r="M96" i="222"/>
  <c r="E97" i="222"/>
  <c r="F96" i="222"/>
  <c r="O96" i="222"/>
  <c r="D96" i="222"/>
  <c r="I96" i="222"/>
  <c r="G96" i="222"/>
  <c r="D53" i="222"/>
  <c r="L53" i="44"/>
  <c r="H52" i="222"/>
  <c r="O96" i="44"/>
  <c r="M30" i="44"/>
  <c r="P30" i="44" s="1"/>
  <c r="D37" i="45" s="1"/>
  <c r="D48" i="51" s="1"/>
  <c r="L96" i="222"/>
  <c r="M96" i="44"/>
  <c r="G53" i="222"/>
  <c r="L53" i="222"/>
  <c r="O53" i="222"/>
  <c r="E106" i="222"/>
  <c r="H87" i="222"/>
  <c r="H57" i="222"/>
  <c r="G87" i="222"/>
  <c r="H58" i="222"/>
  <c r="E65" i="222"/>
  <c r="G57" i="222"/>
  <c r="G67" i="222"/>
  <c r="G65" i="222"/>
  <c r="M57" i="44"/>
  <c r="L63" i="44"/>
  <c r="M49" i="44"/>
  <c r="H53" i="222"/>
  <c r="K53" i="222"/>
  <c r="N53" i="222"/>
  <c r="M53" i="44"/>
  <c r="E53" i="222"/>
  <c r="O106" i="44"/>
  <c r="L57" i="44"/>
  <c r="M86" i="44"/>
  <c r="H93" i="222"/>
  <c r="N53" i="44"/>
  <c r="L87" i="44"/>
  <c r="O49" i="44"/>
  <c r="M53" i="222"/>
  <c r="F53" i="222"/>
  <c r="J53" i="222"/>
  <c r="O51" i="44"/>
  <c r="O58" i="44"/>
  <c r="H106" i="222"/>
  <c r="E51" i="222"/>
  <c r="H56" i="222"/>
  <c r="H48" i="222"/>
  <c r="H60" i="222"/>
  <c r="G98" i="222"/>
  <c r="E52" i="222"/>
  <c r="G64" i="222"/>
  <c r="E60" i="222"/>
  <c r="G52" i="222"/>
  <c r="N51" i="44"/>
  <c r="O52" i="44"/>
  <c r="M52" i="44"/>
  <c r="H51" i="222"/>
  <c r="H49" i="222"/>
  <c r="F58" i="222"/>
  <c r="M58" i="44"/>
  <c r="E48" i="222"/>
  <c r="E64" i="222"/>
  <c r="L86" i="44"/>
  <c r="K106" i="44"/>
  <c r="K52" i="44"/>
  <c r="D55" i="222"/>
  <c r="P55" i="222" s="1"/>
  <c r="D94" i="222"/>
  <c r="K57" i="44"/>
  <c r="K65" i="44"/>
  <c r="K66" i="44"/>
  <c r="P66" i="44" s="1"/>
  <c r="D79" i="45" s="1"/>
  <c r="D77" i="51" s="1"/>
  <c r="K105" i="44"/>
  <c r="K54" i="44"/>
  <c r="K63" i="44"/>
  <c r="D106" i="222"/>
  <c r="D57" i="222"/>
  <c r="K94" i="44"/>
  <c r="D58" i="222"/>
  <c r="D60" i="222"/>
  <c r="D65" i="222"/>
  <c r="D66" i="222"/>
  <c r="P66" i="222" s="1"/>
  <c r="D75" i="79" s="1"/>
  <c r="D105" i="222"/>
  <c r="G58" i="222"/>
  <c r="K93" i="44"/>
  <c r="E93" i="222"/>
  <c r="L49" i="44"/>
  <c r="K49" i="44"/>
  <c r="G49" i="222"/>
  <c r="L60" i="44"/>
  <c r="F60" i="222"/>
  <c r="L48" i="44"/>
  <c r="N48" i="44"/>
  <c r="N57" i="44"/>
  <c r="M93" i="44"/>
  <c r="O74" i="44"/>
  <c r="K48" i="44"/>
  <c r="N106" i="44"/>
  <c r="K58" i="44"/>
  <c r="O60" i="44"/>
  <c r="K64" i="44"/>
  <c r="N64" i="44"/>
  <c r="F48" i="222"/>
  <c r="D48" i="222"/>
  <c r="F86" i="222"/>
  <c r="E57" i="222"/>
  <c r="E87" i="222"/>
  <c r="L64" i="44"/>
  <c r="G60" i="222"/>
  <c r="L73" i="44"/>
  <c r="K73" i="44"/>
  <c r="K74" i="44"/>
  <c r="D51" i="222"/>
  <c r="D87" i="222"/>
  <c r="M87" i="44"/>
  <c r="H64" i="222"/>
  <c r="G56" i="222"/>
  <c r="F52" i="222"/>
  <c r="D52" i="222"/>
  <c r="N58" i="44"/>
  <c r="O64" i="44"/>
  <c r="L74" i="44"/>
  <c r="F51" i="222"/>
  <c r="G51" i="222"/>
  <c r="M63" i="44"/>
  <c r="D63" i="222"/>
  <c r="L78" i="44"/>
  <c r="N52" i="44"/>
  <c r="L52" i="44"/>
  <c r="E58" i="222"/>
  <c r="M60" i="44"/>
  <c r="K60" i="44"/>
  <c r="M64" i="44"/>
  <c r="F64" i="222"/>
  <c r="O48" i="44"/>
  <c r="M48" i="44"/>
  <c r="O86" i="44"/>
  <c r="F57" i="222"/>
  <c r="O87" i="44"/>
  <c r="N87" i="44"/>
  <c r="K51" i="44"/>
  <c r="H86" i="222"/>
  <c r="M74" i="44"/>
  <c r="N49" i="44"/>
  <c r="L58" i="44"/>
  <c r="N60" i="44"/>
  <c r="D64" i="222"/>
  <c r="K86" i="44"/>
  <c r="N86" i="44"/>
  <c r="D86" i="222"/>
  <c r="L93" i="44"/>
  <c r="N93" i="44"/>
  <c r="K87" i="44"/>
  <c r="G48" i="222"/>
  <c r="M51" i="44"/>
  <c r="E49" i="222"/>
  <c r="N63" i="44"/>
  <c r="E86" i="222"/>
  <c r="O57" i="44"/>
  <c r="O93" i="44"/>
  <c r="F93" i="222"/>
  <c r="F87" i="222"/>
  <c r="M106" i="44"/>
  <c r="O78" i="44"/>
  <c r="M78" i="44"/>
  <c r="L106" i="44"/>
  <c r="N78" i="44"/>
  <c r="O91" i="44"/>
  <c r="M91" i="44"/>
  <c r="E91" i="222"/>
  <c r="E47" i="222"/>
  <c r="L47" i="44"/>
  <c r="H47" i="222"/>
  <c r="G106" i="222"/>
  <c r="K91" i="44"/>
  <c r="F91" i="222"/>
  <c r="F47" i="222"/>
  <c r="G47" i="222"/>
  <c r="D47" i="222"/>
  <c r="M73" i="44"/>
  <c r="N73" i="44"/>
  <c r="F106" i="222"/>
  <c r="K78" i="44"/>
  <c r="D91" i="222"/>
  <c r="L91" i="44"/>
  <c r="O47" i="44"/>
  <c r="G91" i="222"/>
  <c r="N91" i="44"/>
  <c r="K47" i="44"/>
  <c r="N47" i="44"/>
  <c r="M47" i="44"/>
  <c r="O73" i="44"/>
  <c r="G93" i="222"/>
  <c r="F49" i="222"/>
  <c r="D93" i="222"/>
  <c r="G95" i="222"/>
  <c r="L95" i="44"/>
  <c r="K95" i="44"/>
  <c r="O95" i="44"/>
  <c r="N95" i="44"/>
  <c r="F95" i="222"/>
  <c r="H95" i="222"/>
  <c r="D95" i="222"/>
  <c r="M95" i="44"/>
  <c r="E95" i="222"/>
  <c r="D49" i="222"/>
  <c r="H88" i="222"/>
  <c r="N88" i="44"/>
  <c r="K88" i="222"/>
  <c r="E88" i="222"/>
  <c r="J88" i="222"/>
  <c r="N56" i="44"/>
  <c r="L56" i="44"/>
  <c r="F56" i="222"/>
  <c r="O88" i="44"/>
  <c r="L88" i="222"/>
  <c r="F88" i="222"/>
  <c r="D56" i="222"/>
  <c r="O56" i="44"/>
  <c r="O88" i="222"/>
  <c r="D88" i="222"/>
  <c r="M88" i="222"/>
  <c r="L88" i="44"/>
  <c r="M56" i="44"/>
  <c r="K56" i="44"/>
  <c r="E56" i="222"/>
  <c r="G88" i="222"/>
  <c r="K88" i="44"/>
  <c r="I88" i="222"/>
  <c r="N88" i="222"/>
  <c r="M88" i="44"/>
  <c r="N68" i="44"/>
  <c r="G102" i="222"/>
  <c r="K103" i="44"/>
  <c r="O103" i="44"/>
  <c r="M103" i="44"/>
  <c r="L103" i="44"/>
  <c r="N103" i="44"/>
  <c r="M104" i="44"/>
  <c r="K67" i="44"/>
  <c r="F67" i="222"/>
  <c r="M76" i="44"/>
  <c r="N76" i="44"/>
  <c r="N71" i="44"/>
  <c r="L71" i="44"/>
  <c r="L65" i="44"/>
  <c r="O75" i="44"/>
  <c r="E67" i="222"/>
  <c r="H67" i="222"/>
  <c r="N67" i="44"/>
  <c r="O76" i="44"/>
  <c r="O71" i="44"/>
  <c r="M65" i="44"/>
  <c r="M75" i="44"/>
  <c r="K75" i="44"/>
  <c r="D67" i="222"/>
  <c r="M67" i="44"/>
  <c r="K76" i="44"/>
  <c r="L76" i="44"/>
  <c r="M71" i="44"/>
  <c r="K71" i="44"/>
  <c r="H65" i="222"/>
  <c r="F65" i="222"/>
  <c r="L67" i="44"/>
  <c r="O67" i="44"/>
  <c r="O65" i="44"/>
  <c r="N65" i="44"/>
  <c r="N75" i="44"/>
  <c r="L75" i="44"/>
  <c r="K90" i="44"/>
  <c r="G90" i="222"/>
  <c r="F90" i="222"/>
  <c r="D73" i="222"/>
  <c r="O82" i="44"/>
  <c r="M82" i="44"/>
  <c r="D78" i="222"/>
  <c r="D90" i="222"/>
  <c r="H90" i="222"/>
  <c r="N90" i="44"/>
  <c r="E90" i="222"/>
  <c r="D75" i="222"/>
  <c r="D82" i="222"/>
  <c r="G82" i="222"/>
  <c r="E78" i="222"/>
  <c r="D74" i="222"/>
  <c r="D71" i="222"/>
  <c r="O90" i="44"/>
  <c r="M90" i="44"/>
  <c r="H82" i="222"/>
  <c r="E82" i="222"/>
  <c r="K82" i="44"/>
  <c r="F82" i="222"/>
  <c r="D76" i="222"/>
  <c r="L90" i="44"/>
  <c r="L82" i="44"/>
  <c r="N82" i="44"/>
  <c r="D68" i="222"/>
  <c r="K98" i="44"/>
  <c r="F98" i="222"/>
  <c r="E98" i="222"/>
  <c r="M98" i="44"/>
  <c r="N98" i="44"/>
  <c r="M68" i="44"/>
  <c r="O98" i="44"/>
  <c r="L98" i="44"/>
  <c r="L104" i="44"/>
  <c r="N104" i="44"/>
  <c r="N108" i="44"/>
  <c r="G99" i="222"/>
  <c r="K104" i="44"/>
  <c r="O104" i="44"/>
  <c r="L109" i="44"/>
  <c r="O109" i="44"/>
  <c r="G107" i="222"/>
  <c r="M107" i="44"/>
  <c r="D109" i="222"/>
  <c r="D104" i="222"/>
  <c r="N109" i="44"/>
  <c r="O109" i="222"/>
  <c r="H109" i="222"/>
  <c r="E109" i="222"/>
  <c r="H91" i="222"/>
  <c r="O68" i="44"/>
  <c r="L68" i="44"/>
  <c r="E76" i="222"/>
  <c r="E99" i="222"/>
  <c r="D99" i="222"/>
  <c r="O101" i="44"/>
  <c r="L101" i="44"/>
  <c r="M101" i="222"/>
  <c r="J101" i="222"/>
  <c r="G101" i="222"/>
  <c r="H108" i="222"/>
  <c r="L72" i="44"/>
  <c r="M72" i="44"/>
  <c r="O63" i="44"/>
  <c r="D103" i="222"/>
  <c r="M99" i="44"/>
  <c r="D101" i="222"/>
  <c r="M101" i="44"/>
  <c r="N101" i="222"/>
  <c r="K101" i="222"/>
  <c r="O72" i="44"/>
  <c r="K72" i="44"/>
  <c r="N72" i="44"/>
  <c r="M109" i="44"/>
  <c r="M108" i="44"/>
  <c r="D72" i="222"/>
  <c r="L108" i="44"/>
  <c r="D108" i="222"/>
  <c r="E107" i="222"/>
  <c r="N107" i="44"/>
  <c r="E74" i="222"/>
  <c r="N99" i="44"/>
  <c r="K99" i="44"/>
  <c r="H101" i="222"/>
  <c r="E101" i="222"/>
  <c r="N101" i="44"/>
  <c r="O101" i="222"/>
  <c r="E72" i="222"/>
  <c r="O107" i="44"/>
  <c r="O108" i="44"/>
  <c r="D98" i="222"/>
  <c r="D107" i="222"/>
  <c r="F107" i="222"/>
  <c r="K107" i="44"/>
  <c r="H98" i="222"/>
  <c r="E75" i="222"/>
  <c r="E68" i="222"/>
  <c r="E71" i="222"/>
  <c r="H83" i="222"/>
  <c r="E73" i="222"/>
  <c r="L99" i="44"/>
  <c r="O99" i="44"/>
  <c r="K101" i="44"/>
  <c r="L101" i="222"/>
  <c r="I101" i="222"/>
  <c r="F101" i="222"/>
  <c r="H107" i="222"/>
  <c r="L107" i="44"/>
  <c r="P94" i="44" l="1"/>
  <c r="D145" i="45" s="1"/>
  <c r="D114" i="51" s="1"/>
  <c r="P54" i="44"/>
  <c r="D53" i="45" s="1"/>
  <c r="D58" i="51" s="1"/>
  <c r="P105" i="44"/>
  <c r="D163" i="45" s="1"/>
  <c r="D126" i="51" s="1"/>
  <c r="P94" i="222"/>
  <c r="D141" i="79" s="1"/>
  <c r="P84" i="222"/>
  <c r="D122" i="79" s="1"/>
  <c r="P84" i="44"/>
  <c r="D126" i="45" s="1"/>
  <c r="D101" i="51" s="1"/>
  <c r="P108" i="44"/>
  <c r="D166" i="45" s="1"/>
  <c r="D131" i="51" s="1"/>
  <c r="P101" i="44"/>
  <c r="D159" i="45" s="1"/>
  <c r="D122" i="51" s="1"/>
  <c r="P78" i="44"/>
  <c r="D117" i="45" s="1"/>
  <c r="D90" i="51" s="1"/>
  <c r="P105" i="222"/>
  <c r="D159" i="79" s="1"/>
  <c r="P77" i="222"/>
  <c r="D112" i="79" s="1"/>
  <c r="P102" i="44"/>
  <c r="D160" i="45" s="1"/>
  <c r="D123" i="51" s="1"/>
  <c r="P75" i="44"/>
  <c r="D114" i="45" s="1"/>
  <c r="D87" i="51" s="1"/>
  <c r="P76" i="44"/>
  <c r="D115" i="45" s="1"/>
  <c r="D88" i="51" s="1"/>
  <c r="P77" i="44"/>
  <c r="D116" i="45" s="1"/>
  <c r="D89" i="51" s="1"/>
  <c r="P72" i="44"/>
  <c r="D111" i="45" s="1"/>
  <c r="D84" i="51" s="1"/>
  <c r="P109" i="44"/>
  <c r="D170" i="45" s="1"/>
  <c r="D171" i="45" s="1"/>
  <c r="P86" i="44"/>
  <c r="D128" i="45" s="1"/>
  <c r="D103" i="51" s="1"/>
  <c r="P101" i="222"/>
  <c r="D155" i="79" s="1"/>
  <c r="P58" i="44"/>
  <c r="D61" i="45" s="1"/>
  <c r="D63" i="51" s="1"/>
  <c r="P93" i="44"/>
  <c r="P63" i="44"/>
  <c r="D70" i="45" s="1"/>
  <c r="D71" i="51" s="1"/>
  <c r="P106" i="44"/>
  <c r="D164" i="45" s="1"/>
  <c r="D127" i="51" s="1"/>
  <c r="P29" i="222"/>
  <c r="D110" i="222"/>
  <c r="P96" i="44"/>
  <c r="P97" i="44"/>
  <c r="P85" i="44"/>
  <c r="D127" i="45" s="1"/>
  <c r="D102" i="51" s="1"/>
  <c r="P81" i="44"/>
  <c r="D123" i="45" s="1"/>
  <c r="D93" i="51" s="1"/>
  <c r="P81" i="222"/>
  <c r="D119" i="79" s="1"/>
  <c r="D69" i="45"/>
  <c r="P99" i="44"/>
  <c r="D157" i="45" s="1"/>
  <c r="D120" i="51" s="1"/>
  <c r="P104" i="44"/>
  <c r="D162" i="45" s="1"/>
  <c r="D125" i="51" s="1"/>
  <c r="P82" i="44"/>
  <c r="D124" i="45" s="1"/>
  <c r="D99" i="51" s="1"/>
  <c r="P90" i="44"/>
  <c r="P71" i="44"/>
  <c r="D110" i="45" s="1"/>
  <c r="D83" i="51" s="1"/>
  <c r="P67" i="44"/>
  <c r="D80" i="45" s="1"/>
  <c r="D78" i="51" s="1"/>
  <c r="P56" i="44"/>
  <c r="D59" i="45" s="1"/>
  <c r="D61" i="51" s="1"/>
  <c r="P91" i="44"/>
  <c r="D137" i="45" s="1"/>
  <c r="D109" i="51" s="1"/>
  <c r="P74" i="44"/>
  <c r="D113" i="45" s="1"/>
  <c r="D86" i="51" s="1"/>
  <c r="P64" i="44"/>
  <c r="D71" i="45" s="1"/>
  <c r="D72" i="51" s="1"/>
  <c r="P49" i="44"/>
  <c r="D48" i="45" s="1"/>
  <c r="D53" i="51" s="1"/>
  <c r="D53" i="79"/>
  <c r="P52" i="44"/>
  <c r="D51" i="45" s="1"/>
  <c r="D56" i="51" s="1"/>
  <c r="P96" i="222"/>
  <c r="L111" i="44"/>
  <c r="O111" i="44"/>
  <c r="N111" i="44"/>
  <c r="P85" i="222"/>
  <c r="D123" i="79" s="1"/>
  <c r="K111" i="44"/>
  <c r="P29" i="44"/>
  <c r="P69" i="44"/>
  <c r="D108" i="45" s="1"/>
  <c r="D81" i="51" s="1"/>
  <c r="D40" i="79"/>
  <c r="D122" i="45"/>
  <c r="P107" i="44"/>
  <c r="D165" i="45" s="1"/>
  <c r="D130" i="51" s="1"/>
  <c r="P98" i="44"/>
  <c r="P88" i="44"/>
  <c r="D130" i="45" s="1"/>
  <c r="D105" i="51" s="1"/>
  <c r="P88" i="222"/>
  <c r="D126" i="79" s="1"/>
  <c r="P95" i="44"/>
  <c r="P47" i="44"/>
  <c r="D46" i="45" s="1"/>
  <c r="D51" i="51" s="1"/>
  <c r="P87" i="44"/>
  <c r="D129" i="45" s="1"/>
  <c r="D104" i="51" s="1"/>
  <c r="P51" i="44"/>
  <c r="D50" i="45" s="1"/>
  <c r="D55" i="51" s="1"/>
  <c r="P54" i="222"/>
  <c r="D49" i="79" s="1"/>
  <c r="P97" i="222"/>
  <c r="P69" i="222"/>
  <c r="D104" i="79" s="1"/>
  <c r="P53" i="44"/>
  <c r="D52" i="45" s="1"/>
  <c r="D57" i="51" s="1"/>
  <c r="P103" i="44"/>
  <c r="D161" i="45" s="1"/>
  <c r="D124" i="51" s="1"/>
  <c r="P60" i="44"/>
  <c r="D63" i="45" s="1"/>
  <c r="D66" i="51" s="1"/>
  <c r="P73" i="44"/>
  <c r="D112" i="45" s="1"/>
  <c r="D85" i="51" s="1"/>
  <c r="P48" i="44"/>
  <c r="D47" i="45" s="1"/>
  <c r="D52" i="51" s="1"/>
  <c r="P65" i="44"/>
  <c r="P57" i="44"/>
  <c r="D60" i="45" s="1"/>
  <c r="D62" i="51" s="1"/>
  <c r="P53" i="222"/>
  <c r="D48" i="79" s="1"/>
  <c r="P79" i="222"/>
  <c r="D114" i="79" s="1"/>
  <c r="M111" i="44"/>
  <c r="P68" i="44"/>
  <c r="P79" i="44"/>
  <c r="D118" i="45" s="1"/>
  <c r="D91" i="51" s="1"/>
  <c r="D44" i="45"/>
  <c r="D118" i="79"/>
  <c r="D57" i="45"/>
  <c r="D107" i="51"/>
  <c r="K89" i="222"/>
  <c r="H99" i="222"/>
  <c r="I47" i="222"/>
  <c r="I51" i="222"/>
  <c r="I49" i="222"/>
  <c r="I87" i="222"/>
  <c r="I57" i="222"/>
  <c r="I48" i="222"/>
  <c r="I56" i="222"/>
  <c r="I64" i="222"/>
  <c r="I60" i="222"/>
  <c r="I67" i="222"/>
  <c r="I52" i="222"/>
  <c r="I58" i="222"/>
  <c r="I106" i="222"/>
  <c r="I107" i="222"/>
  <c r="I108" i="222"/>
  <c r="H102" i="222"/>
  <c r="I82" i="222"/>
  <c r="I86" i="222"/>
  <c r="I90" i="222"/>
  <c r="I93" i="222"/>
  <c r="I65" i="222"/>
  <c r="I95" i="222"/>
  <c r="E104" i="222"/>
  <c r="E108" i="222"/>
  <c r="E63" i="222"/>
  <c r="I91" i="222"/>
  <c r="E103" i="222"/>
  <c r="F74" i="222"/>
  <c r="F72" i="222"/>
  <c r="F63" i="222"/>
  <c r="F76" i="222"/>
  <c r="F73" i="222"/>
  <c r="F71" i="222"/>
  <c r="F78" i="222"/>
  <c r="I98" i="222"/>
  <c r="I83" i="222"/>
  <c r="J25" i="42" l="1"/>
  <c r="J29" i="42" s="1"/>
  <c r="J31" i="42" s="1"/>
  <c r="D132" i="51"/>
  <c r="D78" i="45"/>
  <c r="D149" i="45"/>
  <c r="D48" i="100"/>
  <c r="H49" i="100"/>
  <c r="J49" i="100" s="1"/>
  <c r="D146" i="79"/>
  <c r="D70" i="51"/>
  <c r="D74" i="45"/>
  <c r="D50" i="100"/>
  <c r="F50" i="100" s="1"/>
  <c r="D151" i="45"/>
  <c r="D117" i="51" s="1"/>
  <c r="D59" i="51"/>
  <c r="D64" i="45"/>
  <c r="D49" i="100"/>
  <c r="F49" i="100" s="1"/>
  <c r="D150" i="45"/>
  <c r="D116" i="51" s="1"/>
  <c r="D144" i="45"/>
  <c r="D20" i="100"/>
  <c r="E110" i="222"/>
  <c r="D107" i="45"/>
  <c r="D147" i="79"/>
  <c r="H50" i="100"/>
  <c r="J50" i="100" s="1"/>
  <c r="D92" i="51"/>
  <c r="D132" i="45"/>
  <c r="D36" i="45"/>
  <c r="D38" i="45" s="1"/>
  <c r="D32" i="79"/>
  <c r="D34" i="79" s="1"/>
  <c r="D49" i="51"/>
  <c r="D54" i="45"/>
  <c r="D156" i="45"/>
  <c r="D136" i="45"/>
  <c r="J89" i="222"/>
  <c r="I99" i="222"/>
  <c r="J67" i="222"/>
  <c r="J57" i="222"/>
  <c r="J87" i="222"/>
  <c r="J48" i="222"/>
  <c r="J58" i="222"/>
  <c r="J52" i="222"/>
  <c r="F75" i="222"/>
  <c r="J47" i="222"/>
  <c r="J56" i="222"/>
  <c r="J107" i="222"/>
  <c r="J108" i="222"/>
  <c r="J106" i="222"/>
  <c r="J60" i="222"/>
  <c r="J49" i="222"/>
  <c r="J51" i="222"/>
  <c r="J64" i="222"/>
  <c r="I102" i="222"/>
  <c r="J86" i="222"/>
  <c r="J82" i="222"/>
  <c r="J90" i="222"/>
  <c r="J93" i="222"/>
  <c r="J65" i="222"/>
  <c r="F68" i="222"/>
  <c r="J95" i="222"/>
  <c r="F103" i="222"/>
  <c r="F104" i="222"/>
  <c r="F99" i="222"/>
  <c r="J98" i="222"/>
  <c r="J91" i="222"/>
  <c r="G75" i="222"/>
  <c r="G76" i="222"/>
  <c r="G73" i="222"/>
  <c r="G71" i="222"/>
  <c r="G78" i="222"/>
  <c r="G74" i="222"/>
  <c r="J83" i="222"/>
  <c r="H50" i="10" l="1"/>
  <c r="D19" i="46"/>
  <c r="D18" i="24" s="1"/>
  <c r="H18" i="24" s="1"/>
  <c r="D167" i="45"/>
  <c r="D119" i="51"/>
  <c r="K18" i="46"/>
  <c r="D18" i="46"/>
  <c r="F20" i="100"/>
  <c r="F22" i="100" s="1"/>
  <c r="D22" i="100"/>
  <c r="D115" i="51"/>
  <c r="D153" i="45"/>
  <c r="D80" i="51"/>
  <c r="D119" i="45"/>
  <c r="D113" i="51"/>
  <c r="D146" i="45"/>
  <c r="D108" i="51"/>
  <c r="D139" i="45"/>
  <c r="F110" i="222"/>
  <c r="D52" i="100"/>
  <c r="F48" i="100"/>
  <c r="F52" i="100" s="1"/>
  <c r="D76" i="51"/>
  <c r="D82" i="45"/>
  <c r="L89" i="222"/>
  <c r="K47" i="222"/>
  <c r="K57" i="222"/>
  <c r="K51" i="222"/>
  <c r="K60" i="222"/>
  <c r="K49" i="222"/>
  <c r="K48" i="222"/>
  <c r="K86" i="222"/>
  <c r="K87" i="222"/>
  <c r="K56" i="222"/>
  <c r="K52" i="222"/>
  <c r="K64" i="222"/>
  <c r="K58" i="222"/>
  <c r="K82" i="222"/>
  <c r="K106" i="222"/>
  <c r="K107" i="222"/>
  <c r="K108" i="222"/>
  <c r="J102" i="222"/>
  <c r="J99" i="222"/>
  <c r="K90" i="222"/>
  <c r="K93" i="222"/>
  <c r="K65" i="222"/>
  <c r="K95" i="222"/>
  <c r="K67" i="222"/>
  <c r="G68" i="222"/>
  <c r="G103" i="222"/>
  <c r="K91" i="222"/>
  <c r="G104" i="222"/>
  <c r="K83" i="222"/>
  <c r="K99" i="222"/>
  <c r="H75" i="222"/>
  <c r="H73" i="222"/>
  <c r="H71" i="222"/>
  <c r="H74" i="222"/>
  <c r="H63" i="222"/>
  <c r="H76" i="222"/>
  <c r="H72" i="222"/>
  <c r="H78" i="222"/>
  <c r="G63" i="222"/>
  <c r="G109" i="222"/>
  <c r="G72" i="222"/>
  <c r="K98" i="222"/>
  <c r="D134" i="51" l="1"/>
  <c r="D20" i="46"/>
  <c r="D20" i="24" s="1"/>
  <c r="H20" i="24" s="1"/>
  <c r="D173" i="45"/>
  <c r="G110" i="222"/>
  <c r="D23" i="46"/>
  <c r="D26" i="24" s="1"/>
  <c r="H26" i="24" s="1"/>
  <c r="D16" i="24"/>
  <c r="D22" i="46"/>
  <c r="D24" i="24" s="1"/>
  <c r="H24" i="24" s="1"/>
  <c r="D21" i="46"/>
  <c r="D22" i="24" s="1"/>
  <c r="H22" i="24" s="1"/>
  <c r="D24" i="46"/>
  <c r="D28" i="24" s="1"/>
  <c r="H28" i="24" s="1"/>
  <c r="F18" i="46"/>
  <c r="O18" i="46"/>
  <c r="D25" i="46"/>
  <c r="D30" i="24" s="1"/>
  <c r="H30" i="24" s="1"/>
  <c r="N89" i="222"/>
  <c r="M89" i="222"/>
  <c r="L57" i="222"/>
  <c r="L47" i="222"/>
  <c r="L58" i="222"/>
  <c r="L51" i="222"/>
  <c r="L87" i="222"/>
  <c r="L48" i="222"/>
  <c r="L49" i="222"/>
  <c r="L60" i="222"/>
  <c r="L64" i="222"/>
  <c r="L56" i="222"/>
  <c r="L52" i="222"/>
  <c r="K102" i="222"/>
  <c r="L106" i="222"/>
  <c r="L107" i="222"/>
  <c r="L108" i="222"/>
  <c r="L86" i="222"/>
  <c r="L90" i="222"/>
  <c r="L82" i="222"/>
  <c r="L93" i="222"/>
  <c r="L65" i="222"/>
  <c r="L95" i="222"/>
  <c r="L67" i="222"/>
  <c r="H68" i="222"/>
  <c r="L98" i="222"/>
  <c r="H104" i="222"/>
  <c r="L91" i="222"/>
  <c r="I75" i="222"/>
  <c r="I76" i="222"/>
  <c r="I72" i="222"/>
  <c r="I63" i="222"/>
  <c r="I78" i="222"/>
  <c r="I73" i="222"/>
  <c r="I71" i="222"/>
  <c r="L83" i="222"/>
  <c r="H103" i="222"/>
  <c r="H110" i="222" l="1"/>
  <c r="D16" i="69"/>
  <c r="E15" i="84"/>
  <c r="D19" i="47"/>
  <c r="D32" i="24"/>
  <c r="H32" i="24" s="1"/>
  <c r="H16" i="24"/>
  <c r="L99" i="222"/>
  <c r="M47" i="222"/>
  <c r="M57" i="222"/>
  <c r="M60" i="222"/>
  <c r="M58" i="222"/>
  <c r="M49" i="222"/>
  <c r="M64" i="222"/>
  <c r="M107" i="222"/>
  <c r="M108" i="222"/>
  <c r="M106" i="222"/>
  <c r="M87" i="222"/>
  <c r="M56" i="222"/>
  <c r="M51" i="222"/>
  <c r="M48" i="222"/>
  <c r="M67" i="222"/>
  <c r="M52" i="222"/>
  <c r="L102" i="222"/>
  <c r="M90" i="222"/>
  <c r="M86" i="222"/>
  <c r="M91" i="222"/>
  <c r="M82" i="222"/>
  <c r="M93" i="222"/>
  <c r="M65" i="222"/>
  <c r="I103" i="222"/>
  <c r="I74" i="222"/>
  <c r="I68" i="222"/>
  <c r="M95" i="222"/>
  <c r="I104" i="222"/>
  <c r="M83" i="222"/>
  <c r="J75" i="222"/>
  <c r="J72" i="222"/>
  <c r="J76" i="222"/>
  <c r="J73" i="222"/>
  <c r="J71" i="222"/>
  <c r="J78" i="222"/>
  <c r="J63" i="222"/>
  <c r="J74" i="222"/>
  <c r="M98" i="222"/>
  <c r="I110" i="222" l="1"/>
  <c r="H16" i="69"/>
  <c r="J32" i="24"/>
  <c r="E14" i="31"/>
  <c r="O89" i="222"/>
  <c r="P89" i="222" s="1"/>
  <c r="N48" i="222"/>
  <c r="N64" i="222"/>
  <c r="N87" i="222"/>
  <c r="M99" i="222"/>
  <c r="N47" i="222"/>
  <c r="N56" i="222"/>
  <c r="N51" i="222"/>
  <c r="N58" i="222"/>
  <c r="N57" i="222"/>
  <c r="N106" i="222"/>
  <c r="N107" i="222"/>
  <c r="N108" i="222"/>
  <c r="N60" i="222"/>
  <c r="N49" i="222"/>
  <c r="N52" i="222"/>
  <c r="M102" i="222"/>
  <c r="N86" i="222"/>
  <c r="N90" i="222"/>
  <c r="N91" i="222"/>
  <c r="N82" i="222"/>
  <c r="N95" i="222"/>
  <c r="N67" i="222"/>
  <c r="N93" i="222"/>
  <c r="N65" i="222"/>
  <c r="J68" i="222"/>
  <c r="J109" i="222"/>
  <c r="K75" i="222"/>
  <c r="K72" i="222"/>
  <c r="K73" i="222"/>
  <c r="K71" i="222"/>
  <c r="K74" i="222"/>
  <c r="K78" i="222"/>
  <c r="K76" i="222"/>
  <c r="K63" i="222"/>
  <c r="J104" i="222"/>
  <c r="N98" i="222"/>
  <c r="N83" i="222"/>
  <c r="J103" i="222"/>
  <c r="D131" i="79" l="1"/>
  <c r="J110" i="222"/>
  <c r="D21" i="3"/>
  <c r="E22" i="31"/>
  <c r="N102" i="222"/>
  <c r="O51" i="222"/>
  <c r="P51" i="222" s="1"/>
  <c r="D46" i="79" s="1"/>
  <c r="O64" i="222"/>
  <c r="P64" i="222" s="1"/>
  <c r="D67" i="79" s="1"/>
  <c r="O48" i="222"/>
  <c r="P48" i="222" s="1"/>
  <c r="D43" i="79" s="1"/>
  <c r="O60" i="222"/>
  <c r="P60" i="222" s="1"/>
  <c r="D59" i="79" s="1"/>
  <c r="O49" i="222"/>
  <c r="P49" i="222" s="1"/>
  <c r="D44" i="79" s="1"/>
  <c r="O102" i="222"/>
  <c r="O52" i="222"/>
  <c r="P52" i="222" s="1"/>
  <c r="D47" i="79" s="1"/>
  <c r="O47" i="222"/>
  <c r="O87" i="222"/>
  <c r="P87" i="222" s="1"/>
  <c r="D125" i="79" s="1"/>
  <c r="O56" i="222"/>
  <c r="P56" i="222" s="1"/>
  <c r="O58" i="222"/>
  <c r="P58" i="222" s="1"/>
  <c r="D57" i="79" s="1"/>
  <c r="O57" i="222"/>
  <c r="P57" i="222" s="1"/>
  <c r="D56" i="79" s="1"/>
  <c r="O83" i="222"/>
  <c r="P83" i="222" s="1"/>
  <c r="D121" i="79" s="1"/>
  <c r="O106" i="222"/>
  <c r="P106" i="222" s="1"/>
  <c r="D160" i="79" s="1"/>
  <c r="O107" i="222"/>
  <c r="P107" i="222" s="1"/>
  <c r="D161" i="79" s="1"/>
  <c r="O108" i="222"/>
  <c r="P108" i="222" s="1"/>
  <c r="D162" i="79" s="1"/>
  <c r="N99" i="222"/>
  <c r="O86" i="222"/>
  <c r="P86" i="222" s="1"/>
  <c r="D124" i="79" s="1"/>
  <c r="O90" i="222"/>
  <c r="P90" i="222" s="1"/>
  <c r="D132" i="79" s="1"/>
  <c r="O82" i="222"/>
  <c r="P82" i="222" s="1"/>
  <c r="O93" i="222"/>
  <c r="P93" i="222" s="1"/>
  <c r="O65" i="222"/>
  <c r="P65" i="222" s="1"/>
  <c r="O95" i="222"/>
  <c r="P95" i="222" s="1"/>
  <c r="O67" i="222"/>
  <c r="P67" i="222" s="1"/>
  <c r="D76" i="79" s="1"/>
  <c r="K68" i="222"/>
  <c r="O91" i="222"/>
  <c r="P91" i="222" s="1"/>
  <c r="D133" i="79" s="1"/>
  <c r="K109" i="222"/>
  <c r="K103" i="222"/>
  <c r="O99" i="222"/>
  <c r="P99" i="222" s="1"/>
  <c r="D153" i="79" s="1"/>
  <c r="O98" i="222"/>
  <c r="P98" i="222" s="1"/>
  <c r="L75" i="222"/>
  <c r="L74" i="222"/>
  <c r="L76" i="222"/>
  <c r="L72" i="222"/>
  <c r="L63" i="222"/>
  <c r="L73" i="222"/>
  <c r="L71" i="222"/>
  <c r="L78" i="222"/>
  <c r="K104" i="222"/>
  <c r="P102" i="222" l="1"/>
  <c r="D156" i="79" s="1"/>
  <c r="K110" i="222"/>
  <c r="D120" i="79"/>
  <c r="D128" i="79" s="1"/>
  <c r="D145" i="79"/>
  <c r="D149" i="79" s="1"/>
  <c r="H48" i="100"/>
  <c r="P47" i="222"/>
  <c r="D135" i="79"/>
  <c r="D74" i="79"/>
  <c r="D78" i="79" s="1"/>
  <c r="H20" i="100"/>
  <c r="D140" i="79"/>
  <c r="D142" i="79" s="1"/>
  <c r="D55" i="79"/>
  <c r="D60" i="79" s="1"/>
  <c r="D152" i="79"/>
  <c r="F21" i="3"/>
  <c r="F27" i="3" s="1"/>
  <c r="D27" i="3"/>
  <c r="L68" i="222"/>
  <c r="L104" i="222"/>
  <c r="L103" i="222"/>
  <c r="M75" i="222"/>
  <c r="M72" i="222"/>
  <c r="M76" i="222"/>
  <c r="M73" i="222"/>
  <c r="M71" i="222"/>
  <c r="M63" i="222"/>
  <c r="M78" i="222"/>
  <c r="M74" i="222"/>
  <c r="K23" i="46" l="1"/>
  <c r="K22" i="46"/>
  <c r="K24" i="46"/>
  <c r="D28" i="47"/>
  <c r="E16" i="1"/>
  <c r="E24" i="1" s="1"/>
  <c r="E28" i="84"/>
  <c r="E32" i="84" s="1"/>
  <c r="H22" i="100"/>
  <c r="J20" i="100"/>
  <c r="J22" i="100" s="1"/>
  <c r="L110" i="222"/>
  <c r="D42" i="79"/>
  <c r="D50" i="79" s="1"/>
  <c r="H52" i="100"/>
  <c r="J48" i="100"/>
  <c r="J52" i="100" s="1"/>
  <c r="M68" i="222"/>
  <c r="M104" i="222"/>
  <c r="M109" i="222"/>
  <c r="M103" i="222"/>
  <c r="N75" i="222"/>
  <c r="N72" i="222"/>
  <c r="N76" i="222"/>
  <c r="N74" i="222"/>
  <c r="N73" i="222"/>
  <c r="N71" i="222"/>
  <c r="N78" i="222"/>
  <c r="N63" i="222"/>
  <c r="F22" i="46" l="1"/>
  <c r="O22" i="46"/>
  <c r="D24" i="69" s="1"/>
  <c r="H24" i="69" s="1"/>
  <c r="M110" i="222"/>
  <c r="K19" i="46"/>
  <c r="E17" i="84"/>
  <c r="E19" i="84" s="1"/>
  <c r="E23" i="84" s="1"/>
  <c r="J41" i="42"/>
  <c r="F24" i="46"/>
  <c r="O24" i="46"/>
  <c r="D28" i="69" s="1"/>
  <c r="H28" i="69" s="1"/>
  <c r="O23" i="46"/>
  <c r="D26" i="69" s="1"/>
  <c r="H26" i="69" s="1"/>
  <c r="F23" i="46"/>
  <c r="O76" i="222"/>
  <c r="P76" i="222" s="1"/>
  <c r="D111" i="79" s="1"/>
  <c r="O71" i="222"/>
  <c r="P71" i="222" s="1"/>
  <c r="D106" i="79" s="1"/>
  <c r="O73" i="222"/>
  <c r="P73" i="222" s="1"/>
  <c r="D108" i="79" s="1"/>
  <c r="O75" i="222"/>
  <c r="P75" i="222" s="1"/>
  <c r="D110" i="79" s="1"/>
  <c r="O78" i="222"/>
  <c r="P78" i="222" s="1"/>
  <c r="D113" i="79" s="1"/>
  <c r="O63" i="222"/>
  <c r="O68" i="222"/>
  <c r="O72" i="222"/>
  <c r="P72" i="222" s="1"/>
  <c r="D107" i="79" s="1"/>
  <c r="O103" i="222"/>
  <c r="O74" i="222"/>
  <c r="P74" i="222" s="1"/>
  <c r="D109" i="79" s="1"/>
  <c r="N68" i="222"/>
  <c r="N103" i="222"/>
  <c r="N104" i="222"/>
  <c r="N109" i="222"/>
  <c r="P109" i="222" s="1"/>
  <c r="D166" i="79" s="1"/>
  <c r="D167" i="79" s="1"/>
  <c r="O104" i="222"/>
  <c r="P104" i="222" l="1"/>
  <c r="D158" i="79" s="1"/>
  <c r="P103" i="222"/>
  <c r="D157" i="79" s="1"/>
  <c r="H59" i="10"/>
  <c r="J42" i="42"/>
  <c r="O19" i="46"/>
  <c r="F19" i="46"/>
  <c r="P63" i="222"/>
  <c r="O110" i="222"/>
  <c r="P68" i="222"/>
  <c r="D177" i="45"/>
  <c r="D23" i="47"/>
  <c r="D24" i="47" s="1"/>
  <c r="D26" i="47" s="1"/>
  <c r="N12" i="44"/>
  <c r="M12" i="44"/>
  <c r="J12" i="44"/>
  <c r="K12" i="44"/>
  <c r="L12" i="44"/>
  <c r="O12" i="44"/>
  <c r="N110" i="222"/>
  <c r="D163" i="79" l="1"/>
  <c r="K25" i="46" s="1"/>
  <c r="J43" i="42"/>
  <c r="H53" i="10" s="1"/>
  <c r="P12" i="44"/>
  <c r="D28" i="46"/>
  <c r="D31" i="46" s="1"/>
  <c r="D33" i="46" s="1"/>
  <c r="N54" i="202" s="1"/>
  <c r="N50" i="202" s="1"/>
  <c r="L50" i="202" s="1"/>
  <c r="D179" i="45"/>
  <c r="D181" i="45" s="1"/>
  <c r="D103" i="79"/>
  <c r="D115" i="79" s="1"/>
  <c r="E18" i="1"/>
  <c r="D30" i="47"/>
  <c r="D66" i="79"/>
  <c r="D70" i="79" s="1"/>
  <c r="D18" i="69"/>
  <c r="K21" i="46" l="1"/>
  <c r="E20" i="1"/>
  <c r="E26" i="1"/>
  <c r="E30" i="1" s="1"/>
  <c r="P111" i="44"/>
  <c r="F25" i="46"/>
  <c r="O25" i="46"/>
  <c r="D30" i="69" s="1"/>
  <c r="H30" i="69" s="1"/>
  <c r="H18" i="69"/>
  <c r="J45" i="42"/>
  <c r="K20" i="46"/>
  <c r="D169" i="79"/>
  <c r="H55" i="10"/>
  <c r="O21" i="46" l="1"/>
  <c r="D22" i="69" s="1"/>
  <c r="H22" i="69" s="1"/>
  <c r="F21" i="46"/>
  <c r="F20" i="46"/>
  <c r="O20" i="46"/>
  <c r="H58" i="10"/>
  <c r="H115" i="10"/>
  <c r="H114" i="10"/>
  <c r="D20" i="69" l="1"/>
  <c r="F19" i="47"/>
  <c r="G15" i="84"/>
  <c r="H78" i="10"/>
  <c r="H80" i="10"/>
  <c r="H60" i="10"/>
  <c r="H62" i="10" s="1"/>
  <c r="H79" i="10"/>
  <c r="H77" i="10"/>
  <c r="H82" i="10"/>
  <c r="H76" i="10"/>
  <c r="H66" i="10" l="1"/>
  <c r="H64" i="10"/>
  <c r="F15" i="84"/>
  <c r="L25" i="42"/>
  <c r="L29" i="42" s="1"/>
  <c r="H20" i="69"/>
  <c r="D32" i="69"/>
  <c r="H32" i="69" s="1"/>
  <c r="E14" i="67" s="1"/>
  <c r="E22" i="67" l="1"/>
  <c r="D21" i="137"/>
  <c r="L31" i="42"/>
  <c r="G50" i="10"/>
  <c r="D27" i="137" l="1"/>
  <c r="F21" i="137"/>
  <c r="F27" i="137" s="1"/>
  <c r="J28" i="47" l="1"/>
  <c r="G28" i="84"/>
  <c r="G32" i="84" s="1"/>
  <c r="G16" i="1"/>
  <c r="G24" i="1" s="1"/>
  <c r="I60" i="232"/>
  <c r="F28" i="47"/>
  <c r="I62" i="232" l="1"/>
  <c r="I64" i="232"/>
  <c r="G17" i="84"/>
  <c r="L41" i="42"/>
  <c r="I66" i="232" l="1"/>
  <c r="I68" i="232" s="1"/>
  <c r="I70" i="232" s="1"/>
  <c r="K76" i="232" s="1"/>
  <c r="G59" i="10"/>
  <c r="L42" i="42"/>
  <c r="F17" i="84"/>
  <c r="F19" i="84" s="1"/>
  <c r="G19" i="84"/>
  <c r="G23" i="84" s="1"/>
  <c r="K73" i="232" l="1"/>
  <c r="E12" i="222"/>
  <c r="J12" i="222"/>
  <c r="H12" i="222"/>
  <c r="G12" i="222"/>
  <c r="M12" i="222"/>
  <c r="N12" i="222"/>
  <c r="L12" i="222"/>
  <c r="K12" i="222"/>
  <c r="O28" i="46"/>
  <c r="F23" i="47"/>
  <c r="F24" i="47" s="1"/>
  <c r="F26" i="47" s="1"/>
  <c r="F23" i="84"/>
  <c r="O12" i="222"/>
  <c r="F12" i="222"/>
  <c r="D12" i="222"/>
  <c r="I12" i="222"/>
  <c r="L43" i="42"/>
  <c r="G53" i="10" s="1"/>
  <c r="P12" i="222" l="1"/>
  <c r="P110" i="222" s="1"/>
  <c r="L45" i="42"/>
  <c r="G18" i="1"/>
  <c r="F30" i="47"/>
  <c r="O31" i="46"/>
  <c r="O33" i="46" s="1"/>
  <c r="G55" i="10"/>
  <c r="D173" i="79" l="1"/>
  <c r="K28" i="46" s="1"/>
  <c r="G115" i="10"/>
  <c r="G58" i="10"/>
  <c r="G82" i="10" s="1"/>
  <c r="G114" i="10"/>
  <c r="G20" i="1"/>
  <c r="V54" i="202" s="1"/>
  <c r="V50" i="202" s="1"/>
  <c r="T50" i="202" s="1"/>
  <c r="G26" i="1"/>
  <c r="G30" i="1" s="1"/>
  <c r="G34" i="1" l="1"/>
  <c r="G38" i="1" s="1"/>
  <c r="H15" i="47"/>
  <c r="D175" i="79"/>
  <c r="D177" i="79" s="1"/>
  <c r="G60" i="10"/>
  <c r="G62" i="10" s="1"/>
  <c r="G80" i="10"/>
  <c r="G78" i="10"/>
  <c r="G77" i="10"/>
  <c r="G76" i="10"/>
  <c r="G79" i="10"/>
  <c r="F28" i="46"/>
  <c r="F31" i="46" s="1"/>
  <c r="F33" i="46" s="1"/>
  <c r="K31" i="46"/>
  <c r="K33" i="46" s="1"/>
  <c r="M28" i="46"/>
  <c r="M31" i="46" s="1"/>
  <c r="M33" i="46" s="1"/>
  <c r="G66" i="10" l="1"/>
  <c r="G64" i="10"/>
  <c r="H19" i="47"/>
  <c r="H21" i="47"/>
  <c r="J21" i="47" s="1"/>
  <c r="J15" i="47"/>
  <c r="H23" i="47" l="1"/>
  <c r="J23" i="47" s="1"/>
  <c r="J19" i="47"/>
  <c r="J24" i="47" l="1"/>
  <c r="J26" i="47" s="1"/>
  <c r="J30" i="47" s="1"/>
  <c r="H24" i="47"/>
  <c r="H26" i="47" s="1"/>
  <c r="D32" i="49" l="1"/>
  <c r="D34" i="49" s="1"/>
  <c r="L144" i="51" l="1"/>
  <c r="L146" i="51" s="1"/>
  <c r="L148" i="51" s="1"/>
  <c r="D35" i="49"/>
  <c r="D26" i="49"/>
  <c r="D28" i="49" l="1"/>
  <c r="L110" i="51"/>
  <c r="L134" i="51" l="1"/>
  <c r="L141" i="51" s="1"/>
  <c r="P141" i="51" s="1"/>
  <c r="P110" i="51"/>
  <c r="P134" i="51" s="1"/>
  <c r="D29" i="49"/>
  <c r="J144" i="51"/>
  <c r="J146" i="51" l="1"/>
  <c r="J148" i="51" s="1"/>
  <c r="J142" i="51"/>
  <c r="P142" i="51" s="1"/>
  <c r="P144" i="51" s="1"/>
  <c r="P146" i="51" s="1"/>
  <c r="P148" i="51" s="1"/>
  <c r="D37" i="49" l="1"/>
  <c r="D42" i="49" l="1"/>
  <c r="D38" i="49" l="1"/>
  <c r="D43" i="49" l="1"/>
  <c r="D44" i="49" s="1"/>
  <c r="D45" i="49" s="1"/>
  <c r="D39" i="49"/>
  <c r="N144" i="51" l="1"/>
  <c r="N146" i="51" s="1"/>
  <c r="N148" i="51" s="1"/>
  <c r="D40" i="49"/>
</calcChain>
</file>

<file path=xl/sharedStrings.xml><?xml version="1.0" encoding="utf-8"?>
<sst xmlns="http://schemas.openxmlformats.org/spreadsheetml/2006/main" count="5461" uniqueCount="1704">
  <si>
    <t>Cost</t>
  </si>
  <si>
    <t>EMBEDDED Cost of PREFERRED STOCK</t>
  </si>
  <si>
    <t>Cost of Capital Summary</t>
  </si>
  <si>
    <t>C-2.2</t>
  </si>
  <si>
    <t>Total General Plant</t>
  </si>
  <si>
    <t>Total CWIP Without AFUDC (Div 009, 091, 002, 012)</t>
  </si>
  <si>
    <t>Kentucky Direct (Division 009)</t>
  </si>
  <si>
    <t>Kentucky-Mid-States General Office (Division 091)</t>
  </si>
  <si>
    <t>Shared Services General Office (Division 002)</t>
  </si>
  <si>
    <t>Shared Services Customer Support (Division 012)</t>
  </si>
  <si>
    <t xml:space="preserve">Adjusted </t>
  </si>
  <si>
    <t xml:space="preserve">Kentucky </t>
  </si>
  <si>
    <t>Allocated</t>
  </si>
  <si>
    <t>Kentucky- Mid</t>
  </si>
  <si>
    <t>States Division</t>
  </si>
  <si>
    <t>(D)</t>
  </si>
  <si>
    <t>Mains - Steel</t>
  </si>
  <si>
    <t>OverTime Hours</t>
  </si>
  <si>
    <t xml:space="preserve">Ratio of OverTime Hours </t>
  </si>
  <si>
    <t>OverTime Dollars</t>
  </si>
  <si>
    <t>Ratio of OverTime Dollars</t>
  </si>
  <si>
    <t>Sales or</t>
  </si>
  <si>
    <t xml:space="preserve">13 Month Average Rate Base </t>
  </si>
  <si>
    <t>403 DEPRECIATION Expense</t>
  </si>
  <si>
    <t>Purchased Gas Cost</t>
  </si>
  <si>
    <t>Comparative Financial Data</t>
  </si>
  <si>
    <t xml:space="preserve">   Production &amp; Gathering Plant</t>
  </si>
  <si>
    <t xml:space="preserve">   Underground Storage</t>
  </si>
  <si>
    <t xml:space="preserve">   Transmission Plant</t>
  </si>
  <si>
    <t>907 Cust Accts Supervision</t>
  </si>
  <si>
    <t>908 Customer Assistance Expenses</t>
  </si>
  <si>
    <t>Div 09 Accumulated Deferred Income Taxes</t>
  </si>
  <si>
    <t>1 /8 Method</t>
  </si>
  <si>
    <t>1 / 8  O &amp; M Method</t>
  </si>
  <si>
    <t xml:space="preserve">   Basis) (%)</t>
  </si>
  <si>
    <t>Date</t>
  </si>
  <si>
    <t>Schedule H-1</t>
  </si>
  <si>
    <t>Most Recent Five Fiscal Years*</t>
  </si>
  <si>
    <t>Schedule C-2.2</t>
  </si>
  <si>
    <t>(E)</t>
  </si>
  <si>
    <t>(G)</t>
  </si>
  <si>
    <t>CIVIC, POLITICAL and RELATED ACTIVITIES</t>
  </si>
  <si>
    <t>of Total</t>
  </si>
  <si>
    <t xml:space="preserve">Allocation for taxes other CSC </t>
  </si>
  <si>
    <t>Forecasted</t>
  </si>
  <si>
    <t>Base</t>
  </si>
  <si>
    <t>13 Month</t>
  </si>
  <si>
    <t>Schedule K</t>
  </si>
  <si>
    <t>Schedule J-4</t>
  </si>
  <si>
    <t>Schedule J-3</t>
  </si>
  <si>
    <t>Schedule J-2</t>
  </si>
  <si>
    <t>Performance based rates</t>
  </si>
  <si>
    <t>Total other income</t>
  </si>
  <si>
    <t>Account 252 - Customer Advances For Construction</t>
  </si>
  <si>
    <t>Summary of Utility Jurisdictional Adjustments to</t>
  </si>
  <si>
    <t>Data:___X____Base Period________Forecasted Period</t>
  </si>
  <si>
    <t>(MMcf)</t>
  </si>
  <si>
    <t xml:space="preserve"> No.</t>
  </si>
  <si>
    <t>Schedule A</t>
  </si>
  <si>
    <t>Schedule</t>
  </si>
  <si>
    <t>Operating Income Summary</t>
  </si>
  <si>
    <t>to Straight-Time Hours</t>
  </si>
  <si>
    <t>O&amp;M Labor Dollars</t>
  </si>
  <si>
    <t xml:space="preserve">Ratio of O&amp;M of Labor Dollars </t>
  </si>
  <si>
    <t>Revenue From Transportation of Gas of Others</t>
  </si>
  <si>
    <t xml:space="preserve">  Other Operating Income</t>
  </si>
  <si>
    <t>O P E R A T I N G  R E V E N U E</t>
  </si>
  <si>
    <t>T O T A L  O P E R A T I N G  R E V E N U E</t>
  </si>
  <si>
    <t xml:space="preserve">      Gas Delivered to Storage</t>
  </si>
  <si>
    <t>Div 02 Accumulated Deferred Income Taxes</t>
  </si>
  <si>
    <t xml:space="preserve">      Other Gas Supply Expenses</t>
  </si>
  <si>
    <t>Customer Accting. &amp; Collection</t>
  </si>
  <si>
    <t>Customer Service &amp; Information</t>
  </si>
  <si>
    <t>Schedule F-6</t>
  </si>
  <si>
    <t>Owensboro Country Club</t>
  </si>
  <si>
    <t>( dues )</t>
  </si>
  <si>
    <t>OCC - Expenses</t>
  </si>
  <si>
    <t>Div 002</t>
  </si>
  <si>
    <t>Div 012</t>
  </si>
  <si>
    <t>Div 091</t>
  </si>
  <si>
    <t>B-4</t>
  </si>
  <si>
    <t>Allowance for Working Capital</t>
  </si>
  <si>
    <t>B-4.2</t>
  </si>
  <si>
    <t>B-4.1</t>
  </si>
  <si>
    <t>13 Month Average Balance</t>
  </si>
  <si>
    <t>B-5</t>
  </si>
  <si>
    <t>Unbilled</t>
  </si>
  <si>
    <t>Trailers</t>
  </si>
  <si>
    <t>Ditchers</t>
  </si>
  <si>
    <t>Backhoes</t>
  </si>
  <si>
    <t>Welders</t>
  </si>
  <si>
    <t>Charitable Organization  *</t>
  </si>
  <si>
    <t>Depreciation Expense</t>
  </si>
  <si>
    <t>13-Month</t>
  </si>
  <si>
    <t>Line</t>
  </si>
  <si>
    <t>Sub</t>
  </si>
  <si>
    <t>Workpaper</t>
  </si>
  <si>
    <t>Total</t>
  </si>
  <si>
    <t>Jurisdictional</t>
  </si>
  <si>
    <t>Average</t>
  </si>
  <si>
    <t>No.</t>
  </si>
  <si>
    <t>Acct</t>
  </si>
  <si>
    <t>Reference</t>
  </si>
  <si>
    <t>Company</t>
  </si>
  <si>
    <t>Percent</t>
  </si>
  <si>
    <t>Amount</t>
  </si>
  <si>
    <t>Balance</t>
  </si>
  <si>
    <t>Other Prop. On Cust. Prem</t>
  </si>
  <si>
    <t>actual</t>
  </si>
  <si>
    <t>Taxes Property and Other</t>
  </si>
  <si>
    <t>Ad Valorem - Accrual</t>
  </si>
  <si>
    <t>814 Storage Supervision &amp; Engineering</t>
  </si>
  <si>
    <t>816 Storage Wells Expense</t>
  </si>
  <si>
    <t>Working Capital Components</t>
  </si>
  <si>
    <t>Gross Profit</t>
  </si>
  <si>
    <t>Direct O&amp;M</t>
  </si>
  <si>
    <t>Depreciation &amp; amortization</t>
  </si>
  <si>
    <t>Taxes - other than income</t>
  </si>
  <si>
    <t>894 Dist Maint Other Eq</t>
  </si>
  <si>
    <t>901 Cust Accts Supervision</t>
  </si>
  <si>
    <t>902 Cust Accts Mtr Exp</t>
  </si>
  <si>
    <t>903 Cust Accts Records/Collections</t>
  </si>
  <si>
    <t>904 Cust Accts Uncoll Accts</t>
  </si>
  <si>
    <t>909 Cust Ser Supervision</t>
  </si>
  <si>
    <t>910 Cust Ser Assist Exp</t>
  </si>
  <si>
    <t>Adjusted Operating Income</t>
  </si>
  <si>
    <t>Gross Revenue</t>
  </si>
  <si>
    <t>Gross Revenue Conversion Factor</t>
  </si>
  <si>
    <t>Ratemaking</t>
  </si>
  <si>
    <t>Test Year</t>
  </si>
  <si>
    <t>Rev. &amp; Exp.</t>
  </si>
  <si>
    <t>Residential</t>
  </si>
  <si>
    <t>Commercial</t>
  </si>
  <si>
    <t>Industrial</t>
  </si>
  <si>
    <t>Average Revenue per Class:</t>
  </si>
  <si>
    <t>Total O &amp; M Expenses</t>
  </si>
  <si>
    <t xml:space="preserve">  Sales of Gas</t>
  </si>
  <si>
    <t>Data:__x___Base Period___x___Forecasted Period</t>
  </si>
  <si>
    <t>Schedule F-3</t>
  </si>
  <si>
    <t>Number</t>
  </si>
  <si>
    <t>Sched.</t>
  </si>
  <si>
    <t>C-2</t>
  </si>
  <si>
    <t>Weighted cost of Debt</t>
  </si>
  <si>
    <t>J-1.1</t>
  </si>
  <si>
    <t>Schedule F-2.1</t>
  </si>
  <si>
    <t>Compressor Station Expense</t>
  </si>
  <si>
    <t>Compressor Station Expense Fuel &amp; Power</t>
  </si>
  <si>
    <t>$</t>
  </si>
  <si>
    <t>100.00%</t>
  </si>
  <si>
    <t>Data:______Base Period__X___Forecasted Period</t>
  </si>
  <si>
    <t>%</t>
  </si>
  <si>
    <t>Adjustment</t>
  </si>
  <si>
    <t>Computation of State &amp; Federal Income Tax</t>
  </si>
  <si>
    <t>Composite Tax Rate (state &amp; federal)</t>
  </si>
  <si>
    <t>Franchises &amp; Consents</t>
  </si>
  <si>
    <t>Natural Gas Production Plant</t>
  </si>
  <si>
    <t>Division</t>
  </si>
  <si>
    <t>Property Plant and Equipment, Net (Sum line 1 Thru 3)</t>
  </si>
  <si>
    <t>Rate Base (Sum line 4 Thru 8)</t>
  </si>
  <si>
    <t>Property Plant and Equipment, Net (Sum Line 1 Thru 3)</t>
  </si>
  <si>
    <t>Rate Base (Sum Line 4 Thru 8)</t>
  </si>
  <si>
    <t>Forecasted Period Ending Balance</t>
  </si>
  <si>
    <t>Rights of Ways</t>
  </si>
  <si>
    <t>Field Lines</t>
  </si>
  <si>
    <t>Public Authority &amp; Other</t>
  </si>
  <si>
    <t>Number of Customer by Class:</t>
  </si>
  <si>
    <t xml:space="preserve">    Gross Plant</t>
  </si>
  <si>
    <t>406 AMORT. - Gas Plant AQUIST.</t>
  </si>
  <si>
    <t>Plant in Service</t>
  </si>
  <si>
    <t>(E=D/B)</t>
  </si>
  <si>
    <t>Federal Income Tax @</t>
  </si>
  <si>
    <t>A</t>
  </si>
  <si>
    <t>Rate Base Summary</t>
  </si>
  <si>
    <t>Net Income</t>
  </si>
  <si>
    <t xml:space="preserve">   Industrial</t>
  </si>
  <si>
    <t>Schedule F-1</t>
  </si>
  <si>
    <t>Account No.</t>
  </si>
  <si>
    <t>Social Organization/Service Club</t>
  </si>
  <si>
    <t>Jurisdictional %</t>
  </si>
  <si>
    <t xml:space="preserve">   Intangible Plant</t>
  </si>
  <si>
    <t>Other Tang. Property - Mainframe S/W</t>
  </si>
  <si>
    <t>Transportation</t>
  </si>
  <si>
    <t>Customer accounts-Operation supervision</t>
  </si>
  <si>
    <t>A&amp;G-Administrative &amp; general salaries</t>
  </si>
  <si>
    <t>A&amp;G-General advertising expense</t>
  </si>
  <si>
    <t>A&amp;G-Rents</t>
  </si>
  <si>
    <t>A&amp;G-Maintenance of general plant</t>
  </si>
  <si>
    <r>
      <t xml:space="preserve">Monthly Jurisdictional Operating Income by FERC Account, </t>
    </r>
    <r>
      <rPr>
        <b/>
        <sz val="12"/>
        <rFont val="Helvetica-Narrow"/>
      </rPr>
      <t>Div 002 Only</t>
    </r>
  </si>
  <si>
    <r>
      <t xml:space="preserve">Monthly Jurisdictional Operating Income by FERC Account, </t>
    </r>
    <r>
      <rPr>
        <b/>
        <sz val="12"/>
        <rFont val="Helvetica-Narrow"/>
      </rPr>
      <t>Div 012 Only</t>
    </r>
  </si>
  <si>
    <t>Other storage expenses-Operation labor and expenses</t>
  </si>
  <si>
    <t>Odorization</t>
  </si>
  <si>
    <r>
      <t xml:space="preserve">Monthly Jurisdictional Operating Income by FERC Account, </t>
    </r>
    <r>
      <rPr>
        <b/>
        <sz val="12"/>
        <rFont val="Helvetica-Narrow"/>
      </rPr>
      <t>Div 091 Only</t>
    </r>
  </si>
  <si>
    <t>Discription</t>
  </si>
  <si>
    <t>Account 4081-Taxes Other than Income Tax by Sub-Account</t>
  </si>
  <si>
    <t>Div 009</t>
  </si>
  <si>
    <t>Summary of Revenue Adjustments.</t>
  </si>
  <si>
    <t>Allocation Factor to Kentucky</t>
  </si>
  <si>
    <t>Kentucky</t>
  </si>
  <si>
    <t>*Note:  Debits are shown as positive, and credits are shown as negatives.  Includes the  Shared Services allocation.</t>
  </si>
  <si>
    <t>Data:__X___Base Period___X___Forecasted Period</t>
  </si>
  <si>
    <t>Shared Services</t>
  </si>
  <si>
    <t>Kentucky/Mid-States</t>
  </si>
  <si>
    <t>General Office (Div 002)</t>
  </si>
  <si>
    <t>Customer Support (Div 012)</t>
  </si>
  <si>
    <t>Mid-States General Office (Div 091)</t>
  </si>
  <si>
    <t>Line No.</t>
  </si>
  <si>
    <t>Benefit Load Projects</t>
  </si>
  <si>
    <t>Taxes Property And Other</t>
  </si>
  <si>
    <t>Total Tax Other Than Income Tax</t>
  </si>
  <si>
    <t>Allocation Factor to Kentucky Mid-States (Div 091)</t>
  </si>
  <si>
    <t>Allocation Factor to Kentucky Jurisdiction (Div 009)</t>
  </si>
  <si>
    <t>Total Allocated Amount</t>
  </si>
  <si>
    <t>Interest Deduction</t>
  </si>
  <si>
    <t>922 Administrative Expense Transferred</t>
  </si>
  <si>
    <t>DIVISION 09</t>
  </si>
  <si>
    <t>DIVISION 02</t>
  </si>
  <si>
    <t>Total Storage Plant</t>
  </si>
  <si>
    <t>Account /</t>
  </si>
  <si>
    <t>Title</t>
  </si>
  <si>
    <t>Title of Adjustment</t>
  </si>
  <si>
    <t>&amp; Title</t>
  </si>
  <si>
    <t>Projected Rate Case Expense</t>
  </si>
  <si>
    <t>Consulting</t>
  </si>
  <si>
    <t>495 Other Gas Service Revenue</t>
  </si>
  <si>
    <t>803/804/812 Gas Purchase Costs</t>
  </si>
  <si>
    <t>Blended Effective Tax Rate</t>
  </si>
  <si>
    <t>911 Cust Ser Info Adv Exp</t>
  </si>
  <si>
    <t>916 Sales Promo Demo/Selling</t>
  </si>
  <si>
    <t>921 Adm Gen Office Supply</t>
  </si>
  <si>
    <t>923 Adm Gen Outside Services Emply</t>
  </si>
  <si>
    <t>Meas &amp; Reg. Sta. Equip - General</t>
  </si>
  <si>
    <t>Forfeited discounts</t>
  </si>
  <si>
    <t>815 Maps and records</t>
  </si>
  <si>
    <t>860 Rents</t>
  </si>
  <si>
    <t>8711 Odorization</t>
  </si>
  <si>
    <t>895 Maintenance of Other Plant</t>
  </si>
  <si>
    <t>835 Storage Maintenance Meas/Reg</t>
  </si>
  <si>
    <t>836 Storage Maintenance Purification</t>
  </si>
  <si>
    <t>841 Storage Operation</t>
  </si>
  <si>
    <t>847 Storage Maintenance</t>
  </si>
  <si>
    <t>* The Payroll System accumulates data most readily on a fiscal year basis (Oct. 1 - Sept. 30) rather than calendar basis.</t>
  </si>
  <si>
    <t>850 Trsm Supervision &amp; Engineering</t>
  </si>
  <si>
    <t>856 Trsm Mains Expense</t>
  </si>
  <si>
    <t>857 Trsm Measuring &amp; Regulating</t>
  </si>
  <si>
    <t>859 Trsm Other Exp</t>
  </si>
  <si>
    <t>862 Trsm Structure &amp; Improvements</t>
  </si>
  <si>
    <t>863 Trsm Maint of Mains</t>
  </si>
  <si>
    <t>864 Trsm Maint Comp Sta Equip</t>
  </si>
  <si>
    <t>865 Trsm Maint Meas/Reg Sta</t>
  </si>
  <si>
    <t>867 Trsm Maint Other Eq</t>
  </si>
  <si>
    <t>870 Dist Supervision &amp; Engineering</t>
  </si>
  <si>
    <t>871 Dist Load Dispatching</t>
  </si>
  <si>
    <t>872 Dist Comp Sta</t>
  </si>
  <si>
    <t>874 Dist Main/Ser Exp</t>
  </si>
  <si>
    <t>875 Dist Meas/Reg Sta-Gen</t>
  </si>
  <si>
    <t>SIT Rate</t>
  </si>
  <si>
    <t>Schedule D-2.1</t>
  </si>
  <si>
    <t xml:space="preserve">  Preferred stock ($000)</t>
  </si>
  <si>
    <t xml:space="preserve">  Common equity ($000)</t>
  </si>
  <si>
    <t>Condensed Income Statement data: ($000)</t>
  </si>
  <si>
    <t xml:space="preserve">  State Income Tax (current))</t>
  </si>
  <si>
    <t xml:space="preserve">  Federal Income Tax (current)</t>
  </si>
  <si>
    <t xml:space="preserve">  Federal and State Income Tax - net</t>
  </si>
  <si>
    <t xml:space="preserve">  Investment  tax credits</t>
  </si>
  <si>
    <t>Schedule D-2.2</t>
  </si>
  <si>
    <t>Schedule D-2.3</t>
  </si>
  <si>
    <t>Schedule C-1</t>
  </si>
  <si>
    <t>Schedule C-2</t>
  </si>
  <si>
    <t>Materials &amp; Supplies</t>
  </si>
  <si>
    <t>Acct.</t>
  </si>
  <si>
    <t>Interest</t>
  </si>
  <si>
    <t>Expense</t>
  </si>
  <si>
    <t>Rate Base</t>
  </si>
  <si>
    <t>SHORT-TERM DEBT</t>
  </si>
  <si>
    <t>LONG-TERM DEBT</t>
  </si>
  <si>
    <t>PREFERRED STOCK</t>
  </si>
  <si>
    <t>COMMON EQUITY</t>
  </si>
  <si>
    <t>J-3</t>
  </si>
  <si>
    <t>J-4</t>
  </si>
  <si>
    <t>Total Natural Gas Production Plant</t>
  </si>
  <si>
    <t>Storage Plant</t>
  </si>
  <si>
    <t xml:space="preserve">Compression Station Equipment </t>
  </si>
  <si>
    <t xml:space="preserve">      PGA for Transportation Sales</t>
  </si>
  <si>
    <t xml:space="preserve">      Unbilled PGA Costs</t>
  </si>
  <si>
    <t xml:space="preserve">      PGA Offset to Unrecovered Gas Cost</t>
  </si>
  <si>
    <t xml:space="preserve">      Gas Withdrawn From Storage - Debit</t>
  </si>
  <si>
    <t>Operating Revenue and Expenses by FERC Account</t>
  </si>
  <si>
    <t xml:space="preserve">(1) These donations represent Economic Development Contributions, all Other civic donations are Included </t>
  </si>
  <si>
    <t>Required Rate of Return</t>
  </si>
  <si>
    <t xml:space="preserve">  Operating Expenses (excludes Federal</t>
  </si>
  <si>
    <t>FICA</t>
  </si>
  <si>
    <t>FUTA</t>
  </si>
  <si>
    <t>SUTA</t>
  </si>
  <si>
    <t>Ad Valorem</t>
  </si>
  <si>
    <t>Public Service Commission Assessment</t>
  </si>
  <si>
    <t>Organization</t>
  </si>
  <si>
    <t>Land</t>
  </si>
  <si>
    <t>Maintenance of Other Plant</t>
  </si>
  <si>
    <t>Maps and Records</t>
  </si>
  <si>
    <t>840/847</t>
  </si>
  <si>
    <t>SubAccount Titles</t>
  </si>
  <si>
    <t>Intangible Plant</t>
  </si>
  <si>
    <t>Total Intangible Plant</t>
  </si>
  <si>
    <t>Distribution Plant</t>
  </si>
  <si>
    <t>Total Distribution Plant</t>
  </si>
  <si>
    <t>General Plant</t>
  </si>
  <si>
    <t>O P E R A T I N G  E X P E N S E S</t>
  </si>
  <si>
    <t xml:space="preserve">      Natural Gas City Gate Purchases</t>
  </si>
  <si>
    <t>State &amp; Federal Income Taxes</t>
  </si>
  <si>
    <t xml:space="preserve">  Total Mix of Sales</t>
  </si>
  <si>
    <t xml:space="preserve">  Mix of Fuel:</t>
  </si>
  <si>
    <t>Composite Depreciation Rate</t>
  </si>
  <si>
    <t xml:space="preserve">   Plant in Service by functional class:</t>
  </si>
  <si>
    <t>Property Insurance</t>
  </si>
  <si>
    <t>Franchise Requirements</t>
  </si>
  <si>
    <t>Miscellaneous General Expense</t>
  </si>
  <si>
    <t>403-406</t>
  </si>
  <si>
    <t>Revenue Statistics</t>
  </si>
  <si>
    <t>Total Utility</t>
  </si>
  <si>
    <t>13 month</t>
  </si>
  <si>
    <t>Test Period</t>
  </si>
  <si>
    <t>Ending Balance</t>
  </si>
  <si>
    <t>Labor and Benefits</t>
  </si>
  <si>
    <t>Rent, Maintenance and Utilites</t>
  </si>
  <si>
    <t>Other O&amp;M</t>
  </si>
  <si>
    <t>Bad Debt</t>
  </si>
  <si>
    <t>(F)</t>
  </si>
  <si>
    <t xml:space="preserve"> </t>
  </si>
  <si>
    <t>Base Period</t>
  </si>
  <si>
    <t>Forecasted Period</t>
  </si>
  <si>
    <t>Ng. Field Meas. &amp; Reg. Station</t>
  </si>
  <si>
    <t>Purchased Gas Cost - Operation</t>
  </si>
  <si>
    <t>T O T A L  O P E R A T I N G  E X P E N S E</t>
  </si>
  <si>
    <t>Total Operation and Maintenance Expense</t>
  </si>
  <si>
    <t xml:space="preserve">  Return On Total Capital (Average)</t>
  </si>
  <si>
    <t xml:space="preserve">  Return On Net Plant in Service (Average)</t>
  </si>
  <si>
    <t xml:space="preserve">  Mix of Sales:</t>
  </si>
  <si>
    <t>TOTAL OPERATING EXPENSE (incl Gas Cost)</t>
  </si>
  <si>
    <t>NET OPERATING INCOME</t>
  </si>
  <si>
    <t>STDRATE</t>
  </si>
  <si>
    <t>LTDRATE</t>
  </si>
  <si>
    <t xml:space="preserve">Jurisdictional </t>
  </si>
  <si>
    <t>Account</t>
  </si>
  <si>
    <t>N/A</t>
  </si>
  <si>
    <t xml:space="preserve">Sales by Customer Class: </t>
  </si>
  <si>
    <t>Average Volume per Class:</t>
  </si>
  <si>
    <t>Other Tang. Property - Application Software</t>
  </si>
  <si>
    <t>Cushion Gas</t>
  </si>
  <si>
    <t xml:space="preserve">      Odorization</t>
  </si>
  <si>
    <t>N E T  O P E R A T I N G  I N C O M E</t>
  </si>
  <si>
    <t>Atmos Energy Corporation, Kentucky/Mid-States Division</t>
  </si>
  <si>
    <t>Class of Capital</t>
  </si>
  <si>
    <t>Weighted</t>
  </si>
  <si>
    <t>Outstanding</t>
  </si>
  <si>
    <t>Effective</t>
  </si>
  <si>
    <t>Annual</t>
  </si>
  <si>
    <t>Issue</t>
  </si>
  <si>
    <t>Issued</t>
  </si>
  <si>
    <t>Premium</t>
  </si>
  <si>
    <t>or</t>
  </si>
  <si>
    <t>Discount</t>
  </si>
  <si>
    <t>Gain or Loss</t>
  </si>
  <si>
    <t>on Reacquired</t>
  </si>
  <si>
    <t>Stock</t>
  </si>
  <si>
    <t>Net</t>
  </si>
  <si>
    <t>Proceeds</t>
  </si>
  <si>
    <t>At Issue</t>
  </si>
  <si>
    <t>Annualized</t>
  </si>
  <si>
    <t>Dividends</t>
  </si>
  <si>
    <t>Workpaper Reference No(s).____________________</t>
  </si>
  <si>
    <t>1</t>
  </si>
  <si>
    <t>B-1</t>
  </si>
  <si>
    <t>2</t>
  </si>
  <si>
    <t>C-1</t>
  </si>
  <si>
    <t>3</t>
  </si>
  <si>
    <t>4</t>
  </si>
  <si>
    <t>5</t>
  </si>
  <si>
    <t>6</t>
  </si>
  <si>
    <t>7</t>
  </si>
  <si>
    <t>H</t>
  </si>
  <si>
    <t>8</t>
  </si>
  <si>
    <t>9</t>
  </si>
  <si>
    <t>10</t>
  </si>
  <si>
    <t>Data:__X___Base Period______Forecasted Period</t>
  </si>
  <si>
    <t>13 Month Avg</t>
  </si>
  <si>
    <t xml:space="preserve">  Earnings available for common equity</t>
  </si>
  <si>
    <t xml:space="preserve">    Acquisition Adjustments</t>
  </si>
  <si>
    <t xml:space="preserve">   Less:  Accumulated depreciation</t>
  </si>
  <si>
    <t xml:space="preserve">   Net plant in Service</t>
  </si>
  <si>
    <t>% of Construction financed internally</t>
  </si>
  <si>
    <t>Operating Income Percentage</t>
  </si>
  <si>
    <t>834 Storage Maintenance Compressor</t>
  </si>
  <si>
    <t>AGA</t>
  </si>
  <si>
    <t xml:space="preserve">     on Schedule F-2.1, Charitable Contributions.</t>
  </si>
  <si>
    <t>Summary of O &amp; M adjustments.</t>
  </si>
  <si>
    <t>Atmos Energy Corporation has no PREFERRED STOCK OUTSTANDING at this time.</t>
  </si>
  <si>
    <t>Positions included on this schedule are:</t>
  </si>
  <si>
    <t>These costs are total costs for Atmos Energy Corporation, a portion of which are allocated to Kentucky.</t>
  </si>
  <si>
    <t xml:space="preserve">  Labor</t>
  </si>
  <si>
    <t>Dividend Rate,</t>
  </si>
  <si>
    <t>Proposed</t>
  </si>
  <si>
    <t xml:space="preserve">   Total</t>
  </si>
  <si>
    <t>Adjusted Operating Income Statement</t>
  </si>
  <si>
    <t>Total DEBT</t>
  </si>
  <si>
    <t>Total Capital</t>
  </si>
  <si>
    <t xml:space="preserve">          sub-total</t>
  </si>
  <si>
    <t>Legal Fees</t>
  </si>
  <si>
    <t xml:space="preserve">     (J. Hughes/R. Hutchinson)</t>
  </si>
  <si>
    <t>Employee Expense</t>
  </si>
  <si>
    <t xml:space="preserve">Note:  Rate Case related expenses are shown separately on Schedule F-6. </t>
  </si>
  <si>
    <t xml:space="preserve">     (airfare, lodging, meals, etc.)</t>
  </si>
  <si>
    <t>Miscellaneous Expense</t>
  </si>
  <si>
    <t xml:space="preserve">     (printing, advertising, etc.)</t>
  </si>
  <si>
    <t>Note:  These items are not included in O&amp;M and therefore not part of revenue requirements.</t>
  </si>
  <si>
    <t>Data:__X____Base Period___X____Forecasted Period</t>
  </si>
  <si>
    <t>(c)</t>
  </si>
  <si>
    <t>Earned Rate of Return (line 2 divided by line 1)</t>
  </si>
  <si>
    <t>Required Operating Income (line 1 times line 4)</t>
  </si>
  <si>
    <t>Operating Income Deficiency (line 5 minus line 2)</t>
  </si>
  <si>
    <t>Revenue Deficiency (line 6 times line 7)</t>
  </si>
  <si>
    <t>Revenue Requirements (line 9 plus line 10)</t>
  </si>
  <si>
    <t>Accumulated Depreciation &amp; Amortization</t>
  </si>
  <si>
    <t xml:space="preserve">Gross Payroll </t>
  </si>
  <si>
    <t>Monthly Jurisdictional Operating Income by FERC Account</t>
  </si>
  <si>
    <t xml:space="preserve">     Total     </t>
  </si>
  <si>
    <t>PROFESSIONAL Service Expenses</t>
  </si>
  <si>
    <t xml:space="preserve">      PGA for Commercial</t>
  </si>
  <si>
    <t>Total Distribution Expenses - Maintenance</t>
  </si>
  <si>
    <t>Customer Accounts Expenses - Operation</t>
  </si>
  <si>
    <t>SOCIAL and Service CLUB DUES</t>
  </si>
  <si>
    <t>(2)  All civic Memberships are Included on Schedule F-1, Social and Service Club Dues.</t>
  </si>
  <si>
    <t>Workpaper Reference No(s).</t>
  </si>
  <si>
    <t>Current Rates</t>
  </si>
  <si>
    <t>Proposed Rates</t>
  </si>
  <si>
    <t>Return at</t>
  </si>
  <si>
    <t>Detailed Adjustments</t>
  </si>
  <si>
    <t>Allowance For Working Capital</t>
  </si>
  <si>
    <t xml:space="preserve">   Other</t>
  </si>
  <si>
    <t>Other Capital</t>
  </si>
  <si>
    <t>Other Operating Income</t>
  </si>
  <si>
    <t>Health</t>
  </si>
  <si>
    <t>Total Production Expense - Operation</t>
  </si>
  <si>
    <t>887 Dist Maint of Mains</t>
  </si>
  <si>
    <t>Div 91 Accumulated Deferred Income Taxes</t>
  </si>
  <si>
    <t>Account 255 - Accumulated Deferred Investment Tax Credits</t>
  </si>
  <si>
    <t>Communication Equipment</t>
  </si>
  <si>
    <t>Wells \ Rights of Way</t>
  </si>
  <si>
    <t>Meter Installaitons</t>
  </si>
  <si>
    <t>House Reg. Installations</t>
  </si>
  <si>
    <t>Ind. Meas. &amp; Reg. Sta. Equipment</t>
  </si>
  <si>
    <t>Air Conditioning Equipment</t>
  </si>
  <si>
    <t>841/847</t>
  </si>
  <si>
    <t>Other Storage Exp. - LNG</t>
  </si>
  <si>
    <t>Sched</t>
  </si>
  <si>
    <t>Ref.</t>
  </si>
  <si>
    <t>Utility budget</t>
  </si>
  <si>
    <t>Other Tang. Property - PC Hardware</t>
  </si>
  <si>
    <t>Misc Cust Serv &amp; Informational Exp</t>
  </si>
  <si>
    <t>Budgeted</t>
  </si>
  <si>
    <t>912 Demonstrating and Selling Expenses</t>
  </si>
  <si>
    <t>913 Advertising Expenses</t>
  </si>
  <si>
    <t>924 Property insurance</t>
  </si>
  <si>
    <t>Other O &amp; M Expenses</t>
  </si>
  <si>
    <t>Workpaper Reference No(s).__________</t>
  </si>
  <si>
    <t>C-2.3</t>
  </si>
  <si>
    <t>Monthly Operating Income by FERC Account</t>
  </si>
  <si>
    <t>Taxes Other than Income Tax by Sub-Account</t>
  </si>
  <si>
    <t>Unallocated</t>
  </si>
  <si>
    <t>Income Tax Calculation</t>
  </si>
  <si>
    <t>ADJ 2</t>
  </si>
  <si>
    <t>ADJ 3</t>
  </si>
  <si>
    <t>ADJ 4</t>
  </si>
  <si>
    <t>ADJ 5</t>
  </si>
  <si>
    <t>Data:__X_____Base Period___X____Forecasted Period</t>
  </si>
  <si>
    <t>ADJ3</t>
  </si>
  <si>
    <t>D-2.1</t>
  </si>
  <si>
    <t>ADJUST.</t>
  </si>
  <si>
    <t>929 Uniforms capitalized</t>
  </si>
  <si>
    <t>840 Other Storage Expense</t>
  </si>
  <si>
    <t>Other Tangible Property - Servers - H/W</t>
  </si>
  <si>
    <t>Measuring &amp; Regulating Station Expense</t>
  </si>
  <si>
    <t>Purification</t>
  </si>
  <si>
    <t>Description of Expenses</t>
  </si>
  <si>
    <t>Supervision</t>
  </si>
  <si>
    <t>Customer Assistance</t>
  </si>
  <si>
    <t>Data:___x___Base Period___x___Forecasted Period</t>
  </si>
  <si>
    <t>Schedule F-2.2</t>
  </si>
  <si>
    <t>Payee</t>
  </si>
  <si>
    <t>Data:___x___Base Period___X___Forecasted Period</t>
  </si>
  <si>
    <t>Schedule F-2.3</t>
  </si>
  <si>
    <t xml:space="preserve">  Total Operating Revenue</t>
  </si>
  <si>
    <t xml:space="preserve">  Total Plant Revenue</t>
  </si>
  <si>
    <t xml:space="preserve">  Total DEPRECIATION and Amortization</t>
  </si>
  <si>
    <t xml:space="preserve">Total </t>
  </si>
  <si>
    <t>Total Other Working Capital Allowances</t>
  </si>
  <si>
    <t>Total Working Capital Requirements</t>
  </si>
  <si>
    <t>Construction Work in Progress</t>
  </si>
  <si>
    <t>% Change</t>
  </si>
  <si>
    <t>Executive Compensation</t>
  </si>
  <si>
    <t>Sales Expense</t>
  </si>
  <si>
    <t>Admin. &amp; General Expense</t>
  </si>
  <si>
    <t xml:space="preserve">Plant in Service by Accounts and SubAccounts </t>
  </si>
  <si>
    <t>Other Tangible Property - MF - Hardware</t>
  </si>
  <si>
    <t>TYPE, PAR Amount</t>
  </si>
  <si>
    <t xml:space="preserve">   Distribution Plant</t>
  </si>
  <si>
    <t>* *</t>
  </si>
  <si>
    <t>F-2.2</t>
  </si>
  <si>
    <t>F-3</t>
  </si>
  <si>
    <t>PROPOSED RATES</t>
  </si>
  <si>
    <t>CURRENT RATES</t>
  </si>
  <si>
    <t>Other Tang. Property - PC Software</t>
  </si>
  <si>
    <t>Mains</t>
  </si>
  <si>
    <t>Wells Expense</t>
  </si>
  <si>
    <t>Lines Expense</t>
  </si>
  <si>
    <t>404 Amortization Expense</t>
  </si>
  <si>
    <t>Deferred  Credits and Accumulated Deferred Income Taxes</t>
  </si>
  <si>
    <t>PAYROLL Costs</t>
  </si>
  <si>
    <t>13 Month Average</t>
  </si>
  <si>
    <t>Account 1540- Plant Materials and Operating Supplies</t>
  </si>
  <si>
    <t xml:space="preserve">Account 1630- Stores Expense Undistributed </t>
  </si>
  <si>
    <t>Total Materials &amp; Supplies</t>
  </si>
  <si>
    <t>Gas Stored Underground- Account 1641</t>
  </si>
  <si>
    <t>Prepayments- Account 1650</t>
  </si>
  <si>
    <t>Data Source:</t>
  </si>
  <si>
    <t>Material &amp; Supplies (Account 1540 &amp; 1630)</t>
  </si>
  <si>
    <t>Gas Stored Underground (Account 1641)</t>
  </si>
  <si>
    <t>Prepayments (Account 1650)</t>
  </si>
  <si>
    <t>Salvation Army</t>
  </si>
  <si>
    <t xml:space="preserve">Base Period </t>
  </si>
  <si>
    <t>(F=B+C-D+E)</t>
  </si>
  <si>
    <t>NOTES:</t>
  </si>
  <si>
    <t>ANNUALIZED SHORT-TERM DEBT</t>
  </si>
  <si>
    <t>Remittance Processing Equip</t>
  </si>
  <si>
    <t>Reference No.</t>
  </si>
  <si>
    <t>Accumulated Depreciation and Amortization</t>
  </si>
  <si>
    <t>Plant in Service by Account and Sub Account</t>
  </si>
  <si>
    <t xml:space="preserve">  Dividend Payout Ratio (Declared</t>
  </si>
  <si>
    <t xml:space="preserve">  Market Price - High (Low)</t>
  </si>
  <si>
    <t xml:space="preserve">   1st Quarter - High ($)</t>
  </si>
  <si>
    <t xml:space="preserve">   1st Quarter - Low ($)</t>
  </si>
  <si>
    <t xml:space="preserve">   2nd Quarter - High ($)</t>
  </si>
  <si>
    <t xml:space="preserve">   2nd Quarter - Low ($)</t>
  </si>
  <si>
    <t xml:space="preserve">   3rd Quarter - High ($)</t>
  </si>
  <si>
    <t>Period</t>
  </si>
  <si>
    <t xml:space="preserve">  F.I.C.A.</t>
  </si>
  <si>
    <t>Type of Filing:___X_____Original________Updated</t>
  </si>
  <si>
    <t>Structures Frame</t>
  </si>
  <si>
    <t>Power Operated Equipment</t>
  </si>
  <si>
    <t>Misc Intangible Plant</t>
  </si>
  <si>
    <t>Total Customer Accounts Expense</t>
  </si>
  <si>
    <t>Customer Service &amp; Information - Operation</t>
  </si>
  <si>
    <t>F-1</t>
  </si>
  <si>
    <t>Social and Service Club Dues</t>
  </si>
  <si>
    <t>F-2.1</t>
  </si>
  <si>
    <t>Charitable Contributions</t>
  </si>
  <si>
    <t>Initiation Fees/Country Club Expenses</t>
  </si>
  <si>
    <t>F-2.3</t>
  </si>
  <si>
    <t>Employee Party, Outing and Gift Expenses</t>
  </si>
  <si>
    <t>Sales and Advertising Expenses</t>
  </si>
  <si>
    <t>F-4</t>
  </si>
  <si>
    <t>F-5</t>
  </si>
  <si>
    <t>Professional Service Expenses</t>
  </si>
  <si>
    <t>F-6</t>
  </si>
  <si>
    <t>F-7</t>
  </si>
  <si>
    <t>Civic, Political and Related Activities</t>
  </si>
  <si>
    <t>Expense Reports</t>
  </si>
  <si>
    <t>Jurisdictional Requirement</t>
  </si>
  <si>
    <t>Allocated O&amp;M</t>
  </si>
  <si>
    <t>*Note:  Debits are shown as positive, and credits are shown as negatives.  Includes the Shared Services allocation.</t>
  </si>
  <si>
    <t xml:space="preserve">                            </t>
  </si>
  <si>
    <t>Mcf</t>
  </si>
  <si>
    <t>Data:__X___Base Period__X___Forecasted Period</t>
  </si>
  <si>
    <t>488 MISC. Service Revenues</t>
  </si>
  <si>
    <t>Income Taxes</t>
  </si>
  <si>
    <t>Customer Service and Informational Expenses</t>
  </si>
  <si>
    <t>408 Taxes, Other than Income</t>
  </si>
  <si>
    <t>Rate</t>
  </si>
  <si>
    <t>Item</t>
  </si>
  <si>
    <t>Schedule F-5</t>
  </si>
  <si>
    <t>Schedule F-7</t>
  </si>
  <si>
    <t>Donations (1)</t>
  </si>
  <si>
    <t>Civic Duties (2)</t>
  </si>
  <si>
    <t xml:space="preserve">  Moody's Preferred Stock Rating</t>
  </si>
  <si>
    <t xml:space="preserve">  S&amp;P Preferred Stock Rating</t>
  </si>
  <si>
    <t>Common Stock Related Data: (1)</t>
  </si>
  <si>
    <t xml:space="preserve">  Shares Outstanding Year End (000)</t>
  </si>
  <si>
    <t xml:space="preserve">  Total SALE of Gas</t>
  </si>
  <si>
    <t>Operating income(loss)</t>
  </si>
  <si>
    <t>Other income</t>
  </si>
  <si>
    <t>Other Income</t>
  </si>
  <si>
    <t>Other</t>
  </si>
  <si>
    <t>Meas. &amp; Reg. Sta. Structues</t>
  </si>
  <si>
    <t>Other Structures</t>
  </si>
  <si>
    <t>Well Construction</t>
  </si>
  <si>
    <t>Well Equipment</t>
  </si>
  <si>
    <t>Leaseholds</t>
  </si>
  <si>
    <t>Storage Rights</t>
  </si>
  <si>
    <t>Compressor Station Equipment</t>
  </si>
  <si>
    <t>Taxes - Other</t>
  </si>
  <si>
    <t>Utility</t>
  </si>
  <si>
    <t>Jurisdiction</t>
  </si>
  <si>
    <t>Revenue</t>
  </si>
  <si>
    <t>Tributary Lines</t>
  </si>
  <si>
    <t>INCOME STATEMENT</t>
  </si>
  <si>
    <t>Operating Revenues</t>
  </si>
  <si>
    <t>Gas service revenue</t>
  </si>
  <si>
    <t xml:space="preserve">Other revenue </t>
  </si>
  <si>
    <t>Total Operating Revenues</t>
  </si>
  <si>
    <t>Purchase gas</t>
  </si>
  <si>
    <t>Purpose and Description</t>
  </si>
  <si>
    <t>ADJ1</t>
  </si>
  <si>
    <t>ADJ2</t>
  </si>
  <si>
    <t>ADJ 1</t>
  </si>
  <si>
    <t>Promotional</t>
  </si>
  <si>
    <t xml:space="preserve">  Employee INSURANCE PLANS</t>
  </si>
  <si>
    <t>Total Employee BENEFITS</t>
  </si>
  <si>
    <t>Employee PARTY, OUTING, and GIFT EXP.</t>
  </si>
  <si>
    <t>Computation of Gross Revenue Conversion Factor</t>
  </si>
  <si>
    <t>Comparative Income Statement</t>
  </si>
  <si>
    <t>(H=GXB)</t>
  </si>
  <si>
    <t>Pages</t>
  </si>
  <si>
    <t>Type of Filing:___X____Original________Updated ________Revised</t>
  </si>
  <si>
    <t>to Total Labor Dollars</t>
  </si>
  <si>
    <t>Employee Benefits</t>
  </si>
  <si>
    <t xml:space="preserve">  Return On Common Equity (Average)</t>
  </si>
  <si>
    <t>Most Recent Ten Calendar Years - as Reported</t>
  </si>
  <si>
    <t xml:space="preserve">  and State Taxes, includes gas cost) </t>
  </si>
  <si>
    <t>(H)</t>
  </si>
  <si>
    <t>(I)</t>
  </si>
  <si>
    <t>$000</t>
  </si>
  <si>
    <t>Various</t>
  </si>
  <si>
    <t>Schedule G-3</t>
  </si>
  <si>
    <t xml:space="preserve">  Taxes Other than Income</t>
  </si>
  <si>
    <t>Allocation</t>
  </si>
  <si>
    <t>Deferred Credits &amp; Accumulated Deferred Income Taxes</t>
  </si>
  <si>
    <t>Ratio of Payroll Taxes</t>
  </si>
  <si>
    <t xml:space="preserve">Expensed to Total Payroll </t>
  </si>
  <si>
    <t xml:space="preserve">   Average (Monthly) (000)</t>
  </si>
  <si>
    <t>Total Payroll Taxes</t>
  </si>
  <si>
    <t>Customer Advances For Construction</t>
  </si>
  <si>
    <t>Taxes</t>
  </si>
  <si>
    <t>Production O&amp;M Expense</t>
  </si>
  <si>
    <t>Storage O&amp;M Expense</t>
  </si>
  <si>
    <t>Storage Well Royalties</t>
  </si>
  <si>
    <t>Structure &amp; Improvements</t>
  </si>
  <si>
    <t>Reservoirs &amp; Wells</t>
  </si>
  <si>
    <t>Compressor Station Equip.</t>
  </si>
  <si>
    <t>Measuring &amp; Regulating Station Equip.</t>
  </si>
  <si>
    <t>Mains Expense</t>
  </si>
  <si>
    <t>Measuring &amp; Regulating Station Exp.</t>
  </si>
  <si>
    <t>Measuring &amp; Reg Station Equip.</t>
  </si>
  <si>
    <t>Other Equipment</t>
  </si>
  <si>
    <t>Other Exp.</t>
  </si>
  <si>
    <t>Supervision and Engineering</t>
  </si>
  <si>
    <t>Distribution Load Dispatching</t>
  </si>
  <si>
    <t>Stores Equipment</t>
  </si>
  <si>
    <t>Miscellaneous Equipment</t>
  </si>
  <si>
    <t>Transmission O&amp;M Expense</t>
  </si>
  <si>
    <t>SALE of Gas - Unbilled - no adjustment.</t>
  </si>
  <si>
    <t>876 Dist Meas/Reg Sta-Ind</t>
  </si>
  <si>
    <t>877 Dist Meas/Reg Sta-Cty.</t>
  </si>
  <si>
    <t>878 Dist Mtr/House Reg</t>
  </si>
  <si>
    <t>879 Dist Cust Install</t>
  </si>
  <si>
    <t>880 Dist Other Exp</t>
  </si>
  <si>
    <t>881 Dist Rents</t>
  </si>
  <si>
    <t>Total Distribution Expenses - Operation</t>
  </si>
  <si>
    <t>Distribution Expenses - Maintenance</t>
  </si>
  <si>
    <t>Production Expense - Operation</t>
  </si>
  <si>
    <t>Other Gas Revenue</t>
  </si>
  <si>
    <t>Political Activities (3)</t>
  </si>
  <si>
    <t>Informational and Instructional Advertising Expenses</t>
  </si>
  <si>
    <t>Customer Assistance Expenses</t>
  </si>
  <si>
    <t>Meter Reading Expenses</t>
  </si>
  <si>
    <t>Uncollectible Accounts</t>
  </si>
  <si>
    <t>Provision for Federal &amp; State Income Taxes</t>
  </si>
  <si>
    <t>Depreciation and Amortization</t>
  </si>
  <si>
    <t>Taxes Other than Income Taxes</t>
  </si>
  <si>
    <t>Operation Supervision &amp; Engineering</t>
  </si>
  <si>
    <t>Distribution O&amp;M Expense</t>
  </si>
  <si>
    <t>Account 190 - Accumulated Deferred Income Taxes</t>
  </si>
  <si>
    <t>Account 282 - Accumulated Deferred Income Taxes</t>
  </si>
  <si>
    <t>Account 283 - Accumulated Deferred Income Taxes - Other</t>
  </si>
  <si>
    <t>DIVISION 91</t>
  </si>
  <si>
    <t>Schedule D-1</t>
  </si>
  <si>
    <t>B-2</t>
  </si>
  <si>
    <t>B-3</t>
  </si>
  <si>
    <t>Data:___X____Base Period___X____Forecasted Period</t>
  </si>
  <si>
    <t xml:space="preserve">     </t>
  </si>
  <si>
    <t xml:space="preserve">  State Unemployment</t>
  </si>
  <si>
    <t xml:space="preserve">  Total Payroll Taxes</t>
  </si>
  <si>
    <t>Total Compensation</t>
  </si>
  <si>
    <t>Data Source</t>
  </si>
  <si>
    <t>Filing Requirement</t>
  </si>
  <si>
    <t>B-2 B</t>
  </si>
  <si>
    <t>B-3 B</t>
  </si>
  <si>
    <t>B-4.2 B</t>
  </si>
  <si>
    <t>B-4.1 B</t>
  </si>
  <si>
    <t>B-6 B</t>
  </si>
  <si>
    <t>B-5 B</t>
  </si>
  <si>
    <t>B-2 F</t>
  </si>
  <si>
    <t>B-3 F</t>
  </si>
  <si>
    <t>B-4.2 F</t>
  </si>
  <si>
    <t>B-4.1 F</t>
  </si>
  <si>
    <t>B-6 F</t>
  </si>
  <si>
    <t>B-5 F</t>
  </si>
  <si>
    <t>Schedule B-3.1</t>
  </si>
  <si>
    <t>Description of methodology</t>
  </si>
  <si>
    <t>used to determine</t>
  </si>
  <si>
    <t>Schedule B-4 B</t>
  </si>
  <si>
    <t>Schedule B-4 F</t>
  </si>
  <si>
    <t>Schedule B-4.1 B</t>
  </si>
  <si>
    <t>Schedule B-4.1 F</t>
  </si>
  <si>
    <t>Schedule B-4.2 B</t>
  </si>
  <si>
    <t>Schedule B-4.2 F</t>
  </si>
  <si>
    <t>Sch. B-5 B</t>
  </si>
  <si>
    <t>Sch. B-5 F</t>
  </si>
  <si>
    <t>Sch. B-6 B</t>
  </si>
  <si>
    <t>Sch. B-6 F</t>
  </si>
  <si>
    <t>Schedule C-2.1 F</t>
  </si>
  <si>
    <t>Schedule C-2.1 B</t>
  </si>
  <si>
    <t>Schedule C-2.3 B</t>
  </si>
  <si>
    <t>Schedule C-2.3 F</t>
  </si>
  <si>
    <t>Schedule F-8</t>
  </si>
  <si>
    <t>Revenue by Customer Class:</t>
  </si>
  <si>
    <t>WP B-5 B</t>
  </si>
  <si>
    <t>Div 012 Accumulated Deferred Income Taxes</t>
  </si>
  <si>
    <t>Total Account 252 - Customer Advances For Construction</t>
  </si>
  <si>
    <t>Total Deferred Inc. Taxes and Investment Tax  Credits</t>
  </si>
  <si>
    <t>Communication Equip. - Telemetering</t>
  </si>
  <si>
    <t xml:space="preserve">     Total interest charges</t>
  </si>
  <si>
    <t>Income Before Taxes</t>
  </si>
  <si>
    <t>Provision for income taxes</t>
  </si>
  <si>
    <t>Meas &amp; Reg. Sta. Equipment T.b.</t>
  </si>
  <si>
    <t xml:space="preserve">  AFUDC - % of Net Income</t>
  </si>
  <si>
    <t xml:space="preserve">  AFUDC - % of earnings available for </t>
  </si>
  <si>
    <t xml:space="preserve">   common equity</t>
  </si>
  <si>
    <t>Costs of Capital (1)</t>
  </si>
  <si>
    <t xml:space="preserve">  Embedded cost of short-term debt (%)</t>
  </si>
  <si>
    <t xml:space="preserve">  Embedded cost of long-term debt  (%)</t>
  </si>
  <si>
    <t>Total Administrative and Gen. Exp. - Maintenance</t>
  </si>
  <si>
    <t>4091-4101</t>
  </si>
  <si>
    <t>Operating (Income)Loss*</t>
  </si>
  <si>
    <t>Total Employee Benefits</t>
  </si>
  <si>
    <t>Employee Benefits Expensed</t>
  </si>
  <si>
    <t>Rate of Return</t>
  </si>
  <si>
    <t>Operating Revenue</t>
  </si>
  <si>
    <t>Revenue &amp;</t>
  </si>
  <si>
    <t>Man Hours</t>
  </si>
  <si>
    <t>Labor Dollars</t>
  </si>
  <si>
    <t>Straight-Time Dollars</t>
  </si>
  <si>
    <t>885 Dist Maint Super/Eng</t>
  </si>
  <si>
    <t xml:space="preserve">  Moody's Bond Rating</t>
  </si>
  <si>
    <t xml:space="preserve">  S&amp;P Bond Rating</t>
  </si>
  <si>
    <t>Schedule B-1</t>
  </si>
  <si>
    <t>Structures-Brick</t>
  </si>
  <si>
    <t>Total Plant (Div 009, 091, 002, 012)</t>
  </si>
  <si>
    <t>CWIP With out AFUDC</t>
  </si>
  <si>
    <t>(a)</t>
  </si>
  <si>
    <t>(b)</t>
  </si>
  <si>
    <t>(d)</t>
  </si>
  <si>
    <t>(e)</t>
  </si>
  <si>
    <t>(g)</t>
  </si>
  <si>
    <t>(h)</t>
  </si>
  <si>
    <t>(i)</t>
  </si>
  <si>
    <t>(c) = (a) + (b)</t>
  </si>
  <si>
    <t>(f) = (c) * (d) * (e)</t>
  </si>
  <si>
    <t>(j) = (g) * (h) * (i)</t>
  </si>
  <si>
    <t>Total Administrative and General Exp. - Operation</t>
  </si>
  <si>
    <t>Administrative and General Salaries</t>
  </si>
  <si>
    <t>Office Supplies and Expenses</t>
  </si>
  <si>
    <t>Administrative Expense Transferred</t>
  </si>
  <si>
    <t>Outside Services Employed</t>
  </si>
  <si>
    <t>Injuries and Damages</t>
  </si>
  <si>
    <t>(3) These expenses are recorded below the line and therefore not included in O&amp;M.</t>
  </si>
  <si>
    <t>Employee Pensions and Benefits</t>
  </si>
  <si>
    <t>Regulatory Commission Expense</t>
  </si>
  <si>
    <t>Rents</t>
  </si>
  <si>
    <t>Demonstrating and Selling Expenses</t>
  </si>
  <si>
    <t>Administrative and General Expense - Maintenance</t>
  </si>
  <si>
    <t>Maintenance of General Plant</t>
  </si>
  <si>
    <t>Account 190 - Accumulated Deferred Income Taxes (1)</t>
  </si>
  <si>
    <t>886 Dist Maint Struc/Improv</t>
  </si>
  <si>
    <t>*</t>
  </si>
  <si>
    <t>Schedule J-1</t>
  </si>
  <si>
    <t>INITIATION FEES/COUNTRY CLUB Expenses  *</t>
  </si>
  <si>
    <t>Other - Public Authority</t>
  </si>
  <si>
    <t>Office Furniture &amp; Equipment</t>
  </si>
  <si>
    <t>Office Machines</t>
  </si>
  <si>
    <t>8950</t>
  </si>
  <si>
    <t xml:space="preserve">   Public authority &amp; Other Sales</t>
  </si>
  <si>
    <t xml:space="preserve">  Construction Work in Progress</t>
  </si>
  <si>
    <t>Cash Working Capital</t>
  </si>
  <si>
    <t>Working Capital</t>
  </si>
  <si>
    <t>Cash Working Capital Allowance</t>
  </si>
  <si>
    <t>Total Labor Dollars</t>
  </si>
  <si>
    <t>Data:__X___Base Period_____Forecasted Period</t>
  </si>
  <si>
    <t>Straight Time Hours</t>
  </si>
  <si>
    <t>Prepayments</t>
  </si>
  <si>
    <t>Material &amp; Supplies</t>
  </si>
  <si>
    <t>Rights of Way</t>
  </si>
  <si>
    <t>Operating Income</t>
  </si>
  <si>
    <t xml:space="preserve">  Operating Income</t>
  </si>
  <si>
    <t xml:space="preserve">Ratio of Employee Benefits </t>
  </si>
  <si>
    <t>Expensed to Total Employee</t>
  </si>
  <si>
    <t>Benefits</t>
  </si>
  <si>
    <t>Payroll Taxes</t>
  </si>
  <si>
    <t>Interest Income</t>
  </si>
  <si>
    <t>Costs allocated from SSU and KY-MDS General Office</t>
  </si>
  <si>
    <t>Newspaper, Magazine,bill stuffer &amp; Other</t>
  </si>
  <si>
    <t>Notes:</t>
  </si>
  <si>
    <t>Data:___X___Base Period___X____Forecasted Period</t>
  </si>
  <si>
    <t>Total Base Period</t>
  </si>
  <si>
    <t>BASE PERIOD</t>
  </si>
  <si>
    <t>Sched. B-6</t>
  </si>
  <si>
    <t>B-6</t>
  </si>
  <si>
    <t>American Red Cross</t>
  </si>
  <si>
    <t xml:space="preserve">  Pre-Tax Interest Coverage </t>
  </si>
  <si>
    <t xml:space="preserve">  Pre-Tax Interest Coverage (Excluding AFUDC)</t>
  </si>
  <si>
    <t xml:space="preserve">      Other Gas Purchases / Gas Cost Adjustments</t>
  </si>
  <si>
    <t>Taxable Income</t>
  </si>
  <si>
    <t>Summary</t>
  </si>
  <si>
    <t>B</t>
  </si>
  <si>
    <t>C</t>
  </si>
  <si>
    <t>Operating Income (Revenues &amp; Expenses)</t>
  </si>
  <si>
    <t>D</t>
  </si>
  <si>
    <t>Adjustments to Operating Income by Account</t>
  </si>
  <si>
    <t>F</t>
  </si>
  <si>
    <t>Rule F Compliance Adjustments</t>
  </si>
  <si>
    <t>G</t>
  </si>
  <si>
    <t>Payroll Analysis</t>
  </si>
  <si>
    <t>I</t>
  </si>
  <si>
    <t>Comparative Income Statements</t>
  </si>
  <si>
    <t>J</t>
  </si>
  <si>
    <t>Cost of Capital</t>
  </si>
  <si>
    <t>K</t>
  </si>
  <si>
    <t>E</t>
  </si>
  <si>
    <t>Schedule   E</t>
  </si>
  <si>
    <t>Fully Adjusted</t>
  </si>
  <si>
    <t>Operating Income before Income Tax &amp; Interest</t>
  </si>
  <si>
    <t>(1) Based on fiscal year-end of parent company</t>
  </si>
  <si>
    <t xml:space="preserve">  ESOP PLAN Contributions</t>
  </si>
  <si>
    <t>NOTE:  This schedule contains confidential information, detail of these numbers are available upon request.</t>
  </si>
  <si>
    <t xml:space="preserve">      PGA for Industrial</t>
  </si>
  <si>
    <t xml:space="preserve">      PGA for Public Authority</t>
  </si>
  <si>
    <t>Miscellaneous Sales Expenses</t>
  </si>
  <si>
    <t>Other Gas Supply Expenses - Operation</t>
  </si>
  <si>
    <t xml:space="preserve">  Total Other Gas Supply Expenses - Operation</t>
  </si>
  <si>
    <t>NET Operating Income Impact</t>
  </si>
  <si>
    <t>Schedule G-1</t>
  </si>
  <si>
    <t>Schedule G-2</t>
  </si>
  <si>
    <t xml:space="preserve">  Dividends Declared Per Share ($)</t>
  </si>
  <si>
    <t>Mains Cathodic Protection</t>
  </si>
  <si>
    <t>Mains - Plastic</t>
  </si>
  <si>
    <t>Meters</t>
  </si>
  <si>
    <t>Working Capital Components - 13 Month Averages</t>
  </si>
  <si>
    <t>Cash Working Capital - 1/8 O&amp;M Expenses</t>
  </si>
  <si>
    <t>Payroll Costs</t>
  </si>
  <si>
    <t>Total Payroll Costs</t>
  </si>
  <si>
    <t>Operating Income by Major Accounts</t>
  </si>
  <si>
    <t>Advertising Expenses</t>
  </si>
  <si>
    <t>Sheet 1 of 1</t>
  </si>
  <si>
    <t>13 Mth Avg.</t>
  </si>
  <si>
    <t>Total Customer Accounts Expenses - Operation</t>
  </si>
  <si>
    <t>Structures &amp; Improvements</t>
  </si>
  <si>
    <t>Miscellaneous general expenses</t>
  </si>
  <si>
    <t>Maintenance of general plant</t>
  </si>
  <si>
    <t xml:space="preserve">  Shares Outstanding - Weighted</t>
  </si>
  <si>
    <t>Data:__X____Base Period___X___Forecasted Period</t>
  </si>
  <si>
    <t>Amortization of gas plant acquisition adjustments</t>
  </si>
  <si>
    <t>Taxes other than income taxes, utility operating income</t>
  </si>
  <si>
    <t>Residential sales</t>
  </si>
  <si>
    <t>Other Sales to Public Authorities</t>
  </si>
  <si>
    <t>Miscellaneous service revenues</t>
  </si>
  <si>
    <t>Revenue-Transportation Commercial</t>
  </si>
  <si>
    <t>Intercompany Gas Well-head Purchases</t>
  </si>
  <si>
    <t>Natural gas city gate purchases</t>
  </si>
  <si>
    <t>Other purchases</t>
  </si>
  <si>
    <t>PGA for Residential</t>
  </si>
  <si>
    <t>PGA for Commercial</t>
  </si>
  <si>
    <t>PGA for Industrial</t>
  </si>
  <si>
    <t>PGA for Public Authorities</t>
  </si>
  <si>
    <t>Unbilled PGA Cost</t>
  </si>
  <si>
    <t>PGA Offset to Unrecovered Gas Cost</t>
  </si>
  <si>
    <t>Exchange gas</t>
  </si>
  <si>
    <t>Gas withdrawn from storage-Debit</t>
  </si>
  <si>
    <t>Gas delivered to storage-Credit</t>
  </si>
  <si>
    <t>Gas used for other utility operations-Credit</t>
  </si>
  <si>
    <t>Storage-Operation supervision and engineering</t>
  </si>
  <si>
    <t>Wells expenses</t>
  </si>
  <si>
    <t>EMPLOYEE EXPENSE REPORT EXCLUSIONS</t>
  </si>
  <si>
    <t xml:space="preserve">Data Source: </t>
  </si>
  <si>
    <t>Expense Report Review Division 009.xls</t>
  </si>
  <si>
    <t>Expense Report Review Division 091.xls</t>
  </si>
  <si>
    <t>Total Expense Report Exclusions</t>
  </si>
  <si>
    <t>Lines expenses</t>
  </si>
  <si>
    <t>Compressor station expenses</t>
  </si>
  <si>
    <t>Compressor station fuel and power</t>
  </si>
  <si>
    <t>Storage-Measuring and regulating station expenses</t>
  </si>
  <si>
    <t>Storage-Purification expenses</t>
  </si>
  <si>
    <t>Storage-Other expenses</t>
  </si>
  <si>
    <t>(1) Based on fiscal year-end of parent company, except for Base Period &amp; Test Period which are based on Atmos Energy Corporation, Kentucky.</t>
  </si>
  <si>
    <t>Percentage of</t>
  </si>
  <si>
    <t>Incremental</t>
  </si>
  <si>
    <t>Less: Uncollectible Accounts Expense</t>
  </si>
  <si>
    <t>Less: PSC Fees</t>
  </si>
  <si>
    <t>Net Revenues</t>
  </si>
  <si>
    <t>Income before Federal Income Tax</t>
  </si>
  <si>
    <t>(100 % divided by Income after Income Tax)</t>
  </si>
  <si>
    <t>AVERAGE SHORT-TERM DEBT</t>
  </si>
  <si>
    <t>TOTAL SHORT-TERM DEBT</t>
  </si>
  <si>
    <t>AVERAGE SHORT-TERM DEBT (1)</t>
  </si>
  <si>
    <t>Storage well royalties</t>
  </si>
  <si>
    <t>Storage-Maintenance of structures and improvements</t>
  </si>
  <si>
    <t>Maintenance of compressor station equipment</t>
  </si>
  <si>
    <t>Maintenance of measuring and regulating station equipment</t>
  </si>
  <si>
    <t>Processing-Maintenance of purification equipment</t>
  </si>
  <si>
    <t>Transmission-Operation supervision and engineering</t>
  </si>
  <si>
    <t>Mains expenses</t>
  </si>
  <si>
    <t>Transmission-Measuring and regulating station expenses</t>
  </si>
  <si>
    <t>Transmission-Maintenance of mains</t>
  </si>
  <si>
    <t>Transmission-Maintenance of measuring and regulating station equipment</t>
  </si>
  <si>
    <t>Distribution-Operation supervision and engineering</t>
  </si>
  <si>
    <t>Distribution load dispatching</t>
  </si>
  <si>
    <t>Mains and Services Expenses</t>
  </si>
  <si>
    <t>Distribution-Measuring and regulating station expenses</t>
  </si>
  <si>
    <t>Distribution-Measuring and regulating station expenses-Industrial</t>
  </si>
  <si>
    <t>Distribution-Measuring and regulating station expenses-City gate check stations</t>
  </si>
  <si>
    <t>Meter and house regulator expenses</t>
  </si>
  <si>
    <t>Customer installations expenses</t>
  </si>
  <si>
    <t>Distribution-Other expenses</t>
  </si>
  <si>
    <t>Distribution-Rents</t>
  </si>
  <si>
    <t>Distribution-Maintenance supervision and engineering</t>
  </si>
  <si>
    <t>Distribution-Maintenance of structures and improvements</t>
  </si>
  <si>
    <t>Distribution-Maint of mains</t>
  </si>
  <si>
    <t>Maintenance of measuring and regulating station equipment-General</t>
  </si>
  <si>
    <t>Maintenance of measuring and regulating station equipment-Industrial</t>
  </si>
  <si>
    <t>Maintenance of measuring and regulating station equipment-City gate check stations</t>
  </si>
  <si>
    <t>Maintenance of services</t>
  </si>
  <si>
    <t>Maintenance of meters and house regulators</t>
  </si>
  <si>
    <t>Distribution-Maintenance of other equipment</t>
  </si>
  <si>
    <t>Customer accounts-Meter reading expenses</t>
  </si>
  <si>
    <t>Sub Account 07421- Service Awards</t>
  </si>
  <si>
    <t>Grand Total</t>
  </si>
  <si>
    <t>Class Cost Study - P. Raab</t>
  </si>
  <si>
    <t>Cost of Capital - Vander Weide, J. H.</t>
  </si>
  <si>
    <t>Customer accounts-Customer records and collections expenses</t>
  </si>
  <si>
    <t>Customer accounts-Uncollectible accounts</t>
  </si>
  <si>
    <t>Customer service-Operating informational and instructional advertising expense</t>
  </si>
  <si>
    <t>Customer service-Miscellaneous customer service</t>
  </si>
  <si>
    <t>Sales-Supervision</t>
  </si>
  <si>
    <t>Sales-Demonstrating and selling expenses</t>
  </si>
  <si>
    <t>Sales-Advertising expenses</t>
  </si>
  <si>
    <t>A&amp;G-Office supplies &amp; expense</t>
  </si>
  <si>
    <t>A&amp;G-Administrative expense transferred-Credit</t>
  </si>
  <si>
    <t>A&amp;G-Outside services employed</t>
  </si>
  <si>
    <t>A&amp;G-Property insurance</t>
  </si>
  <si>
    <t>A&amp;G-Injuries &amp; damages</t>
  </si>
  <si>
    <t>A&amp;G-Employee pensions and benefits</t>
  </si>
  <si>
    <t>A&amp;G-Franchise requirements</t>
  </si>
  <si>
    <t>A&amp;G-Regulatory commission expenses</t>
  </si>
  <si>
    <t>Account Discription</t>
  </si>
  <si>
    <t>Data Sources:</t>
  </si>
  <si>
    <t>Advertising</t>
  </si>
  <si>
    <t>Miscellaneous Sales Expense</t>
  </si>
  <si>
    <t xml:space="preserve">   General Plant</t>
  </si>
  <si>
    <t>Total Projected Rate Case Expense</t>
  </si>
  <si>
    <t>Museums &amp; Arts</t>
  </si>
  <si>
    <t>Youth Clubs &amp; Centers</t>
  </si>
  <si>
    <t>Other Tangible Property - Servers - S/W</t>
  </si>
  <si>
    <t>Compressor Station Labor &amp; Expenses</t>
  </si>
  <si>
    <t>Mains &amp; Services</t>
  </si>
  <si>
    <t>Meters and House Regulator Expense</t>
  </si>
  <si>
    <t>Customer Installations Expense</t>
  </si>
  <si>
    <t>Other Expense</t>
  </si>
  <si>
    <t>Measuring and Regulating Station Exp. - Gen</t>
  </si>
  <si>
    <t>Measuring and Regulating Station Exp. - Ind.</t>
  </si>
  <si>
    <t>Measuring and Regulating Sta. Exp. - City Gate</t>
  </si>
  <si>
    <t>Structures and Improvements</t>
  </si>
  <si>
    <t>Meters and House Regulators</t>
  </si>
  <si>
    <t>Customer Records &amp; Collections</t>
  </si>
  <si>
    <t>F-8</t>
  </si>
  <si>
    <t>Total Manhours</t>
  </si>
  <si>
    <t xml:space="preserve">  AFUDC</t>
  </si>
  <si>
    <t xml:space="preserve">Working Capital Components </t>
  </si>
  <si>
    <t xml:space="preserve">  Embedded cost of preferred stock (%)</t>
  </si>
  <si>
    <t>Supervision (1)</t>
  </si>
  <si>
    <t>Informational Advertising (1)</t>
  </si>
  <si>
    <t>Miscellaneous Customer Service and Informational (1)</t>
  </si>
  <si>
    <t>Demonstration and Selling (1)</t>
  </si>
  <si>
    <t xml:space="preserve">Allocated </t>
  </si>
  <si>
    <t>06111- Contract Labor</t>
  </si>
  <si>
    <t>06121- Legal</t>
  </si>
  <si>
    <t>Fixed Charge Coverage: (1)</t>
  </si>
  <si>
    <t>Description</t>
  </si>
  <si>
    <t>Unadjusted</t>
  </si>
  <si>
    <t>Adjustments</t>
  </si>
  <si>
    <t>Adjusted</t>
  </si>
  <si>
    <t>Interest Charges</t>
  </si>
  <si>
    <t>Operating Expenses</t>
  </si>
  <si>
    <t>Requirement</t>
  </si>
  <si>
    <t>Meas &amp; Reg. Equipment</t>
  </si>
  <si>
    <t>Transmission Plant</t>
  </si>
  <si>
    <t>Other Structues</t>
  </si>
  <si>
    <t>Meas. &amp; Reg. Equipment</t>
  </si>
  <si>
    <t>Land Other</t>
  </si>
  <si>
    <t>Structures &amp; Improvements T.B.</t>
  </si>
  <si>
    <t>Improvements</t>
  </si>
  <si>
    <t>Land Rights</t>
  </si>
  <si>
    <t>Overall Financial Summary</t>
  </si>
  <si>
    <t>Allocation from taxes other SS</t>
  </si>
  <si>
    <t>Factor</t>
  </si>
  <si>
    <t>Other Tangible Property - Network - H/W</t>
  </si>
  <si>
    <t>Total Transmission Expense - Operation</t>
  </si>
  <si>
    <t>Transmission Expense - Maintenance</t>
  </si>
  <si>
    <t>Total Transmission Expense - Maintenance</t>
  </si>
  <si>
    <t xml:space="preserve">      Exchange Gas</t>
  </si>
  <si>
    <t>Schedule B-2 F</t>
  </si>
  <si>
    <t>Schedule B-2 B</t>
  </si>
  <si>
    <t>Schedule B-3 B</t>
  </si>
  <si>
    <t>Schedule B-3 F</t>
  </si>
  <si>
    <t>Natural Gas Storage Expense - Maintenance</t>
  </si>
  <si>
    <t>Forfeited Discounts</t>
  </si>
  <si>
    <t>Misc. Service Revenues</t>
  </si>
  <si>
    <t>480 Gas Rev - Residential</t>
  </si>
  <si>
    <t>480 Gas Rev - Commericial</t>
  </si>
  <si>
    <t>480 Gas Rev - Industrial</t>
  </si>
  <si>
    <t>480 Gas Rev - Public Authority &amp; Other</t>
  </si>
  <si>
    <t>890 Dist Maint Meas/Reg Sta-Ind</t>
  </si>
  <si>
    <t>891 Dist Maint Meas/Reg Sta-Cty</t>
  </si>
  <si>
    <t>892 Dist Maint of Ser</t>
  </si>
  <si>
    <t>893 Dist Maint Mtr/House Reg</t>
  </si>
  <si>
    <t xml:space="preserve">      Gas Used for Other Utility Operations</t>
  </si>
  <si>
    <t>Total Purchased Gas Cost</t>
  </si>
  <si>
    <t>Natural Gas Storage Expense - Operation</t>
  </si>
  <si>
    <t>Total Nat. Gas Storage Expense - Operation</t>
  </si>
  <si>
    <t>Total Nat. Gas Storage Expense - Maintenance</t>
  </si>
  <si>
    <t>Transmission Expense - Operation</t>
  </si>
  <si>
    <t>AVERAGE ANNUALIZED SHORT-TERM DEBT</t>
  </si>
  <si>
    <t xml:space="preserve">  Earnings Per Share - Weighted Avg. ($)</t>
  </si>
  <si>
    <t xml:space="preserve">  Dividends Paid Per Share ($)</t>
  </si>
  <si>
    <t>Three Projected Calendar Years</t>
  </si>
  <si>
    <t>Education</t>
  </si>
  <si>
    <t>United Way Agencies</t>
  </si>
  <si>
    <t>Community Welfare</t>
  </si>
  <si>
    <t>Tools, Shop &amp; Garage Equipment</t>
  </si>
  <si>
    <t>Improvement to leased Premises</t>
  </si>
  <si>
    <t xml:space="preserve">   Residential</t>
  </si>
  <si>
    <t xml:space="preserve">   Commercial</t>
  </si>
  <si>
    <t>to Straight-Time Dollars</t>
  </si>
  <si>
    <t>Purification Equipment</t>
  </si>
  <si>
    <t>819 Storage Compressor Station Fuel</t>
  </si>
  <si>
    <t>820 Storage Measuring &amp; Regulating</t>
  </si>
  <si>
    <t>821 Storage Purification</t>
  </si>
  <si>
    <t>824 Storage Other Expense</t>
  </si>
  <si>
    <t>825 Storage Royalties</t>
  </si>
  <si>
    <t>831 Storage Maintenance Structure</t>
  </si>
  <si>
    <t>832 Storage Maintenance Res</t>
  </si>
  <si>
    <t>Type of Filing:_______Original________Updated ____X____Revised</t>
  </si>
  <si>
    <t>13 Mth Average</t>
  </si>
  <si>
    <t>Distribution Expenses - Operation</t>
  </si>
  <si>
    <t xml:space="preserve">  Depreciation Expense</t>
  </si>
  <si>
    <t>Services</t>
  </si>
  <si>
    <t>House Regulators</t>
  </si>
  <si>
    <t>Interest Expense</t>
  </si>
  <si>
    <t>Data:_____Base Period___X__Forecasted Period</t>
  </si>
  <si>
    <t>Period End</t>
  </si>
  <si>
    <t>Customer Service and Informational SALES and General ADVERTISING Expense</t>
  </si>
  <si>
    <t>Other Working Capital Allowances (Inventory &amp; Prepaids)</t>
  </si>
  <si>
    <t>100%</t>
  </si>
  <si>
    <t xml:space="preserve">   3rd Quarter - Low ($)</t>
  </si>
  <si>
    <t xml:space="preserve">   4th Quarter - High ($)</t>
  </si>
  <si>
    <t xml:space="preserve">   4th Quarter - Low ($)</t>
  </si>
  <si>
    <t xml:space="preserve">  Book Amount Per Share (Year-end) ($)</t>
  </si>
  <si>
    <t>Data:________Base Period___X____Forecasted Period</t>
  </si>
  <si>
    <t>D-1</t>
  </si>
  <si>
    <t>925 Adm Gen Injuries/Damages</t>
  </si>
  <si>
    <t>926 Adm Gen Empl Pen/Ben</t>
  </si>
  <si>
    <t>(based on year-end accounts))</t>
  </si>
  <si>
    <t xml:space="preserve">  Short-term debt ($000)</t>
  </si>
  <si>
    <t xml:space="preserve">  Long-term debt ($000)</t>
  </si>
  <si>
    <t xml:space="preserve">  Other Income net</t>
  </si>
  <si>
    <t xml:space="preserve">  Income available for fixed charges</t>
  </si>
  <si>
    <t xml:space="preserve">  Interest charges</t>
  </si>
  <si>
    <t xml:space="preserve">  Net Income</t>
  </si>
  <si>
    <t xml:space="preserve">  Preferred dividends accrual</t>
  </si>
  <si>
    <t>Transportation Equipment</t>
  </si>
  <si>
    <t>Summary of Utility Jurisdictional Adjustments to Operating Income by Account</t>
  </si>
  <si>
    <t>LN</t>
  </si>
  <si>
    <t>NO</t>
  </si>
  <si>
    <t>ADJUSTED</t>
  </si>
  <si>
    <t>(A)</t>
  </si>
  <si>
    <t>(B)</t>
  </si>
  <si>
    <t>(C)</t>
  </si>
  <si>
    <t>AVERAGE ANNUALIZED LONG-TERM DEBT</t>
  </si>
  <si>
    <t xml:space="preserve">(1) Included in these accounts are advertising and promotional advertising expenses which are considered Non-recoverable and will be Excluded </t>
  </si>
  <si>
    <t>Rate of Return Measures (1)</t>
  </si>
  <si>
    <t xml:space="preserve">Gas Stored Underground </t>
  </si>
  <si>
    <t xml:space="preserve">  FAS 106</t>
  </si>
  <si>
    <t>D-2.2</t>
  </si>
  <si>
    <t>GRAND</t>
  </si>
  <si>
    <t>D-2.3</t>
  </si>
  <si>
    <t>(1)</t>
  </si>
  <si>
    <t>(2)</t>
  </si>
  <si>
    <t>(3)</t>
  </si>
  <si>
    <t xml:space="preserve"> 1</t>
  </si>
  <si>
    <t>12.50%</t>
  </si>
  <si>
    <t xml:space="preserve">  Salary</t>
  </si>
  <si>
    <t xml:space="preserve">  Other Allowances and Compensation</t>
  </si>
  <si>
    <t xml:space="preserve">  Total Salary and Compensation</t>
  </si>
  <si>
    <t xml:space="preserve">  Pensions</t>
  </si>
  <si>
    <t xml:space="preserve">  Other Benefits</t>
  </si>
  <si>
    <t xml:space="preserve">  Total Employee Benefits</t>
  </si>
  <si>
    <t xml:space="preserve">  Federal Unemployment</t>
  </si>
  <si>
    <t>Payroll Taxes Expensed</t>
  </si>
  <si>
    <t xml:space="preserve">  After Tax Interest Coverage  </t>
  </si>
  <si>
    <t xml:space="preserve">  SEC Coverage</t>
  </si>
  <si>
    <t xml:space="preserve">  After Tax Interest Coverage (Excluding AFUDC)</t>
  </si>
  <si>
    <t xml:space="preserve">  Indenture Provision Coverage</t>
  </si>
  <si>
    <t xml:space="preserve">  After Tax Fixed Charge Coverage</t>
  </si>
  <si>
    <t>Stock and Bond Ratings: (1)</t>
  </si>
  <si>
    <t>Jurisdictional Rate Base Summary</t>
  </si>
  <si>
    <t>Increase</t>
  </si>
  <si>
    <t>Revenue Increase Requested</t>
  </si>
  <si>
    <t>SALE of Gas</t>
  </si>
  <si>
    <t>Total Sales Expenses</t>
  </si>
  <si>
    <t>Administrative and General Expenses - Operation</t>
  </si>
  <si>
    <t>DIVISION 12</t>
  </si>
  <si>
    <t>Jurisdictional Accumulated Depreciation &amp; Amortization</t>
  </si>
  <si>
    <t>B-3.1</t>
  </si>
  <si>
    <t>Field Meas. &amp; Reg. Sta. Equip</t>
  </si>
  <si>
    <t>Total Operating Expenses</t>
  </si>
  <si>
    <t>Type of Filing:___X____Original________Updated</t>
  </si>
  <si>
    <t>Type of Filing:___X____Original________Updated________Revised</t>
  </si>
  <si>
    <t>Type of Filing:___X_____Original________Updated________Revised</t>
  </si>
  <si>
    <t>Type of Filing:___X____Original________Updated_________Revised</t>
  </si>
  <si>
    <t>Type of Filing:___X____Original_______Updated_______Revised</t>
  </si>
  <si>
    <t xml:space="preserve">ACCOUNT No. </t>
  </si>
  <si>
    <t>Base Year</t>
  </si>
  <si>
    <t>Expenses</t>
  </si>
  <si>
    <t>Classification</t>
  </si>
  <si>
    <t>Major Group</t>
  </si>
  <si>
    <t>Kentucky Composite Tax</t>
  </si>
  <si>
    <t>Deferred Inc. Taxes and Investment Tax  Credits</t>
  </si>
  <si>
    <t>Workpaper Reference NO(S).____________________</t>
  </si>
  <si>
    <t>J-1</t>
  </si>
  <si>
    <t>SALES STATISTICS</t>
  </si>
  <si>
    <t>Schedule I</t>
  </si>
  <si>
    <t xml:space="preserve">      Transportation to City Gate</t>
  </si>
  <si>
    <t xml:space="preserve">Operating Revenue and Expenses by FERC Account </t>
  </si>
  <si>
    <t>Production Expense - Maintenance</t>
  </si>
  <si>
    <t>Ng Main. Supervision &amp; Engineering</t>
  </si>
  <si>
    <t>Ng. Main. Supervision &amp; Engineering</t>
  </si>
  <si>
    <t>Rate Base, Dep. Exp., &amp; Taxes Other</t>
  </si>
  <si>
    <t>Retirement Work in Progress</t>
  </si>
  <si>
    <t>Composite</t>
  </si>
  <si>
    <t>Total Accumulated Depreciation &amp; Amortization (Div 009, 091, 002, 012)</t>
  </si>
  <si>
    <t>Data:_____Base Period___X___Forecasted Period</t>
  </si>
  <si>
    <t>Land &amp; Land Rights</t>
  </si>
  <si>
    <t>State &amp; Federal Income Tax</t>
  </si>
  <si>
    <t>* Interest Expense Calculation:</t>
  </si>
  <si>
    <t>State Tax Rate</t>
  </si>
  <si>
    <t>Federal Tax Rate</t>
  </si>
  <si>
    <t>Other Tangible Property</t>
  </si>
  <si>
    <t>Other Financial and Operating Data:</t>
  </si>
  <si>
    <t>Plant Data: ($000)</t>
  </si>
  <si>
    <t xml:space="preserve">  Total Sales of Gas</t>
  </si>
  <si>
    <t xml:space="preserve">  Total Other Operating Income</t>
  </si>
  <si>
    <t>Cost Rate</t>
  </si>
  <si>
    <t>Employee Levels</t>
  </si>
  <si>
    <t>Average Employee Levels</t>
  </si>
  <si>
    <t>Year end Employee Levels</t>
  </si>
  <si>
    <t>Most Recent Five Calendar Years</t>
  </si>
  <si>
    <t>Payroll Analysis by Employee Classifications/Payroll Distribution/Total Company</t>
  </si>
  <si>
    <t xml:space="preserve">  Total MIX of Fuel (2)</t>
  </si>
  <si>
    <t>(2) Kentucky gas purchases by accounting month.</t>
  </si>
  <si>
    <t>Cash Working Capital Components - 1 / 8 O&amp;M Expenses</t>
  </si>
  <si>
    <t>Period ending</t>
  </si>
  <si>
    <t>Sched. B-5</t>
  </si>
  <si>
    <t>C-2.1</t>
  </si>
  <si>
    <t>General Plant **</t>
  </si>
  <si>
    <t>Base Period Ending Balance</t>
  </si>
  <si>
    <t>Kentucky Direct (Div 009)</t>
  </si>
  <si>
    <t>KY/Mid-States General Office (Div 091)</t>
  </si>
  <si>
    <t>Shared Services General Office (Div 002)</t>
  </si>
  <si>
    <t>Shared Services Customer Support (Div 012)</t>
  </si>
  <si>
    <t>Safety or</t>
  </si>
  <si>
    <t>Req by Law</t>
  </si>
  <si>
    <t>Other Tang. Property - CPU</t>
  </si>
  <si>
    <t xml:space="preserve">    Total CWIP</t>
  </si>
  <si>
    <t>Total LONG-TERM DEBT</t>
  </si>
  <si>
    <t>927 Adm Gen Franchise Req</t>
  </si>
  <si>
    <t>928 Adm Gen Reg Comm Exp</t>
  </si>
  <si>
    <t>9301 Adm Gen Goodwill Adv</t>
  </si>
  <si>
    <t>9302 Adm Gen Gen Exp</t>
  </si>
  <si>
    <t>932 Adm Gen Maint Gen Plant</t>
  </si>
  <si>
    <t>Supporting</t>
  </si>
  <si>
    <t>Adjusted Operating Revenues</t>
  </si>
  <si>
    <t xml:space="preserve">  Operating Revenues </t>
  </si>
  <si>
    <t>Rate Base Component</t>
  </si>
  <si>
    <t>Component</t>
  </si>
  <si>
    <t>Meas &amp; Reg. Sta. Equip - City Gate</t>
  </si>
  <si>
    <t>Net Operating Income</t>
  </si>
  <si>
    <t>817 Storage Lines Expense</t>
  </si>
  <si>
    <t>818 Storage Compressor Station</t>
  </si>
  <si>
    <t>889 Dist Maint Meas/Reg Sta-Gen</t>
  </si>
  <si>
    <t>Witness:   Waller</t>
  </si>
  <si>
    <t>G-Structures &amp; Improvements</t>
  </si>
  <si>
    <t>G-Office Furniture &amp; Equip.</t>
  </si>
  <si>
    <t>Laboratory Equipment</t>
  </si>
  <si>
    <t>CKV-Land &amp; Land Rights</t>
  </si>
  <si>
    <t>CKV-Structures &amp; Improvements</t>
  </si>
  <si>
    <t>CKV-Communication Equipment</t>
  </si>
  <si>
    <t>CKV-Other Tangible Property</t>
  </si>
  <si>
    <t>CKV-Oth Tang Prop-PC Hardware</t>
  </si>
  <si>
    <t>CKV-Oth Tang Prop-PC Software</t>
  </si>
  <si>
    <t>depreciation expense due to the increased level of depreciable plant investment.</t>
  </si>
  <si>
    <t xml:space="preserve">Taxes Other - The purpose of this adjustment is to account for anticipated </t>
  </si>
  <si>
    <t>changes in Taxes, Other than Income Taxes</t>
  </si>
  <si>
    <t>Natural gas field line purchases</t>
  </si>
  <si>
    <t>Transmission and compression of gas by others</t>
  </si>
  <si>
    <t>Revenue-Transportation Distribution</t>
  </si>
  <si>
    <t xml:space="preserve">      Transmission and compression of gas by others</t>
  </si>
  <si>
    <t xml:space="preserve">      Natural gas field line purchases</t>
  </si>
  <si>
    <t xml:space="preserve">      Gas used for products extraction-Credit</t>
  </si>
  <si>
    <t>4893-4896</t>
  </si>
  <si>
    <t>**Note:  Provision for Income Taxes is not a component of Operating Income but is included on this schedule to develop the 12 month total for use elsewhere in the model</t>
  </si>
  <si>
    <t>Allocation Factors</t>
  </si>
  <si>
    <t>Forecast Period</t>
  </si>
  <si>
    <t>KY/ Md-Sts</t>
  </si>
  <si>
    <t>Charles K. Vaughan Center</t>
  </si>
  <si>
    <t>Greenville Avenue Data Center</t>
  </si>
  <si>
    <t>Forecast</t>
  </si>
  <si>
    <t>489 Revenue From Transporting Gas to Others</t>
  </si>
  <si>
    <t>Payroll Tax Projects</t>
  </si>
  <si>
    <t>Allocation from taxes other Gen Office</t>
  </si>
  <si>
    <t>Sales-Demonstrating and selling</t>
  </si>
  <si>
    <t>Distribution-Measuring and regulating station expenses-Genrl</t>
  </si>
  <si>
    <t>from O &amp; M for ratemaking and therefore the Revenue Requirements.  These amounts are shown properly classified on Schedule F-4, Advertising.</t>
  </si>
  <si>
    <t>ADVERTISING</t>
  </si>
  <si>
    <t>SS expense review.xlsx</t>
  </si>
  <si>
    <t>NOTE:  Country Club dues will be excluded from O &amp; M and therefore, excluded from the revenue requirements. A/C 870.</t>
  </si>
  <si>
    <t>Deferred  Credits</t>
  </si>
  <si>
    <t>(1) Unbilled Revenue is not included in the appropriate customer class.</t>
  </si>
  <si>
    <t>and 10 Most Recent Calendar Years</t>
  </si>
  <si>
    <r>
      <t xml:space="preserve">Capital structure:  </t>
    </r>
    <r>
      <rPr>
        <b/>
        <u/>
        <sz val="10.8"/>
        <rFont val="Helvetica-Narrow"/>
      </rPr>
      <t>(Total Company)</t>
    </r>
  </si>
  <si>
    <t>Account 923 - Outside Services Employed</t>
  </si>
  <si>
    <t>Source:</t>
  </si>
  <si>
    <t>Sources:</t>
  </si>
  <si>
    <t>Labor</t>
  </si>
  <si>
    <t xml:space="preserve">  PENSION &amp; RETIREMENT Income Plan</t>
  </si>
  <si>
    <t>% of</t>
  </si>
  <si>
    <t>ANDERSON COUNTY CHAMBER OF COMMERCE</t>
  </si>
  <si>
    <t>BRECKINRIDGE COUNTY CHAMBER OF COMMERCE</t>
  </si>
  <si>
    <t>CADIZ TRIGG COUNTY ECONOMIC DEVELOP COMM</t>
  </si>
  <si>
    <t>CAVE CITY CHAMBER OF COMMERCE</t>
  </si>
  <si>
    <t>CRITTENDEN COUNTY ECONOMIC</t>
  </si>
  <si>
    <t>DANVILLE-BOYLE COUNTY CHAMBER OF COMMERCE</t>
  </si>
  <si>
    <t>GLASGOW BARREN COUNTY CHAMBER OF COMMERCE</t>
  </si>
  <si>
    <t>GRAND RIVERS CHAMBER OF COMMERCE</t>
  </si>
  <si>
    <t>GREATER MUHLENBERG CHAMBER OF COMMERCE</t>
  </si>
  <si>
    <t>GREATER OWENSBORO CHAMBER OF COMMERCE</t>
  </si>
  <si>
    <t>HART COUNTY CHAMBER OF COMMERCE</t>
  </si>
  <si>
    <t>HOPKINS COUNTY HOME BUILDERS ASSOCIATION</t>
  </si>
  <si>
    <t>KENTUCKY GAS ASSOCIATION</t>
  </si>
  <si>
    <t>LAKE BARKLEY CHAMBER OF COMMERCE</t>
  </si>
  <si>
    <t>LEADERSHIP KENTUCKY</t>
  </si>
  <si>
    <t>LINCOLN COUNTY CHAMBER OF COMMERCE</t>
  </si>
  <si>
    <t>MERCER COUNTY CHAMBER OF COMMERCE</t>
  </si>
  <si>
    <t>OHIO COUNTY CHAMBER OF COMMERCE</t>
  </si>
  <si>
    <t>OWENSBORO AREA MUSEUM OF SCIENCE AND HISTORY</t>
  </si>
  <si>
    <t>PADUCAH AREA CHAMBER OF COMMERCE</t>
  </si>
  <si>
    <t>SHELBY COUNTY CHAMBER OF COMMERCE</t>
  </si>
  <si>
    <t>SOCIETY FOR MARKETING PROFESSIONAL SERVICES</t>
  </si>
  <si>
    <t>TODD COUNTY COMMUNITY ALLIANCE</t>
  </si>
  <si>
    <t>Heat Help Assistance Programs</t>
  </si>
  <si>
    <t>Depreciation - D. Watson</t>
  </si>
  <si>
    <t>AR 15 general plant amortization</t>
  </si>
  <si>
    <t>Schedule F-9</t>
  </si>
  <si>
    <t>LEASE EXPENSE</t>
  </si>
  <si>
    <t>Division 009 - Direct Kentucky</t>
  </si>
  <si>
    <t>Monthly</t>
  </si>
  <si>
    <t>Period affected</t>
  </si>
  <si>
    <t>months</t>
  </si>
  <si>
    <t>Total Amount</t>
  </si>
  <si>
    <t>Adjustment to O &amp; M</t>
  </si>
  <si>
    <t>Total lease expense to be avoided</t>
  </si>
  <si>
    <t>Data Sources</t>
  </si>
  <si>
    <t>factor</t>
  </si>
  <si>
    <t>O&amp;M</t>
  </si>
  <si>
    <t>Base Year Revenues</t>
  </si>
  <si>
    <t>Base Year Gas Costs</t>
  </si>
  <si>
    <t>Base Year Gross Profit</t>
  </si>
  <si>
    <t>Test Year Revenues</t>
  </si>
  <si>
    <t>Test Year Gas costs</t>
  </si>
  <si>
    <t>Test Year Gross Profit</t>
  </si>
  <si>
    <t xml:space="preserve">SALE of Gas-Residential - the purpose of this Adjustment is to reflect the normalization of volumes </t>
  </si>
  <si>
    <t xml:space="preserve">SALE of Gas-Commercial - the purpose of this Adjustment is to reflect the normalization of volumes </t>
  </si>
  <si>
    <t>SALE of Gas-Industrial - the purpose of this Adjustment is to reflect known and measurable changes,</t>
  </si>
  <si>
    <t xml:space="preserve">SALE of Gas-Public Authority - The purpose of this Adjustment is to reflect the normalization of </t>
  </si>
  <si>
    <t>revenues for the base period.</t>
  </si>
  <si>
    <t xml:space="preserve">Revenue from Transportation  - the purpose of this Adjustment is to reflect known and measurable </t>
  </si>
  <si>
    <t xml:space="preserve">Forfeited discounts - the purpose of this adjustment is to reflect anticipated changes in the billed late </t>
  </si>
  <si>
    <t>payment fees from the base period to the test year.</t>
  </si>
  <si>
    <t xml:space="preserve">Benefits are projected as a fixed benefit load percentage of labor expense plus an amount for workers’ comp </t>
  </si>
  <si>
    <t>insurance.  This adjustment pertains to labor and benefits for Kentucky operations.</t>
  </si>
  <si>
    <t>Rent, Maintenance and Utilities - The purpose of this adjustment is to account for forecasted rent, maintenance</t>
  </si>
  <si>
    <t xml:space="preserve">and utilities.  Unlike other O&amp;M categories that are likely to increase with normal inflation, our building rents are  </t>
  </si>
  <si>
    <t xml:space="preserve">driven by leases already in place and can therefore be projected with a high level of accuracy.  The rent portion </t>
  </si>
  <si>
    <t>for Kentucky operations.</t>
  </si>
  <si>
    <t>of this O&amp;M category was projected by reviewing actual lease amounts.  This adjustment pertains to expenses</t>
  </si>
  <si>
    <t xml:space="preserve">Other O&amp;M - The purpose of this adjustment is to account for projected changes in O&amp;M expenses other than </t>
  </si>
  <si>
    <t xml:space="preserve">Bad Debt - The purpose of this adjustment is to account for anticipated bad debt costs due to uncollectible </t>
  </si>
  <si>
    <t xml:space="preserve">accounts.  The projection is made by calculating 0.50% of residential, commercial and public authority  </t>
  </si>
  <si>
    <t xml:space="preserve">Costs allocated from Shared Services and Kentucky-Mid States General Office - The purpose of this </t>
  </si>
  <si>
    <t xml:space="preserve">adjustment is to account for the forecasted amount of expenses that are allocated to Kentucky from the   </t>
  </si>
  <si>
    <t>Shared Services Unit and Division General Office.</t>
  </si>
  <si>
    <t>Schedule F-4</t>
  </si>
  <si>
    <t>F-9</t>
  </si>
  <si>
    <t>Leases</t>
  </si>
  <si>
    <t>931 A&amp;G-Rents</t>
  </si>
  <si>
    <t>920 Administrative and General Salaries</t>
  </si>
  <si>
    <t>COMMITMENT FEE</t>
  </si>
  <si>
    <t>G-2 Labor Support schedules.xls</t>
  </si>
  <si>
    <t>No. (s)</t>
  </si>
  <si>
    <t xml:space="preserve">Account No. </t>
  </si>
  <si>
    <t>Witness:  Waller</t>
  </si>
  <si>
    <t>NOTE:  This amount is included on ratemaking adjustments on Schedule C-2 and therefore excluded from the Revenue Requirements.</t>
  </si>
  <si>
    <t>A&amp;G-Administrative &amp; General Salaries</t>
  </si>
  <si>
    <t>Total Forecasted Period</t>
  </si>
  <si>
    <t>Unbilled Residential</t>
  </si>
  <si>
    <t>Unbilled Commercial</t>
  </si>
  <si>
    <t>Unbilled Public Authority</t>
  </si>
  <si>
    <t>Unbilled Residential Revenue</t>
  </si>
  <si>
    <t>Unbilled Comm Revenue</t>
  </si>
  <si>
    <t>Unbilled Public Authority Revenue</t>
  </si>
  <si>
    <t>Annualized Amortization of Debt Exp. &amp; Debt Dsct.</t>
  </si>
  <si>
    <t>Less Unamortized Debt Discount</t>
  </si>
  <si>
    <t>Total Plant  (Div 91)</t>
  </si>
  <si>
    <t>Total Plant  (Div 9)</t>
  </si>
  <si>
    <t>Total General Plant  (Div 2)</t>
  </si>
  <si>
    <t>Total General Plant  (Div 12)</t>
  </si>
  <si>
    <t>39103-Office Furn. - Copiers &amp; Type</t>
  </si>
  <si>
    <t>Total Depr Reserves  (Div 9)</t>
  </si>
  <si>
    <t>Total Depr Reserves  (Div 2)</t>
  </si>
  <si>
    <t>Total Depr Reserves  (Div 12)</t>
  </si>
  <si>
    <t>Total Depr Reserves  (Div 91)</t>
  </si>
  <si>
    <t>Ending</t>
  </si>
  <si>
    <t>12 Months</t>
  </si>
  <si>
    <t>Total Depreciation Expense  (Div 91)</t>
  </si>
  <si>
    <t>Total Depreciation Expense  (Div 9)</t>
  </si>
  <si>
    <t>Total Depreciation Expense  (Div 2)</t>
  </si>
  <si>
    <t>Total Depreciation Expense  (Div 12)</t>
  </si>
  <si>
    <t>Total General Plant Depr</t>
  </si>
  <si>
    <t>Total Distribution Plant Depr</t>
  </si>
  <si>
    <t>Total Intangible Plant Depr</t>
  </si>
  <si>
    <t>Total Storage Plant Depr</t>
  </si>
  <si>
    <t>Total Production Plant - (LPG)  Depr</t>
  </si>
  <si>
    <t>Total Natural Gas Production Plant Depr</t>
  </si>
  <si>
    <t>Total Intangible Plant Amort.</t>
  </si>
  <si>
    <t>index to source file</t>
  </si>
  <si>
    <t>Maintenance of other equipment</t>
  </si>
  <si>
    <t>Communication system expenses</t>
  </si>
  <si>
    <t>Transmission-Maintenance of compressor sta equipment</t>
  </si>
  <si>
    <t>Distribution-Compressor station labor and expenses</t>
  </si>
  <si>
    <t>Unbilled Industrial Revenue</t>
  </si>
  <si>
    <t>Witness: Waller</t>
  </si>
  <si>
    <t xml:space="preserve">Depreciation  Expense - The purpose of this adjustment is to reflect the change in </t>
  </si>
  <si>
    <t>Production and gathering-Other</t>
  </si>
  <si>
    <t>Unbilled Industrial</t>
  </si>
  <si>
    <t>2013</t>
  </si>
  <si>
    <t>Total Transmission Plant</t>
  </si>
  <si>
    <t>Occupational Licenses</t>
  </si>
  <si>
    <t>Dot Transmission User Tax</t>
  </si>
  <si>
    <t>Total Allocated Amount from Div 91</t>
  </si>
  <si>
    <t>Total Allocated Amount from Div 12</t>
  </si>
  <si>
    <t>Total Allocated Amount from Div 2</t>
  </si>
  <si>
    <t>Rate of Return on Equity</t>
  </si>
  <si>
    <t>SSU</t>
  </si>
  <si>
    <t>Billing</t>
  </si>
  <si>
    <t>Adjs</t>
  </si>
  <si>
    <t>Schedule F-10</t>
  </si>
  <si>
    <t>Div</t>
  </si>
  <si>
    <t>Category</t>
  </si>
  <si>
    <t>Totals</t>
  </si>
  <si>
    <t>Variable Pay &amp; Management Incentive Plans</t>
  </si>
  <si>
    <t>VPP &amp; MIP</t>
  </si>
  <si>
    <t>Restricted Stock Plans</t>
  </si>
  <si>
    <t>RSU-LTIP - Time Lapse</t>
  </si>
  <si>
    <t>Total Allocated Restricted Stock Plans</t>
  </si>
  <si>
    <t>Total Allocated VPP &amp; MIP Plans</t>
  </si>
  <si>
    <t>Grand Total Allocated Expense</t>
  </si>
  <si>
    <t>INCENTIVE COMPENSATION EXPENSE</t>
  </si>
  <si>
    <t>F-6,F-8,F-9, F-10</t>
  </si>
  <si>
    <t>F-10</t>
  </si>
  <si>
    <t>RSU-LTIP - Performance Based</t>
  </si>
  <si>
    <t>CHARITABLE CONTRIBUTIONS</t>
  </si>
  <si>
    <t>TEST PERIOD</t>
  </si>
  <si>
    <t xml:space="preserve">Misc Service Revenues - the purpose of this adjustment is to reflect modest reduction in service charge </t>
  </si>
  <si>
    <t>837 Maintenance of other equipment</t>
  </si>
  <si>
    <t>852 Communication system expenses</t>
  </si>
  <si>
    <t>Total General Plant Reserves</t>
  </si>
  <si>
    <t>Total Distribution Plant Reserves</t>
  </si>
  <si>
    <t>Total Production Plant - LPG Reserves</t>
  </si>
  <si>
    <t>Total Storage Plant Reserves</t>
  </si>
  <si>
    <t>Total Natural Gas Production Plant Reserves</t>
  </si>
  <si>
    <t>Total Intangible Plant Reserves</t>
  </si>
  <si>
    <t>Commercial Revenue</t>
  </si>
  <si>
    <t>Industrial Revenue</t>
  </si>
  <si>
    <t>forecasted</t>
  </si>
  <si>
    <t>4060</t>
  </si>
  <si>
    <t>Field measuring and regulating station expenses</t>
  </si>
  <si>
    <t>39924-Oth Tang Prop - Gen.</t>
  </si>
  <si>
    <t>2012</t>
  </si>
  <si>
    <t>2014</t>
  </si>
  <si>
    <t>* Standby Pay included in regular hours and dollars</t>
  </si>
  <si>
    <t>855 Other Fuel &amp; Power Comp</t>
  </si>
  <si>
    <t>Other fuel and power for Compression</t>
  </si>
  <si>
    <t>Other fuel &amp; power for compression</t>
  </si>
  <si>
    <t>Other Fuel &amp; Power for Compression</t>
  </si>
  <si>
    <t>JOURNAL ENTRY</t>
  </si>
  <si>
    <t>CHRISTIAN COUNTY CHAMBER OF COMMERCE</t>
  </si>
  <si>
    <t>GREATER OWENSBORO ECONOMIC DEVELOPMENT CORP</t>
  </si>
  <si>
    <t>KENTUCKY OIL AND GAS ASSOCIATION</t>
  </si>
  <si>
    <t>KIWANIS CLUB</t>
  </si>
  <si>
    <t>LEADERSHIP SHELBY</t>
  </si>
  <si>
    <t>LOGAN ECONOMIC ALLIANCE FOR DEVELOPMENT</t>
  </si>
  <si>
    <t>MARION COUNTY CHAMBER OF COMMERCE</t>
  </si>
  <si>
    <t>Retirement Work in Progress Recon</t>
  </si>
  <si>
    <t>Transmission-Maintenance of me - Non-Inventory Supplies 8650-02005</t>
  </si>
  <si>
    <t>FR 16(8)(a)</t>
  </si>
  <si>
    <t>FR 16(8)(b)</t>
  </si>
  <si>
    <t>FR 16(8)(c)</t>
  </si>
  <si>
    <t>FR 16(8)(d)</t>
  </si>
  <si>
    <t>FR 16(8)(e)</t>
  </si>
  <si>
    <t>FR 16(8)(f)</t>
  </si>
  <si>
    <t>FR 16(8)(g)</t>
  </si>
  <si>
    <t>FR 16(8)(h)</t>
  </si>
  <si>
    <t>FR 16(8)(i)</t>
  </si>
  <si>
    <t>FR 16(8)(j)</t>
  </si>
  <si>
    <t>FR 16(8)(k)</t>
  </si>
  <si>
    <t>FR 16(8)(b)                 SCHEDULE B</t>
  </si>
  <si>
    <t>FR 16(8)(b)1</t>
  </si>
  <si>
    <t>FR 16(8)(b)2</t>
  </si>
  <si>
    <t>FR 16(8)(b)3</t>
  </si>
  <si>
    <t>FR 16(8)(b)3.1</t>
  </si>
  <si>
    <t>FR 16(8)(b)4</t>
  </si>
  <si>
    <t>FR 16(8)(b)4.1</t>
  </si>
  <si>
    <t>FR 16(8)(b)4.2</t>
  </si>
  <si>
    <t>FR 16(8)(b)5</t>
  </si>
  <si>
    <t>FR 16(8)(b)6</t>
  </si>
  <si>
    <t>FR 16(8)(c)                 SCHEDULE C</t>
  </si>
  <si>
    <t>FR 16(8)(c)1</t>
  </si>
  <si>
    <t>FR 16(8)(c)2</t>
  </si>
  <si>
    <t>FR 16(8)(c)2.1</t>
  </si>
  <si>
    <t>FR 16(8)(c)2.2</t>
  </si>
  <si>
    <t>FR 16(8)(c)2.3</t>
  </si>
  <si>
    <t>FR 16(8)(d)                 SCHEDULE D</t>
  </si>
  <si>
    <t>FR 16(8)(d)1</t>
  </si>
  <si>
    <t>FR 16(8)(d)2.1</t>
  </si>
  <si>
    <t>FR 16(8)(d)2.2</t>
  </si>
  <si>
    <t>FR 16(8)(d)2.3</t>
  </si>
  <si>
    <t>FR 16(8)(e)                 SCHEDULE E</t>
  </si>
  <si>
    <t>FR 16(8)(f)                 SCHEDULE F</t>
  </si>
  <si>
    <t>FR 16(8)(i)1</t>
  </si>
  <si>
    <t>FR 16(8)(i)2</t>
  </si>
  <si>
    <t>FR 16(8)(i)3</t>
  </si>
  <si>
    <t>Change in NOLC</t>
  </si>
  <si>
    <t>Regulated Asset Balance</t>
  </si>
  <si>
    <t>Amortization Expense</t>
  </si>
  <si>
    <t>Rate Case (2 year Amortization)</t>
  </si>
  <si>
    <t xml:space="preserve">Two (2) Year Amortization of Rate Case Expenses </t>
  </si>
  <si>
    <t>(13 Month Average)</t>
  </si>
  <si>
    <t xml:space="preserve">Calculation of Change in NOLC </t>
  </si>
  <si>
    <t>(from 13-month average Base Period to 13-month average Forecasted Period</t>
  </si>
  <si>
    <t>13-month average Rate Base</t>
  </si>
  <si>
    <t>Forecasted Test Period</t>
  </si>
  <si>
    <t>B.1 F</t>
  </si>
  <si>
    <t>Required Operating Income</t>
  </si>
  <si>
    <t>A.1</t>
  </si>
  <si>
    <t>E.1</t>
  </si>
  <si>
    <t>Return on Equity Portion of Rate Base</t>
  </si>
  <si>
    <t>Return, grossed up for Income Tax</t>
  </si>
  <si>
    <t>B.1 F; B.1 B</t>
  </si>
  <si>
    <t>13-Month Average ADIT, Forecasted Period, excl, Change in NOLC</t>
  </si>
  <si>
    <t>Total Required Change in Accumulated Deferred Income Taxes</t>
  </si>
  <si>
    <t>ADIT Reconciliation</t>
  </si>
  <si>
    <t>Change In ADIT, excluding forecasted change in NOLC</t>
  </si>
  <si>
    <t>Required Change in NOLC</t>
  </si>
  <si>
    <t>Forecasted Change in NOLC</t>
  </si>
  <si>
    <t>Forecasted 13-month Average ADIT in Rate Base</t>
  </si>
  <si>
    <t>Tax Expense on Return</t>
  </si>
  <si>
    <t>B.5 B</t>
  </si>
  <si>
    <r>
      <t>Total Required Change in Accumulated Deferred Income Taxes</t>
    </r>
    <r>
      <rPr>
        <b/>
        <vertAlign val="superscript"/>
        <sz val="8.4"/>
        <rFont val="Helvetica-Narrow"/>
      </rPr>
      <t>1</t>
    </r>
  </si>
  <si>
    <r>
      <rPr>
        <i/>
        <vertAlign val="superscript"/>
        <sz val="8.4"/>
        <rFont val="Helvetica-Narrow"/>
      </rPr>
      <t>1</t>
    </r>
    <r>
      <rPr>
        <i/>
        <sz val="12"/>
        <rFont val="Helvetica-Narrow"/>
      </rPr>
      <t>Because the Company is in a NOLC position, the total change in ADIT must equal the tax expenses included in revenue requirement</t>
    </r>
  </si>
  <si>
    <t xml:space="preserve">      (excluding forecasted change in NOLC)</t>
  </si>
  <si>
    <t>Line 71 - Line 67</t>
  </si>
  <si>
    <t>Line 37</t>
  </si>
  <si>
    <t>Line 39</t>
  </si>
  <si>
    <t>line 50 - line 52</t>
  </si>
  <si>
    <t>Line 56 x tax rate</t>
  </si>
  <si>
    <t>Line 54 / (1-tax rate)</t>
  </si>
  <si>
    <t>Line 37; B.5 B</t>
  </si>
  <si>
    <t>Income Statement Activity Mar15-Jul15.xlsx</t>
  </si>
  <si>
    <t>13 Month Average Capital Structure</t>
  </si>
  <si>
    <t>Capital Structure</t>
  </si>
  <si>
    <t>Schedule F 2 1.xls</t>
  </si>
  <si>
    <t>Schedule F-1.xlsx</t>
  </si>
  <si>
    <t>F 2 2 Owensboro Country Club Expenses.xls</t>
  </si>
  <si>
    <t>6.75% Debentures Unsecured due July 2028</t>
  </si>
  <si>
    <t>6.67% MTN A1 due Dec 2025</t>
  </si>
  <si>
    <t>5.95% Sr Note due 10/15/2034</t>
  </si>
  <si>
    <t>6.35% Sr Note due 6/15/2017</t>
  </si>
  <si>
    <t>Sr Note 5.50% Due 06/15/2041</t>
  </si>
  <si>
    <t>8.50% Sr Note due 3/15/2019</t>
  </si>
  <si>
    <t>4.15% Sr Note due 1/15/2043</t>
  </si>
  <si>
    <t>4.125% Sr Note due 10/15/2044</t>
  </si>
  <si>
    <t>Incentive Compensation Expense</t>
  </si>
  <si>
    <t>This adjustment pertains to expenses for Kentucky operations.</t>
  </si>
  <si>
    <t>Labor and Benefits - The purpose of this adjustment is to account for forecasted labor and benefits expense</t>
  </si>
  <si>
    <t>due primarily to adjustments to labor capitalization rate versus the base period.</t>
  </si>
  <si>
    <t xml:space="preserve">Other gas service revenues - the purpose of this adjustment is to reflect pro forma adjustments for </t>
  </si>
  <si>
    <t>individual customers and special contract reformations</t>
  </si>
  <si>
    <t>margins from the revenues projection.</t>
  </si>
  <si>
    <t xml:space="preserve">labor, benefits, rent, and bad debt.  </t>
  </si>
  <si>
    <t xml:space="preserve">*Test Period ending ADIT balance does not include forecasted change in NOLC.  Forecasted change in NOLC is calculated on B.5F on a 13 month average basis only and included in rate base and revenue requirement.  </t>
  </si>
  <si>
    <t>Gas Purchase Costs - The purpose of this Adjustment is to reflect the purchase quantities</t>
  </si>
  <si>
    <t>Forecasted Test Period: Twelve Months Ended March 31, 2019</t>
  </si>
  <si>
    <t>Base Period: Twelve Months Ended December 31, 2017</t>
  </si>
  <si>
    <t>as of March 31, 2019</t>
  </si>
  <si>
    <t>as of December 31, 2017</t>
  </si>
  <si>
    <t>Communication Equip.</t>
  </si>
  <si>
    <t>Servers Hardware</t>
  </si>
  <si>
    <t>Servers Software</t>
  </si>
  <si>
    <t>Office Furniture And</t>
  </si>
  <si>
    <t>Struct &amp; Improv AEAM</t>
  </si>
  <si>
    <t>Improv-Leased AEAM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</si>
  <si>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</si>
  <si>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</si>
  <si>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</si>
  <si>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</si>
  <si>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</si>
  <si>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</si>
  <si>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</si>
  <si>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Remittance Processing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</si>
  <si>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</si>
  <si>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</si>
  <si>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</si>
  <si>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</si>
  <si>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</si>
  <si>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</si>
  <si>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Oth Tang Prop - Gen.</t>
  </si>
  <si>
    <t>Pc Hardware-AEAM</t>
  </si>
  <si>
    <t>Application SW-AEAM</t>
  </si>
  <si>
    <t>ALGN-Servers-Hardware</t>
  </si>
  <si>
    <t>ALGN-Servers-Software</t>
  </si>
  <si>
    <t>ALGN-Application SW</t>
  </si>
  <si>
    <t>NOTE:  There are no OCC expenses for the Base Period</t>
  </si>
  <si>
    <t>38900-Land &amp; Land Rights</t>
  </si>
  <si>
    <t>39000-Structures &amp; Improvements</t>
  </si>
  <si>
    <t>39002-Structures - Brick</t>
  </si>
  <si>
    <t>39003-Improvements</t>
  </si>
  <si>
    <t>39004-Air Conditioning Equipment</t>
  </si>
  <si>
    <t>39009-Improv. to Leased Premises</t>
  </si>
  <si>
    <t>39100-Office Furniture &amp; Equipment</t>
  </si>
  <si>
    <t>39200-Transportation Equipment</t>
  </si>
  <si>
    <t>39202-WKG Trailers</t>
  </si>
  <si>
    <t>39400-Tools, Shop, &amp; Garage Equip.</t>
  </si>
  <si>
    <t>39603-Ditchers</t>
  </si>
  <si>
    <t>39604-Backhoes</t>
  </si>
  <si>
    <t>39605-Welders</t>
  </si>
  <si>
    <t>39700-Communication Equipment</t>
  </si>
  <si>
    <t>39705-Comm. Equip. - Telemetering</t>
  </si>
  <si>
    <t>39800-Miscellaneous Equipment</t>
  </si>
  <si>
    <t>39903-Oth Tang Prop - Network - H/W</t>
  </si>
  <si>
    <t>39906-Oth Tang Prop - PC Hardware</t>
  </si>
  <si>
    <t>39907-Oth Tang Prop - PC Software</t>
  </si>
  <si>
    <t>39908-Oth Tang Prop - Appl Software</t>
  </si>
  <si>
    <t>39001-Structures - Frame</t>
  </si>
  <si>
    <t>39200-Trans Equip- Group</t>
  </si>
  <si>
    <t>39600-Power Operated Equipment</t>
  </si>
  <si>
    <t>39900-Other Tangible Property</t>
  </si>
  <si>
    <t>39901-Oth Tang Prop - Servers - H/W</t>
  </si>
  <si>
    <t>39902-Oth Tang Prop - Servers - S/W</t>
  </si>
  <si>
    <t>39005-G-Structures &amp; Improvements</t>
  </si>
  <si>
    <t>39102-Remittance Processing Equipment</t>
  </si>
  <si>
    <t>39104-G-Office Furniture &amp; Equip.</t>
  </si>
  <si>
    <t>39300-Stores Equipment</t>
  </si>
  <si>
    <t>39500-Laboratory Equipment</t>
  </si>
  <si>
    <t>39900-Other Tangible Equipm</t>
  </si>
  <si>
    <t>39904-Oth Tang Prop - CPU</t>
  </si>
  <si>
    <t>39905-Oth Tang Prop - MF Hardware</t>
  </si>
  <si>
    <t>39909-Oth Tang Prop - Mainframe S/W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</si>
  <si>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</si>
  <si>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</si>
  <si>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</si>
  <si>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</si>
  <si>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</si>
  <si>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</si>
  <si>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</si>
  <si>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RWIP</t>
  </si>
  <si>
    <t>AEAM</t>
  </si>
  <si>
    <t>ALGN</t>
  </si>
  <si>
    <t>KY Plant Data-2017 case.xlsx</t>
  </si>
  <si>
    <t>3% Sr Note dues 6/15/2027</t>
  </si>
  <si>
    <t>3% Sr Note due 6/15/2027</t>
  </si>
  <si>
    <t>$200MM 3YR Sr Credit Facility (Est. 9/22/16)</t>
  </si>
  <si>
    <t>Less Unamortized Debt Expenses</t>
  </si>
  <si>
    <t>2016</t>
  </si>
  <si>
    <t>2015</t>
  </si>
  <si>
    <t>There are no lease expenses avoided in this filing</t>
  </si>
  <si>
    <t>ADIT for KY 2017.xlsx</t>
  </si>
  <si>
    <t>ADIT for KY-2017.xlsx</t>
  </si>
  <si>
    <t xml:space="preserve">   (1)  Interest Rate is the actual average rate for 12 Months Ended June 30, 2017</t>
  </si>
  <si>
    <t>COMMITMENT FEE &amp; BANK ADMIN</t>
  </si>
  <si>
    <t>Donations</t>
  </si>
  <si>
    <t>BOWLING GREEN CHAMBER OF COMMERCE</t>
  </si>
  <si>
    <t>CADIZ ROTARY CLUB</t>
  </si>
  <si>
    <t>CAMPBELLSVILLE - TAYLOR COUNTY CHAMBER OF COMMERCE</t>
  </si>
  <si>
    <t>FRANKLIN-SIMPSON CHAMBER OF COMMERCE</t>
  </si>
  <si>
    <t>GARRARD COUNTY CHAMBER</t>
  </si>
  <si>
    <t>GREATER OWENSBORO REALTOR ASSOCIATION</t>
  </si>
  <si>
    <t>GREENSBURG - GREEN CO. CHAMBER</t>
  </si>
  <si>
    <t>HOME BUILDERS ASSOCIATION OF OWENSBORO</t>
  </si>
  <si>
    <t>HOME BUILDERS ASSOCIATION OF THE BLUEGRASS</t>
  </si>
  <si>
    <t>HOME BUILDERS ASSOCIATION OF WESTERN KY</t>
  </si>
  <si>
    <t>HOPKINS CO. REGIONAL CHAMBER OF COMMERCE</t>
  </si>
  <si>
    <t>HOPKINSVILLE CHRISTIAN AND TODD COUNTY ASSN OF REALTORS</t>
  </si>
  <si>
    <t>HOPKINSVILLE HOME BUILDERS ASSOCIATION</t>
  </si>
  <si>
    <t>KENTUCKY ASSOCIATION FOR ECONOMIC DEVELOPMENT</t>
  </si>
  <si>
    <t>KENTUCKY ASSOCIATION OF MAPPING PROFESSIONALS</t>
  </si>
  <si>
    <t>KENTUCKY CHAMBER OF COMMERCE</t>
  </si>
  <si>
    <t>KENTUCKY COUNTY JUDGE EXECUTIVE ASSOCIATION</t>
  </si>
  <si>
    <t>LOGAN COUNTY CHAMBER OF COMMERCE</t>
  </si>
  <si>
    <t>LOGAN COUNTY HOME BUILDERS</t>
  </si>
  <si>
    <t>MARSHALL COUNTY CHAMBER OF COMMERCE</t>
  </si>
  <si>
    <t>MAYFIELD GRAVES COUNTY CHAMBER OF COMMERCE</t>
  </si>
  <si>
    <t>NACE INTERNATIONAL</t>
  </si>
  <si>
    <t>OWENSBORO ASSN OF PLUMBING HEATING</t>
  </si>
  <si>
    <t>PAXTON MEDIA GROUP</t>
  </si>
  <si>
    <t>PRINCETON / CALDWELL COUNTY CHAMBER OF COMMERCE</t>
  </si>
  <si>
    <t>PRINCETON CHAMBER OF COMMERCE</t>
  </si>
  <si>
    <t>SOUTH WESTERN KENTUCKY ECONOMIC DEVELOPMENT COUNCIL</t>
  </si>
  <si>
    <t>SOUTHERN GAS ASSOCIATION</t>
  </si>
  <si>
    <t>SPRINGFIELD WASHINGTON COUNTY CHAMBER OF COMMERCE</t>
  </si>
  <si>
    <t>TRIGG CO. CHAMBER OF COMMERCE</t>
  </si>
  <si>
    <t>URBAN &amp; REGIONAL INFORMATION SYSTEMS ASSOCIATION</t>
  </si>
  <si>
    <t>OM for KY-2017.xlsx</t>
  </si>
  <si>
    <t>div 9 labor analysis-2017.xlsx</t>
  </si>
  <si>
    <t xml:space="preserve">  SERP</t>
  </si>
  <si>
    <t>*Wtd Avg is 9 mos of FY17 and 3 months of FY16</t>
  </si>
  <si>
    <t xml:space="preserve">  FICA/FUTA/SUTA</t>
  </si>
  <si>
    <t>2020</t>
  </si>
  <si>
    <t>2021</t>
  </si>
  <si>
    <t>misc jurirep BS accts-2017.xlsx</t>
  </si>
  <si>
    <t>C2.2 Jurirep Acct 9220.xlsx</t>
  </si>
  <si>
    <t>Gas Cost by FERC-2017.xlsx</t>
  </si>
  <si>
    <t>KY Revenue &amp; Billing Unit Forecast 2017 Case.xlsx</t>
  </si>
  <si>
    <t>F.6 Schedule Rate Case Expenses.xls</t>
  </si>
  <si>
    <t>due to warm weather in base period, and changes in gas costs between the periods</t>
  </si>
  <si>
    <t>changes in gas costs between the periods.</t>
  </si>
  <si>
    <t>volumes due to warm weather in base period, and changes in gas costs between the periods</t>
  </si>
  <si>
    <t>OM for KY - 2017.xlsx</t>
  </si>
  <si>
    <t>misc Finrep retrievals-2017.xlsx</t>
  </si>
  <si>
    <t>G.1 Benefits Rates Calc as of 10-18-16.xlsx</t>
  </si>
  <si>
    <t>G.3 -- Executive Compensation.xlsx</t>
  </si>
  <si>
    <t>C.2.2 Jurirep 9220.xlsx</t>
  </si>
  <si>
    <t xml:space="preserve">   (1)  Interest Rate is the actual average rate for 12 Months Ended June 30, 2017. </t>
  </si>
  <si>
    <t>Thirteen Month Average as of March 31, 2019</t>
  </si>
  <si>
    <t>Includes 7 Officers</t>
  </si>
  <si>
    <t>CEO</t>
  </si>
  <si>
    <t>SVP, Utility Operations (created in January 2017)</t>
  </si>
  <si>
    <t>SVP, General Counsel (vacant from Mar17-Jul17, filled in Aug-17)</t>
  </si>
  <si>
    <t>President and COO</t>
  </si>
  <si>
    <t xml:space="preserve">SVP, CFO </t>
  </si>
  <si>
    <t xml:space="preserve">SVP, Safety and Enterprise </t>
  </si>
  <si>
    <t>SVP, Human Resources (created in January 2017)</t>
  </si>
  <si>
    <t>Witness: Waller, Martin</t>
  </si>
  <si>
    <t>Witness:  Waller, Martin</t>
  </si>
  <si>
    <t>Witness: Gillham, Martin</t>
  </si>
  <si>
    <t>Witness:  Christian</t>
  </si>
  <si>
    <t>Kentucky Jurisdiction Case No. 2017-00349</t>
  </si>
  <si>
    <t>Witness: Gillham, Martin, and Waller</t>
  </si>
  <si>
    <t>Witness: Gillham, Waller, Martin</t>
  </si>
  <si>
    <t>for sales service.  The Base Period includes Unbilled Gas Costs that will zero out by the end</t>
  </si>
  <si>
    <t xml:space="preserve">of the base period when replaced by actuals.  Gas costs in the Base Period were low due to </t>
  </si>
  <si>
    <t>lower usage associated with warmer than normal temperatures</t>
  </si>
  <si>
    <t xml:space="preserve">changes in demand for existing industries and account for migration to/from transportation service </t>
  </si>
  <si>
    <t>increases and reductions, shifts from base period to test year and</t>
  </si>
  <si>
    <t xml:space="preserve"> 2018 * * Composite Tax Rate Calculation:  6.00% + 21%(100% - 6.00%)  =  25.74%</t>
  </si>
  <si>
    <t>Deferred Liablity Amortization</t>
  </si>
  <si>
    <t>ADIT Excess Deferred Liabilities</t>
  </si>
  <si>
    <t>Account 2530 - 27909</t>
  </si>
  <si>
    <t>Excess Deferred Balance</t>
  </si>
  <si>
    <t>Regulatory Assets / Liabilities</t>
  </si>
  <si>
    <t>WP B.5 F1; F.6</t>
  </si>
  <si>
    <t>Amortization Period (Reverse South Georgia Calculation)</t>
  </si>
  <si>
    <t>Regulatory Assets / Liabilities*</t>
  </si>
  <si>
    <t>*13 Mo Avg includes Period End to reflect TCJA Adjustments</t>
  </si>
  <si>
    <t>Period End ADIT, Base Period</t>
  </si>
  <si>
    <t>8.50% Sr Note due 3/15/2019 - Reissue</t>
  </si>
  <si>
    <t>Regulatory Liability Balance</t>
  </si>
  <si>
    <t>Amortization of Excess ADIT</t>
  </si>
  <si>
    <t>WP B.5 F1</t>
  </si>
  <si>
    <t>12 Months Ended 3/31/ 20XX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</si>
</sst>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.0000_)"/>
    <numFmt numFmtId="166" formatCode="0.000000_)"/>
    <numFmt numFmtId="167" formatCode="mm/dd/yy_)"/>
    <numFmt numFmtId="168" formatCode="hh:mm:ss_)"/>
    <numFmt numFmtId="169" formatCode="0.000%"/>
    <numFmt numFmtId="170" formatCode="0.0000%"/>
    <numFmt numFmtId="171" formatCode="#,##0.0_);\(#,##0.0\)"/>
    <numFmt numFmtId="172" formatCode="0.000_)"/>
    <numFmt numFmtId="173" formatCode="0.0%"/>
    <numFmt numFmtId="174" formatCode="0.000000%"/>
    <numFmt numFmtId="175" formatCode="#,##0.000_);\(#,##0.000\)"/>
    <numFmt numFmtId="176" formatCode="#,##0.000000_);\(#,##0.000000\)"/>
    <numFmt numFmtId="177" formatCode="_(* #,##0.0000_);_(* \(#,##0.0000\);_(* &quot;-&quot;??_);_(@_)"/>
    <numFmt numFmtId="178" formatCode="_(* #,##0.00000_);_(* \(#,##0.00000\);_(* &quot;-&quot;??_);_(@_)"/>
    <numFmt numFmtId="179" formatCode="0.00000%"/>
    <numFmt numFmtId="180" formatCode="0_);\(0\)"/>
    <numFmt numFmtId="181" formatCode="&quot;$&quot;#,##0"/>
    <numFmt numFmtId="182" formatCode="_(&quot;$&quot;* #,##0_);_(&quot;$&quot;* \(#,##0\);_(&quot;$&quot;* &quot;-&quot;??_);_(@_)"/>
    <numFmt numFmtId="183" formatCode="0000"/>
    <numFmt numFmtId="184" formatCode="000.0"/>
    <numFmt numFmtId="185" formatCode="_(* #,##0_);_(* \(#,##0\);_(* &quot;-&quot;??_);_(@_)"/>
    <numFmt numFmtId="186" formatCode="[$-409]mmm\-yy;@"/>
    <numFmt numFmtId="187" formatCode="_(* #,##0.0_);_(* \(#,##0.0\);_(* &quot;-&quot;??_);_(@_)"/>
    <numFmt numFmtId="188" formatCode="0.0000000%"/>
    <numFmt numFmtId="189" formatCode="mm/dd/yy;@"/>
    <numFmt numFmtId="190" formatCode="#,##0.0000_);\(#,##0.0000\)"/>
  </numFmts>
  <fonts count="70">
    <font>
      <sz val="12"/>
      <name val="Helvetica-Narrow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name val="Helvetica-Narrow"/>
      <family val="2"/>
    </font>
    <font>
      <b/>
      <sz val="12"/>
      <name val="Helvetica-Narrow"/>
      <family val="2"/>
    </font>
    <font>
      <u/>
      <sz val="12"/>
      <name val="Helvetica-Narrow"/>
      <family val="2"/>
    </font>
    <font>
      <u val="double"/>
      <sz val="12"/>
      <name val="Helvetica-Narrow"/>
      <family val="2"/>
    </font>
    <font>
      <sz val="12"/>
      <color indexed="12"/>
      <name val="Helvetica-Narrow"/>
      <family val="2"/>
    </font>
    <font>
      <sz val="12"/>
      <name val="Helvetica-Narrow"/>
      <family val="2"/>
    </font>
    <font>
      <sz val="12"/>
      <color indexed="10"/>
      <name val="Helvetica-Narrow"/>
      <family val="2"/>
    </font>
    <font>
      <sz val="12"/>
      <color indexed="10"/>
      <name val="Helvetica-Narrow"/>
    </font>
    <font>
      <sz val="12"/>
      <color indexed="12"/>
      <name val="Helvetica-Narrow"/>
    </font>
    <font>
      <sz val="12"/>
      <name val="Helvetica-Narrow"/>
    </font>
    <font>
      <u/>
      <sz val="12"/>
      <name val="Helvetica-Narrow"/>
    </font>
    <font>
      <b/>
      <sz val="12"/>
      <name val="Helvetica-Narrow"/>
    </font>
    <font>
      <u val="double"/>
      <sz val="12"/>
      <name val="Helvetica-Narrow"/>
    </font>
    <font>
      <b/>
      <sz val="12"/>
      <color indexed="14"/>
      <name val="Helvetica-Narrow"/>
    </font>
    <font>
      <b/>
      <sz val="10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Helvetica-Narrow"/>
      <family val="2"/>
    </font>
    <font>
      <sz val="8"/>
      <name val="Helvetica-Narrow"/>
      <family val="2"/>
    </font>
    <font>
      <sz val="12"/>
      <color indexed="20"/>
      <name val="Helvetica-Narrow"/>
      <family val="2"/>
    </font>
    <font>
      <sz val="12"/>
      <color indexed="20"/>
      <name val="Helvetica-Narrow"/>
    </font>
    <font>
      <sz val="10"/>
      <name val="Arial"/>
      <family val="2"/>
    </font>
    <font>
      <u/>
      <sz val="9"/>
      <color indexed="12"/>
      <name val="Helvetica-Narrow"/>
      <family val="2"/>
    </font>
    <font>
      <sz val="10"/>
      <name val="Arial"/>
      <family val="2"/>
    </font>
    <font>
      <b/>
      <sz val="10"/>
      <name val="Times New Roman"/>
      <family val="1"/>
    </font>
    <font>
      <b/>
      <i/>
      <sz val="16"/>
      <name val="Helv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16"/>
      <name val="Times New Roman"/>
      <family val="1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0"/>
      <name val="Helvetica-Narrow"/>
      <family val="2"/>
    </font>
    <font>
      <b/>
      <u/>
      <sz val="12"/>
      <name val="Helvetica-Narrow"/>
    </font>
    <font>
      <sz val="12"/>
      <name val="Helvetica-Narrow"/>
      <family val="2"/>
    </font>
    <font>
      <sz val="9"/>
      <name val="Helvetica-Narrow"/>
      <family val="2"/>
    </font>
    <font>
      <sz val="12"/>
      <name val="Helvetica Narrow"/>
      <family val="2"/>
    </font>
    <font>
      <b/>
      <sz val="9"/>
      <name val="Helvetica-Narrow"/>
      <family val="2"/>
    </font>
    <font>
      <sz val="12"/>
      <name val="Helvetica-Narrow"/>
      <family val="2"/>
    </font>
    <font>
      <u/>
      <sz val="12"/>
      <color indexed="12"/>
      <name val="Helvetica-Narrow"/>
      <family val="2"/>
    </font>
    <font>
      <sz val="12"/>
      <color rgb="FF0000FF"/>
      <name val="Helvetica-Narrow"/>
      <family val="2"/>
    </font>
    <font>
      <b/>
      <sz val="12"/>
      <color rgb="FF0000FF"/>
      <name val="Helvetica-Narrow"/>
    </font>
    <font>
      <sz val="12"/>
      <color rgb="FF0000FF"/>
      <name val="Helvetica-Narrow"/>
    </font>
    <font>
      <sz val="12"/>
      <color rgb="FFFF0000"/>
      <name val="Helvetica-Narrow"/>
      <family val="2"/>
    </font>
    <font>
      <b/>
      <sz val="12"/>
      <color rgb="FF00B050"/>
      <name val="Helvetica-Narrow"/>
    </font>
    <font>
      <sz val="10"/>
      <color rgb="FF0000FF"/>
      <name val="Helvetica-Narrow"/>
      <family val="2"/>
    </font>
    <font>
      <sz val="12"/>
      <color rgb="FF0000FF"/>
      <name val="Times New Roman"/>
      <family val="1"/>
    </font>
    <font>
      <b/>
      <u/>
      <sz val="10.8"/>
      <name val="Helvetica-Narrow"/>
    </font>
    <font>
      <u/>
      <sz val="12"/>
      <name val="Helvetica Narrow"/>
      <family val="2"/>
    </font>
    <font>
      <sz val="12"/>
      <color theme="0" tint="-0.34998626667073579"/>
      <name val="Helvetica-Narrow"/>
      <family val="2"/>
    </font>
    <font>
      <sz val="12"/>
      <color theme="0" tint="-0.249977111117893"/>
      <name val="Helvetica-Narrow"/>
    </font>
    <font>
      <sz val="12"/>
      <color theme="0" tint="-0.249977111117893"/>
      <name val="Helvetica-Narrow"/>
      <family val="2"/>
    </font>
    <font>
      <b/>
      <sz val="12"/>
      <color rgb="FFFF0000"/>
      <name val="Helvetica-Narrow"/>
    </font>
    <font>
      <b/>
      <sz val="10"/>
      <color rgb="FFFF0000"/>
      <name val="Arial"/>
      <family val="2"/>
    </font>
    <font>
      <sz val="12"/>
      <color theme="0" tint="-0.499984740745262"/>
      <name val="Helvetica-Narrow"/>
      <family val="2"/>
    </font>
    <font>
      <sz val="10"/>
      <color theme="0" tint="-0.499984740745262"/>
      <name val="Helvetica-Narrow"/>
      <family val="2"/>
    </font>
    <font>
      <u/>
      <sz val="12"/>
      <color rgb="FF0000FF"/>
      <name val="Helvetica-Narrow"/>
      <family val="2"/>
    </font>
    <font>
      <sz val="10"/>
      <name val="Arial"/>
      <family val="2"/>
    </font>
    <font>
      <sz val="12"/>
      <color rgb="FFFF0000"/>
      <name val="Helvetica-Narrow"/>
    </font>
    <font>
      <sz val="10.8"/>
      <color rgb="FFFF0000"/>
      <name val="Helvetica-Narrow"/>
    </font>
    <font>
      <sz val="12"/>
      <color theme="0"/>
      <name val="Helvetica-Narrow"/>
      <family val="2"/>
    </font>
    <font>
      <b/>
      <vertAlign val="superscript"/>
      <sz val="8.4"/>
      <name val="Helvetica-Narrow"/>
    </font>
    <font>
      <i/>
      <sz val="12"/>
      <name val="Helvetica-Narrow"/>
    </font>
    <font>
      <i/>
      <vertAlign val="superscript"/>
      <sz val="8.4"/>
      <name val="Helvetica-Narrow"/>
    </font>
    <font>
      <i/>
      <sz val="8"/>
      <name val="Helvetica-Narrow"/>
    </font>
    <font>
      <sz val="12"/>
      <name val="Arial MT"/>
    </font>
    <font>
      <sz val="10"/>
      <name val="Helvetica-Narrow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</borders>
  <cellStyleXfs count="32">
    <xf numFmtId="37" fontId="0" fillId="0" borderId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164" fontId="29" fillId="0" borderId="0"/>
    <xf numFmtId="37" fontId="3" fillId="0" borderId="0" applyProtection="0"/>
    <xf numFmtId="0" fontId="25" fillId="0" borderId="0"/>
    <xf numFmtId="0" fontId="25" fillId="0" borderId="0"/>
    <xf numFmtId="40" fontId="30" fillId="2" borderId="0">
      <alignment horizontal="right"/>
    </xf>
    <xf numFmtId="0" fontId="31" fillId="3" borderId="0">
      <alignment horizontal="center"/>
    </xf>
    <xf numFmtId="0" fontId="32" fillId="2" borderId="1"/>
    <xf numFmtId="0" fontId="33" fillId="0" borderId="0" applyBorder="0">
      <alignment horizontal="centerContinuous"/>
    </xf>
    <xf numFmtId="0" fontId="34" fillId="0" borderId="0" applyBorder="0">
      <alignment horizontal="centerContinuous"/>
    </xf>
    <xf numFmtId="9" fontId="2" fillId="0" borderId="0" applyFont="0" applyFill="0" applyBorder="0" applyAlignment="0" applyProtection="0"/>
    <xf numFmtId="0" fontId="60" fillId="0" borderId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60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7" fontId="3" fillId="0" borderId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0" borderId="0"/>
    <xf numFmtId="0" fontId="1" fillId="0" borderId="0"/>
    <xf numFmtId="0" fontId="25" fillId="0" borderId="0"/>
    <xf numFmtId="9" fontId="2" fillId="0" borderId="0" applyFont="0" applyFill="0" applyBorder="0" applyAlignment="0" applyProtection="0"/>
  </cellStyleXfs>
  <cellXfs count="1207">
    <xf numFmtId="37" fontId="0" fillId="0" borderId="0" xfId="0"/>
    <xf numFmtId="37" fontId="3" fillId="0" borderId="0" xfId="0" applyFont="1"/>
    <xf numFmtId="37" fontId="3" fillId="0" borderId="0" xfId="0" applyFont="1" applyAlignment="1" applyProtection="1">
      <alignment horizontal="center"/>
    </xf>
    <xf numFmtId="164" fontId="3" fillId="0" borderId="0" xfId="0" applyNumberFormat="1" applyFont="1" applyProtection="1"/>
    <xf numFmtId="37" fontId="3" fillId="0" borderId="0" xfId="0" applyFont="1" applyAlignment="1" applyProtection="1">
      <alignment horizontal="left"/>
    </xf>
    <xf numFmtId="37" fontId="3" fillId="0" borderId="2" xfId="0" applyFont="1" applyBorder="1" applyAlignment="1" applyProtection="1">
      <alignment horizontal="left"/>
    </xf>
    <xf numFmtId="37" fontId="3" fillId="0" borderId="2" xfId="0" applyFont="1" applyBorder="1"/>
    <xf numFmtId="165" fontId="3" fillId="0" borderId="2" xfId="0" applyNumberFormat="1" applyFont="1" applyBorder="1" applyProtection="1"/>
    <xf numFmtId="165" fontId="3" fillId="0" borderId="0" xfId="0" applyNumberFormat="1" applyFont="1" applyProtection="1"/>
    <xf numFmtId="37" fontId="3" fillId="0" borderId="2" xfId="0" applyFont="1" applyBorder="1" applyAlignment="1" applyProtection="1">
      <alignment horizontal="center"/>
    </xf>
    <xf numFmtId="37" fontId="3" fillId="0" borderId="0" xfId="0" applyNumberFormat="1" applyFont="1" applyProtection="1"/>
    <xf numFmtId="10" fontId="3" fillId="0" borderId="0" xfId="0" applyNumberFormat="1" applyFont="1" applyProtection="1"/>
    <xf numFmtId="37" fontId="4" fillId="0" borderId="0" xfId="0" applyFont="1"/>
    <xf numFmtId="37" fontId="3" fillId="0" borderId="3" xfId="0" applyFont="1" applyBorder="1"/>
    <xf numFmtId="168" fontId="3" fillId="0" borderId="0" xfId="0" applyNumberFormat="1" applyFont="1" applyProtection="1"/>
    <xf numFmtId="37" fontId="5" fillId="0" borderId="0" xfId="0" applyFont="1"/>
    <xf numFmtId="37" fontId="5" fillId="0" borderId="0" xfId="0" applyFont="1" applyAlignment="1" applyProtection="1">
      <alignment horizontal="left"/>
    </xf>
    <xf numFmtId="37" fontId="3" fillId="0" borderId="2" xfId="0" applyNumberFormat="1" applyFont="1" applyBorder="1" applyProtection="1"/>
    <xf numFmtId="10" fontId="6" fillId="0" borderId="0" xfId="0" applyNumberFormat="1" applyFont="1" applyProtection="1"/>
    <xf numFmtId="37" fontId="3" fillId="0" borderId="0" xfId="0" applyNumberFormat="1" applyFont="1" applyAlignment="1" applyProtection="1">
      <alignment horizontal="right"/>
    </xf>
    <xf numFmtId="173" fontId="3" fillId="0" borderId="0" xfId="0" applyNumberFormat="1" applyFont="1" applyProtection="1"/>
    <xf numFmtId="37" fontId="3" fillId="0" borderId="0" xfId="0" applyNumberFormat="1" applyFont="1" applyAlignment="1" applyProtection="1">
      <alignment horizontal="center"/>
    </xf>
    <xf numFmtId="37" fontId="5" fillId="0" borderId="0" xfId="0" applyFont="1" applyAlignment="1" applyProtection="1">
      <alignment horizontal="center"/>
    </xf>
    <xf numFmtId="10" fontId="3" fillId="0" borderId="2" xfId="0" applyNumberFormat="1" applyFont="1" applyBorder="1" applyProtection="1"/>
    <xf numFmtId="174" fontId="3" fillId="0" borderId="0" xfId="0" applyNumberFormat="1" applyFont="1" applyProtection="1"/>
    <xf numFmtId="174" fontId="3" fillId="0" borderId="2" xfId="0" applyNumberFormat="1" applyFont="1" applyBorder="1" applyProtection="1"/>
    <xf numFmtId="37" fontId="7" fillId="0" borderId="0" xfId="0" applyFont="1" applyProtection="1">
      <protection locked="0"/>
    </xf>
    <xf numFmtId="37" fontId="4" fillId="0" borderId="0" xfId="0" applyFont="1" applyAlignment="1" applyProtection="1">
      <alignment horizontal="left"/>
    </xf>
    <xf numFmtId="5" fontId="3" fillId="0" borderId="0" xfId="0" applyNumberFormat="1" applyFont="1" applyProtection="1"/>
    <xf numFmtId="171" fontId="3" fillId="0" borderId="0" xfId="0" applyNumberFormat="1" applyFont="1" applyProtection="1"/>
    <xf numFmtId="37" fontId="3" fillId="0" borderId="0" xfId="0" applyFont="1" applyAlignment="1">
      <alignment horizontal="centerContinuous"/>
    </xf>
    <xf numFmtId="37" fontId="3" fillId="0" borderId="0" xfId="0" applyFont="1" applyAlignment="1" applyProtection="1">
      <alignment horizontal="centerContinuous"/>
    </xf>
    <xf numFmtId="37" fontId="3" fillId="0" borderId="5" xfId="0" applyFont="1" applyBorder="1" applyAlignment="1" applyProtection="1">
      <alignment horizontal="center"/>
    </xf>
    <xf numFmtId="37" fontId="3" fillId="0" borderId="5" xfId="0" applyFont="1" applyBorder="1"/>
    <xf numFmtId="37" fontId="3" fillId="0" borderId="0" xfId="0" applyFont="1" applyBorder="1" applyAlignment="1" applyProtection="1">
      <alignment horizontal="center"/>
    </xf>
    <xf numFmtId="37" fontId="3" fillId="0" borderId="0" xfId="0" applyFont="1" applyBorder="1"/>
    <xf numFmtId="37" fontId="3" fillId="0" borderId="0" xfId="0" applyFont="1" applyAlignment="1"/>
    <xf numFmtId="37" fontId="3" fillId="0" borderId="0" xfId="0" applyFont="1" applyAlignment="1" applyProtection="1"/>
    <xf numFmtId="37" fontId="3" fillId="0" borderId="2" xfId="0" applyFont="1" applyBorder="1" applyAlignment="1"/>
    <xf numFmtId="37" fontId="3" fillId="0" borderId="2" xfId="0" applyFont="1" applyBorder="1" applyAlignment="1" applyProtection="1"/>
    <xf numFmtId="37" fontId="8" fillId="0" borderId="0" xfId="0" applyFont="1"/>
    <xf numFmtId="37" fontId="5" fillId="0" borderId="0" xfId="0" applyFont="1" applyAlignment="1" applyProtection="1">
      <alignment horizontal="left"/>
      <protection locked="0"/>
    </xf>
    <xf numFmtId="37" fontId="3" fillId="0" borderId="0" xfId="0" applyNumberFormat="1" applyFont="1" applyBorder="1" applyProtection="1"/>
    <xf numFmtId="176" fontId="3" fillId="0" borderId="0" xfId="0" applyNumberFormat="1" applyFont="1" applyProtection="1"/>
    <xf numFmtId="10" fontId="3" fillId="0" borderId="0" xfId="13" applyNumberFormat="1" applyFont="1" applyProtection="1"/>
    <xf numFmtId="10" fontId="3" fillId="0" borderId="2" xfId="13" applyNumberFormat="1" applyFont="1" applyBorder="1" applyProtection="1"/>
    <xf numFmtId="10" fontId="3" fillId="0" borderId="0" xfId="13" applyNumberFormat="1" applyFont="1"/>
    <xf numFmtId="10" fontId="6" fillId="0" borderId="0" xfId="13" applyNumberFormat="1" applyFont="1" applyProtection="1"/>
    <xf numFmtId="37" fontId="3" fillId="0" borderId="0" xfId="0" applyFont="1" applyBorder="1" applyAlignment="1" applyProtection="1">
      <alignment horizontal="left"/>
    </xf>
    <xf numFmtId="37" fontId="3" fillId="0" borderId="0" xfId="0" applyFont="1" applyBorder="1" applyAlignment="1" applyProtection="1"/>
    <xf numFmtId="37" fontId="3" fillId="0" borderId="0" xfId="0" applyFont="1" applyBorder="1" applyAlignment="1"/>
    <xf numFmtId="37" fontId="3" fillId="0" borderId="5" xfId="0" applyFont="1" applyBorder="1" applyAlignment="1" applyProtection="1">
      <alignment horizontal="left"/>
    </xf>
    <xf numFmtId="37" fontId="0" fillId="0" borderId="5" xfId="0" applyBorder="1"/>
    <xf numFmtId="37" fontId="0" fillId="0" borderId="0" xfId="0" applyAlignment="1">
      <alignment horizontal="center"/>
    </xf>
    <xf numFmtId="37" fontId="3" fillId="0" borderId="0" xfId="0" applyFont="1" applyAlignment="1">
      <alignment horizontal="center"/>
    </xf>
    <xf numFmtId="10" fontId="0" fillId="0" borderId="0" xfId="13" applyNumberFormat="1" applyFont="1"/>
    <xf numFmtId="37" fontId="3" fillId="0" borderId="5" xfId="0" applyFont="1" applyBorder="1" applyAlignment="1">
      <alignment horizontal="center"/>
    </xf>
    <xf numFmtId="37" fontId="0" fillId="0" borderId="0" xfId="0" applyBorder="1"/>
    <xf numFmtId="37" fontId="0" fillId="0" borderId="5" xfId="0" applyBorder="1" applyAlignment="1">
      <alignment horizontal="center"/>
    </xf>
    <xf numFmtId="37" fontId="3" fillId="0" borderId="7" xfId="0" applyFont="1" applyBorder="1"/>
    <xf numFmtId="37" fontId="8" fillId="0" borderId="5" xfId="0" applyFont="1" applyBorder="1"/>
    <xf numFmtId="37" fontId="11" fillId="0" borderId="0" xfId="0" applyNumberFormat="1" applyFont="1" applyProtection="1"/>
    <xf numFmtId="37" fontId="12" fillId="0" borderId="0" xfId="0" applyFont="1"/>
    <xf numFmtId="37" fontId="12" fillId="0" borderId="0" xfId="0" applyNumberFormat="1" applyFont="1" applyProtection="1"/>
    <xf numFmtId="37" fontId="0" fillId="0" borderId="0" xfId="0" applyBorder="1" applyAlignment="1">
      <alignment horizontal="center"/>
    </xf>
    <xf numFmtId="37" fontId="12" fillId="0" borderId="0" xfId="0" applyFont="1" applyAlignment="1" applyProtection="1">
      <alignment horizontal="centerContinuous"/>
      <protection locked="0"/>
    </xf>
    <xf numFmtId="37" fontId="12" fillId="0" borderId="0" xfId="0" applyFont="1" applyAlignment="1" applyProtection="1">
      <alignment horizontal="left"/>
    </xf>
    <xf numFmtId="10" fontId="11" fillId="0" borderId="0" xfId="0" applyNumberFormat="1" applyFont="1" applyProtection="1"/>
    <xf numFmtId="9" fontId="11" fillId="0" borderId="0" xfId="13" applyFont="1"/>
    <xf numFmtId="174" fontId="12" fillId="0" borderId="2" xfId="0" applyNumberFormat="1" applyFont="1" applyBorder="1" applyProtection="1"/>
    <xf numFmtId="10" fontId="12" fillId="0" borderId="0" xfId="13" applyNumberFormat="1" applyFont="1" applyAlignment="1" applyProtection="1">
      <alignment horizontal="center"/>
    </xf>
    <xf numFmtId="37" fontId="11" fillId="0" borderId="0" xfId="0" applyNumberFormat="1" applyFont="1" applyFill="1" applyProtection="1"/>
    <xf numFmtId="37" fontId="3" fillId="0" borderId="0" xfId="0" applyNumberFormat="1" applyFont="1" applyBorder="1" applyAlignment="1" applyProtection="1">
      <alignment horizontal="right"/>
    </xf>
    <xf numFmtId="37" fontId="3" fillId="0" borderId="0" xfId="0" applyNumberFormat="1" applyFont="1" applyFill="1" applyProtection="1"/>
    <xf numFmtId="37" fontId="3" fillId="0" borderId="0" xfId="0" applyFont="1" applyFill="1" applyBorder="1"/>
    <xf numFmtId="37" fontId="3" fillId="0" borderId="0" xfId="0" applyFont="1" applyFill="1" applyBorder="1" applyAlignment="1" applyProtection="1">
      <alignment horizontal="center"/>
    </xf>
    <xf numFmtId="37" fontId="3" fillId="0" borderId="0" xfId="0" applyFont="1" applyFill="1" applyBorder="1" applyAlignment="1">
      <alignment horizontal="center"/>
    </xf>
    <xf numFmtId="37" fontId="3" fillId="0" borderId="0" xfId="0" applyNumberFormat="1" applyFont="1" applyFill="1" applyBorder="1" applyProtection="1"/>
    <xf numFmtId="37" fontId="8" fillId="0" borderId="0" xfId="0" applyFont="1" applyAlignment="1">
      <alignment horizontal="center"/>
    </xf>
    <xf numFmtId="39" fontId="0" fillId="0" borderId="0" xfId="0" applyNumberFormat="1"/>
    <xf numFmtId="37" fontId="0" fillId="0" borderId="0" xfId="0" applyFill="1"/>
    <xf numFmtId="37" fontId="3" fillId="0" borderId="0" xfId="0" applyFont="1" applyFill="1"/>
    <xf numFmtId="37" fontId="3" fillId="0" borderId="5" xfId="0" applyFont="1" applyFill="1" applyBorder="1"/>
    <xf numFmtId="37" fontId="3" fillId="0" borderId="5" xfId="0" applyNumberFormat="1" applyFont="1" applyFill="1" applyBorder="1" applyProtection="1"/>
    <xf numFmtId="37" fontId="12" fillId="0" borderId="0" xfId="0" applyNumberFormat="1" applyFont="1" applyBorder="1" applyProtection="1"/>
    <xf numFmtId="37" fontId="3" fillId="0" borderId="2" xfId="0" applyNumberFormat="1" applyFont="1" applyFill="1" applyBorder="1" applyProtection="1"/>
    <xf numFmtId="37" fontId="12" fillId="0" borderId="0" xfId="0" applyNumberFormat="1" applyFont="1" applyFill="1" applyProtection="1"/>
    <xf numFmtId="37" fontId="12" fillId="0" borderId="0" xfId="0" applyNumberFormat="1" applyFont="1" applyFill="1" applyBorder="1" applyProtection="1"/>
    <xf numFmtId="37" fontId="3" fillId="0" borderId="0" xfId="0" applyFont="1" applyFill="1" applyAlignment="1" applyProtection="1">
      <alignment horizontal="left"/>
    </xf>
    <xf numFmtId="37" fontId="0" fillId="0" borderId="0" xfId="0" applyFont="1" applyAlignment="1" applyProtection="1">
      <alignment horizontal="centerContinuous"/>
    </xf>
    <xf numFmtId="37" fontId="0" fillId="0" borderId="0" xfId="0" applyFont="1" applyAlignment="1" applyProtection="1">
      <alignment horizontal="left"/>
    </xf>
    <xf numFmtId="37" fontId="0" fillId="0" borderId="2" xfId="0" applyFont="1" applyBorder="1" applyAlignment="1" applyProtection="1">
      <alignment horizontal="left"/>
    </xf>
    <xf numFmtId="37" fontId="0" fillId="0" borderId="0" xfId="0" applyFont="1"/>
    <xf numFmtId="37" fontId="0" fillId="0" borderId="0" xfId="0" applyFont="1" applyBorder="1"/>
    <xf numFmtId="37" fontId="12" fillId="0" borderId="0" xfId="0" applyFont="1" applyBorder="1"/>
    <xf numFmtId="37" fontId="0" fillId="0" borderId="5" xfId="0" applyFont="1" applyBorder="1"/>
    <xf numFmtId="37" fontId="12" fillId="0" borderId="0" xfId="0" applyFont="1" applyFill="1"/>
    <xf numFmtId="37" fontId="0" fillId="0" borderId="2" xfId="0" applyFont="1" applyBorder="1"/>
    <xf numFmtId="37" fontId="0" fillId="0" borderId="0" xfId="0" applyFont="1" applyAlignment="1">
      <alignment horizontal="centerContinuous"/>
    </xf>
    <xf numFmtId="37" fontId="0" fillId="0" borderId="0" xfId="0" applyFont="1" applyAlignment="1">
      <alignment horizontal="center"/>
    </xf>
    <xf numFmtId="37" fontId="0" fillId="0" borderId="0" xfId="0" applyFont="1" applyAlignment="1" applyProtection="1">
      <alignment horizontal="center"/>
    </xf>
    <xf numFmtId="37" fontId="0" fillId="0" borderId="2" xfId="0" applyFont="1" applyBorder="1" applyAlignment="1" applyProtection="1">
      <alignment horizontal="center"/>
    </xf>
    <xf numFmtId="37" fontId="14" fillId="0" borderId="0" xfId="0" applyFont="1"/>
    <xf numFmtId="37" fontId="0" fillId="0" borderId="0" xfId="0" applyFont="1" applyFill="1"/>
    <xf numFmtId="37" fontId="0" fillId="0" borderId="0" xfId="0" applyFont="1" applyProtection="1"/>
    <xf numFmtId="10" fontId="0" fillId="0" borderId="0" xfId="0" applyNumberFormat="1" applyFont="1" applyProtection="1"/>
    <xf numFmtId="37" fontId="0" fillId="0" borderId="0" xfId="0" applyNumberFormat="1" applyFont="1" applyProtection="1"/>
    <xf numFmtId="37" fontId="12" fillId="0" borderId="0" xfId="0" applyFont="1" applyFill="1" applyBorder="1"/>
    <xf numFmtId="37" fontId="0" fillId="0" borderId="0" xfId="0" applyNumberFormat="1" applyFont="1" applyFill="1" applyProtection="1"/>
    <xf numFmtId="37" fontId="0" fillId="0" borderId="2" xfId="0" applyNumberFormat="1" applyFont="1" applyFill="1" applyBorder="1" applyProtection="1"/>
    <xf numFmtId="164" fontId="3" fillId="0" borderId="0" xfId="0" applyNumberFormat="1" applyFont="1" applyFill="1" applyProtection="1"/>
    <xf numFmtId="10" fontId="12" fillId="0" borderId="0" xfId="13" applyNumberFormat="1" applyFont="1" applyProtection="1"/>
    <xf numFmtId="10" fontId="3" fillId="0" borderId="0" xfId="0" applyNumberFormat="1" applyFont="1" applyFill="1" applyProtection="1"/>
    <xf numFmtId="37" fontId="6" fillId="0" borderId="0" xfId="0" applyNumberFormat="1" applyFont="1" applyFill="1" applyProtection="1"/>
    <xf numFmtId="10" fontId="6" fillId="0" borderId="0" xfId="0" applyNumberFormat="1" applyFont="1" applyFill="1" applyProtection="1"/>
    <xf numFmtId="37" fontId="16" fillId="0" borderId="0" xfId="0" applyFont="1"/>
    <xf numFmtId="37" fontId="11" fillId="0" borderId="0" xfId="0" applyFont="1" applyFill="1" applyAlignment="1" applyProtection="1">
      <alignment horizontal="left"/>
    </xf>
    <xf numFmtId="37" fontId="3" fillId="0" borderId="0" xfId="0" applyFont="1" applyFill="1" applyAlignment="1" applyProtection="1">
      <alignment horizontal="center"/>
    </xf>
    <xf numFmtId="37" fontId="0" fillId="0" borderId="0" xfId="0" applyNumberFormat="1"/>
    <xf numFmtId="37" fontId="0" fillId="0" borderId="3" xfId="0" applyFont="1" applyBorder="1"/>
    <xf numFmtId="37" fontId="0" fillId="0" borderId="3" xfId="0" applyFont="1" applyBorder="1" applyAlignment="1" applyProtection="1">
      <alignment horizontal="center"/>
    </xf>
    <xf numFmtId="37" fontId="0" fillId="0" borderId="0" xfId="0" applyFont="1" applyFill="1" applyAlignment="1" applyProtection="1">
      <alignment horizontal="center"/>
    </xf>
    <xf numFmtId="37" fontId="0" fillId="0" borderId="0" xfId="0" quotePrefix="1" applyFont="1" applyAlignment="1">
      <alignment horizontal="left"/>
    </xf>
    <xf numFmtId="37" fontId="0" fillId="0" borderId="0" xfId="0" quotePrefix="1" applyFont="1" applyAlignment="1" applyProtection="1">
      <alignment horizontal="left"/>
    </xf>
    <xf numFmtId="37" fontId="0" fillId="0" borderId="0" xfId="0" applyFont="1" applyFill="1" applyProtection="1">
      <protection locked="0"/>
    </xf>
    <xf numFmtId="37" fontId="12" fillId="0" borderId="2" xfId="0" applyNumberFormat="1" applyFont="1" applyFill="1" applyBorder="1" applyProtection="1"/>
    <xf numFmtId="37" fontId="0" fillId="0" borderId="0" xfId="0" applyAlignment="1" applyProtection="1">
      <alignment horizontal="left"/>
    </xf>
    <xf numFmtId="37" fontId="16" fillId="0" borderId="0" xfId="0" applyFont="1" applyFill="1"/>
    <xf numFmtId="10" fontId="0" fillId="0" borderId="0" xfId="0" applyNumberFormat="1" applyFont="1" applyAlignment="1" applyProtection="1">
      <alignment horizontal="center"/>
    </xf>
    <xf numFmtId="10" fontId="0" fillId="0" borderId="0" xfId="0" applyNumberFormat="1" applyFont="1" applyAlignment="1" applyProtection="1">
      <alignment horizontal="left"/>
    </xf>
    <xf numFmtId="37" fontId="0" fillId="0" borderId="2" xfId="0" applyFont="1" applyBorder="1" applyAlignment="1" applyProtection="1">
      <alignment horizontal="left"/>
      <protection locked="0"/>
    </xf>
    <xf numFmtId="37" fontId="0" fillId="0" borderId="0" xfId="0" applyNumberFormat="1" applyFont="1" applyFill="1" applyProtection="1">
      <protection locked="0"/>
    </xf>
    <xf numFmtId="169" fontId="6" fillId="0" borderId="0" xfId="0" applyNumberFormat="1" applyFont="1" applyFill="1" applyProtection="1"/>
    <xf numFmtId="37" fontId="6" fillId="0" borderId="0" xfId="0" applyFont="1" applyFill="1" applyProtection="1"/>
    <xf numFmtId="37" fontId="0" fillId="0" borderId="0" xfId="0" applyNumberFormat="1" applyFont="1" applyFill="1" applyAlignment="1" applyProtection="1">
      <alignment horizontal="left"/>
    </xf>
    <xf numFmtId="164" fontId="0" fillId="0" borderId="0" xfId="0" applyNumberFormat="1" applyFont="1" applyFill="1" applyProtection="1"/>
    <xf numFmtId="3" fontId="0" fillId="0" borderId="0" xfId="0" applyNumberFormat="1"/>
    <xf numFmtId="181" fontId="0" fillId="0" borderId="0" xfId="0" applyNumberFormat="1"/>
    <xf numFmtId="3" fontId="18" fillId="0" borderId="0" xfId="0" applyNumberFormat="1" applyFont="1"/>
    <xf numFmtId="3" fontId="0" fillId="0" borderId="0" xfId="1" applyNumberFormat="1" applyFont="1"/>
    <xf numFmtId="181" fontId="17" fillId="0" borderId="0" xfId="0" applyNumberFormat="1" applyFont="1"/>
    <xf numFmtId="37" fontId="19" fillId="0" borderId="0" xfId="0" applyNumberFormat="1" applyFont="1"/>
    <xf numFmtId="37" fontId="19" fillId="0" borderId="0" xfId="1" applyNumberFormat="1" applyFont="1"/>
    <xf numFmtId="37" fontId="19" fillId="0" borderId="0" xfId="0" applyFont="1"/>
    <xf numFmtId="182" fontId="19" fillId="0" borderId="0" xfId="2" applyNumberFormat="1" applyFont="1"/>
    <xf numFmtId="37" fontId="19" fillId="0" borderId="5" xfId="0" applyNumberFormat="1" applyFont="1" applyBorder="1"/>
    <xf numFmtId="182" fontId="19" fillId="0" borderId="6" xfId="2" applyNumberFormat="1" applyFont="1" applyBorder="1"/>
    <xf numFmtId="37" fontId="20" fillId="0" borderId="0" xfId="0" applyFont="1"/>
    <xf numFmtId="37" fontId="21" fillId="0" borderId="0" xfId="0" applyFont="1"/>
    <xf numFmtId="37" fontId="19" fillId="0" borderId="0" xfId="0" quotePrefix="1" applyFont="1" applyAlignment="1">
      <alignment horizontal="left" indent="3"/>
    </xf>
    <xf numFmtId="37" fontId="3" fillId="0" borderId="0" xfId="0" applyFont="1" applyFill="1" applyAlignment="1">
      <alignment horizontal="centerContinuous"/>
    </xf>
    <xf numFmtId="37" fontId="3" fillId="0" borderId="2" xfId="0" applyFont="1" applyFill="1" applyBorder="1"/>
    <xf numFmtId="10" fontId="3" fillId="0" borderId="0" xfId="0" applyNumberFormat="1" applyFont="1"/>
    <xf numFmtId="37" fontId="12" fillId="0" borderId="0" xfId="0" applyNumberFormat="1" applyFont="1" applyFill="1" applyBorder="1" applyProtection="1">
      <protection locked="0"/>
    </xf>
    <xf numFmtId="37" fontId="3" fillId="0" borderId="5" xfId="0" applyFont="1" applyBorder="1" applyAlignment="1"/>
    <xf numFmtId="37" fontId="3" fillId="0" borderId="0" xfId="0" applyNumberFormat="1" applyFont="1" applyAlignment="1">
      <alignment horizontal="right"/>
    </xf>
    <xf numFmtId="37" fontId="3" fillId="0" borderId="0" xfId="0" applyFont="1" applyAlignment="1">
      <alignment horizontal="left" indent="2"/>
    </xf>
    <xf numFmtId="37" fontId="3" fillId="0" borderId="0" xfId="0" applyFont="1" applyAlignment="1">
      <alignment horizontal="left" indent="3"/>
    </xf>
    <xf numFmtId="10" fontId="3" fillId="0" borderId="5" xfId="13" applyNumberFormat="1" applyFont="1" applyBorder="1"/>
    <xf numFmtId="37" fontId="3" fillId="0" borderId="5" xfId="0" applyNumberFormat="1" applyFont="1" applyBorder="1" applyAlignment="1" applyProtection="1">
      <alignment horizontal="right"/>
    </xf>
    <xf numFmtId="169" fontId="3" fillId="0" borderId="5" xfId="13" applyNumberFormat="1" applyFont="1" applyBorder="1" applyAlignment="1" applyProtection="1">
      <alignment horizontal="right"/>
    </xf>
    <xf numFmtId="37" fontId="14" fillId="0" borderId="0" xfId="0" applyFont="1" applyAlignment="1">
      <alignment horizontal="left" indent="1"/>
    </xf>
    <xf numFmtId="37" fontId="14" fillId="0" borderId="0" xfId="0" applyNumberFormat="1" applyFont="1" applyBorder="1" applyAlignment="1" applyProtection="1">
      <alignment horizontal="right"/>
    </xf>
    <xf numFmtId="37" fontId="13" fillId="0" borderId="0" xfId="0" applyFont="1" applyAlignment="1"/>
    <xf numFmtId="10" fontId="3" fillId="0" borderId="0" xfId="13" applyNumberFormat="1" applyFont="1" applyAlignment="1"/>
    <xf numFmtId="37" fontId="3" fillId="0" borderId="0" xfId="0" applyFont="1" applyAlignment="1" applyProtection="1">
      <alignment horizontal="left" indent="2"/>
    </xf>
    <xf numFmtId="173" fontId="3" fillId="0" borderId="0" xfId="0" applyNumberFormat="1" applyFont="1" applyFill="1" applyProtection="1"/>
    <xf numFmtId="37" fontId="3" fillId="0" borderId="0" xfId="0" applyFont="1" applyFill="1" applyAlignment="1" applyProtection="1">
      <alignment horizontal="centerContinuous"/>
    </xf>
    <xf numFmtId="37" fontId="3" fillId="0" borderId="0" xfId="0" applyNumberFormat="1" applyFont="1" applyBorder="1" applyAlignment="1" applyProtection="1">
      <alignment horizontal="center"/>
    </xf>
    <xf numFmtId="37" fontId="3" fillId="0" borderId="0" xfId="0" applyFont="1" applyFill="1" applyAlignment="1">
      <alignment horizontal="center"/>
    </xf>
    <xf numFmtId="37" fontId="3" fillId="0" borderId="0" xfId="0" applyFont="1" applyFill="1" applyAlignment="1">
      <alignment horizontal="right"/>
    </xf>
    <xf numFmtId="37" fontId="0" fillId="0" borderId="0" xfId="0" applyAlignment="1">
      <alignment horizontal="left"/>
    </xf>
    <xf numFmtId="37" fontId="0" fillId="0" borderId="0" xfId="0" applyFont="1" applyFill="1" applyAlignment="1" applyProtection="1">
      <alignment horizontal="centerContinuous"/>
    </xf>
    <xf numFmtId="37" fontId="12" fillId="0" borderId="0" xfId="0" applyFont="1" applyFill="1" applyAlignment="1" applyProtection="1">
      <alignment horizontal="centerContinuous"/>
      <protection locked="0"/>
    </xf>
    <xf numFmtId="37" fontId="24" fillId="0" borderId="0" xfId="0" applyFont="1" applyAlignment="1" applyProtection="1">
      <alignment horizontal="centerContinuous"/>
    </xf>
    <xf numFmtId="37" fontId="24" fillId="0" borderId="0" xfId="0" applyNumberFormat="1" applyFont="1" applyFill="1" applyProtection="1"/>
    <xf numFmtId="37" fontId="10" fillId="0" borderId="0" xfId="0" applyFont="1" applyFill="1" applyAlignment="1" applyProtection="1">
      <alignment horizontal="left"/>
    </xf>
    <xf numFmtId="37" fontId="0" fillId="0" borderId="0" xfId="0" applyFill="1" applyAlignment="1">
      <alignment horizontal="center"/>
    </xf>
    <xf numFmtId="43" fontId="27" fillId="0" borderId="0" xfId="1" applyFont="1"/>
    <xf numFmtId="43" fontId="27" fillId="0" borderId="0" xfId="1" applyFont="1" applyFill="1"/>
    <xf numFmtId="9" fontId="0" fillId="0" borderId="0" xfId="13" applyFont="1"/>
    <xf numFmtId="37" fontId="8" fillId="0" borderId="0" xfId="0" applyFont="1" applyAlignment="1" applyProtection="1">
      <alignment horizontal="left"/>
    </xf>
    <xf numFmtId="10" fontId="12" fillId="0" borderId="0" xfId="0" applyNumberFormat="1" applyFont="1" applyAlignment="1" applyProtection="1">
      <alignment horizontal="center"/>
    </xf>
    <xf numFmtId="185" fontId="3" fillId="0" borderId="0" xfId="1" applyNumberFormat="1" applyFont="1" applyProtection="1"/>
    <xf numFmtId="0" fontId="25" fillId="0" borderId="0" xfId="7"/>
    <xf numFmtId="9" fontId="3" fillId="0" borderId="0" xfId="13" applyFont="1" applyProtection="1"/>
    <xf numFmtId="37" fontId="3" fillId="0" borderId="5" xfId="0" applyFont="1" applyFill="1" applyBorder="1" applyAlignment="1" applyProtection="1">
      <alignment horizontal="center"/>
    </xf>
    <xf numFmtId="37" fontId="3" fillId="0" borderId="0" xfId="0" applyFont="1" applyAlignment="1" applyProtection="1">
      <alignment horizontal="centerContinuous"/>
      <protection locked="0"/>
    </xf>
    <xf numFmtId="37" fontId="8" fillId="0" borderId="0" xfId="0" applyNumberFormat="1" applyFont="1" applyProtection="1"/>
    <xf numFmtId="37" fontId="8" fillId="0" borderId="0" xfId="0" applyFont="1" applyAlignment="1" applyProtection="1">
      <alignment horizontal="center"/>
    </xf>
    <xf numFmtId="37" fontId="8" fillId="0" borderId="5" xfId="0" applyNumberFormat="1" applyFont="1" applyBorder="1" applyProtection="1"/>
    <xf numFmtId="37" fontId="8" fillId="0" borderId="2" xfId="0" applyFont="1" applyBorder="1"/>
    <xf numFmtId="37" fontId="8" fillId="0" borderId="0" xfId="0" applyFont="1" applyBorder="1"/>
    <xf numFmtId="37" fontId="8" fillId="0" borderId="2" xfId="0" applyNumberFormat="1" applyFont="1" applyBorder="1" applyProtection="1"/>
    <xf numFmtId="37" fontId="8" fillId="0" borderId="5" xfId="0" applyFont="1" applyBorder="1" applyAlignment="1" applyProtection="1">
      <alignment horizontal="left"/>
    </xf>
    <xf numFmtId="37" fontId="8" fillId="0" borderId="0" xfId="0" applyNumberFormat="1" applyFont="1" applyFill="1" applyBorder="1" applyProtection="1"/>
    <xf numFmtId="37" fontId="8" fillId="0" borderId="0" xfId="0" applyFont="1" applyFill="1"/>
    <xf numFmtId="37" fontId="36" fillId="0" borderId="0" xfId="0" applyFont="1" applyAlignment="1" applyProtection="1">
      <alignment horizontal="left"/>
    </xf>
    <xf numFmtId="173" fontId="3" fillId="0" borderId="5" xfId="0" applyNumberFormat="1" applyFont="1" applyFill="1" applyBorder="1" applyProtection="1"/>
    <xf numFmtId="173" fontId="3" fillId="0" borderId="0" xfId="0" applyNumberFormat="1" applyFont="1" applyFill="1"/>
    <xf numFmtId="173" fontId="6" fillId="0" borderId="0" xfId="0" applyNumberFormat="1" applyFont="1" applyProtection="1"/>
    <xf numFmtId="37" fontId="12" fillId="0" borderId="0" xfId="0" applyFont="1" applyAlignment="1">
      <alignment horizontal="centerContinuous"/>
    </xf>
    <xf numFmtId="37" fontId="8" fillId="0" borderId="0" xfId="0" applyFont="1" applyFill="1" applyAlignment="1">
      <alignment horizontal="centerContinuous"/>
    </xf>
    <xf numFmtId="37" fontId="8" fillId="0" borderId="2" xfId="0" applyFont="1" applyBorder="1" applyAlignment="1" applyProtection="1">
      <alignment horizontal="left"/>
    </xf>
    <xf numFmtId="37" fontId="8" fillId="0" borderId="2" xfId="0" applyFont="1" applyFill="1" applyBorder="1" applyAlignment="1" applyProtection="1">
      <alignment horizontal="left"/>
      <protection locked="0"/>
    </xf>
    <xf numFmtId="37" fontId="8" fillId="0" borderId="0" xfId="0" applyFont="1" applyAlignment="1" applyProtection="1">
      <alignment horizontal="left"/>
      <protection locked="0"/>
    </xf>
    <xf numFmtId="37" fontId="8" fillId="0" borderId="0" xfId="0" applyFont="1" applyAlignment="1" applyProtection="1">
      <alignment horizontal="center"/>
      <protection locked="0"/>
    </xf>
    <xf numFmtId="37" fontId="8" fillId="0" borderId="2" xfId="0" applyFont="1" applyBorder="1" applyAlignment="1" applyProtection="1">
      <alignment horizontal="left"/>
      <protection locked="0"/>
    </xf>
    <xf numFmtId="17" fontId="8" fillId="0" borderId="22" xfId="0" applyNumberFormat="1" applyFont="1" applyFill="1" applyBorder="1" applyAlignment="1">
      <alignment horizontal="center"/>
    </xf>
    <xf numFmtId="37" fontId="8" fillId="0" borderId="0" xfId="0" applyFont="1" applyBorder="1" applyAlignment="1">
      <alignment horizontal="center"/>
    </xf>
    <xf numFmtId="37" fontId="8" fillId="0" borderId="0" xfId="0" applyFont="1" applyFill="1" applyAlignment="1" applyProtection="1">
      <alignment horizontal="center"/>
    </xf>
    <xf numFmtId="37" fontId="21" fillId="0" borderId="0" xfId="0" applyFont="1" applyFill="1"/>
    <xf numFmtId="183" fontId="21" fillId="0" borderId="0" xfId="0" applyNumberFormat="1" applyFont="1" applyAlignment="1" applyProtection="1">
      <alignment horizontal="left"/>
      <protection locked="0"/>
    </xf>
    <xf numFmtId="37" fontId="37" fillId="0" borderId="0" xfId="0" applyFont="1"/>
    <xf numFmtId="37" fontId="37" fillId="2" borderId="0" xfId="0" applyFont="1" applyFill="1"/>
    <xf numFmtId="5" fontId="37" fillId="0" borderId="10" xfId="0" applyNumberFormat="1" applyFont="1" applyBorder="1"/>
    <xf numFmtId="5" fontId="37" fillId="0" borderId="0" xfId="0" applyNumberFormat="1" applyFont="1" applyBorder="1"/>
    <xf numFmtId="37" fontId="37" fillId="0" borderId="0" xfId="0" applyFont="1" applyFill="1"/>
    <xf numFmtId="10" fontId="37" fillId="0" borderId="0" xfId="13" applyNumberFormat="1" applyFont="1"/>
    <xf numFmtId="37" fontId="37" fillId="0" borderId="0" xfId="0" applyFont="1" applyBorder="1"/>
    <xf numFmtId="37" fontId="37" fillId="0" borderId="0" xfId="0" applyFont="1" applyFill="1" applyBorder="1"/>
    <xf numFmtId="37" fontId="8" fillId="0" borderId="0" xfId="0" applyFont="1" applyProtection="1">
      <protection locked="0"/>
    </xf>
    <xf numFmtId="37" fontId="3" fillId="0" borderId="0" xfId="0" applyFont="1" applyBorder="1" applyAlignment="1">
      <alignment horizontal="center"/>
    </xf>
    <xf numFmtId="37" fontId="8" fillId="0" borderId="5" xfId="0" applyFont="1" applyBorder="1" applyAlignment="1">
      <alignment horizontal="center"/>
    </xf>
    <xf numFmtId="37" fontId="8" fillId="0" borderId="0" xfId="0" applyNumberFormat="1" applyFont="1" applyFill="1" applyProtection="1"/>
    <xf numFmtId="37" fontId="8" fillId="0" borderId="0" xfId="0" applyFont="1" applyAlignment="1">
      <alignment horizontal="left" indent="1"/>
    </xf>
    <xf numFmtId="10" fontId="8" fillId="0" borderId="0" xfId="0" applyNumberFormat="1" applyFont="1" applyProtection="1"/>
    <xf numFmtId="37" fontId="8" fillId="0" borderId="2" xfId="0" applyFont="1" applyBorder="1" applyAlignment="1" applyProtection="1">
      <alignment horizontal="center"/>
    </xf>
    <xf numFmtId="37" fontId="8" fillId="0" borderId="0" xfId="0" applyNumberFormat="1" applyFont="1" applyAlignment="1" applyProtection="1">
      <alignment horizontal="center"/>
    </xf>
    <xf numFmtId="37" fontId="8" fillId="0" borderId="0" xfId="0" applyFont="1" applyFill="1" applyBorder="1"/>
    <xf numFmtId="37" fontId="8" fillId="0" borderId="5" xfId="0" applyNumberFormat="1" applyFont="1" applyFill="1" applyBorder="1" applyProtection="1"/>
    <xf numFmtId="37" fontId="8" fillId="0" borderId="0" xfId="0" applyFont="1" applyAlignment="1"/>
    <xf numFmtId="37" fontId="8" fillId="0" borderId="0" xfId="0" applyFont="1" applyFill="1" applyAlignment="1" applyProtection="1">
      <alignment horizontal="left"/>
    </xf>
    <xf numFmtId="180" fontId="8" fillId="0" borderId="0" xfId="0" applyNumberFormat="1" applyFont="1" applyAlignment="1">
      <alignment horizontal="center"/>
    </xf>
    <xf numFmtId="37" fontId="39" fillId="0" borderId="0" xfId="0" applyFont="1"/>
    <xf numFmtId="37" fontId="8" fillId="0" borderId="2" xfId="0" applyFont="1" applyFill="1" applyBorder="1"/>
    <xf numFmtId="37" fontId="8" fillId="0" borderId="5" xfId="0" applyFont="1" applyFill="1" applyBorder="1"/>
    <xf numFmtId="37" fontId="8" fillId="0" borderId="0" xfId="0" applyNumberFormat="1" applyFont="1" applyFill="1" applyAlignment="1" applyProtection="1">
      <alignment horizontal="center"/>
    </xf>
    <xf numFmtId="37" fontId="12" fillId="0" borderId="2" xfId="0" applyFont="1" applyBorder="1" applyAlignment="1" applyProtection="1">
      <alignment horizontal="left"/>
    </xf>
    <xf numFmtId="37" fontId="12" fillId="0" borderId="2" xfId="0" applyFont="1" applyBorder="1"/>
    <xf numFmtId="37" fontId="12" fillId="0" borderId="0" xfId="0" applyFont="1" applyAlignment="1" applyProtection="1">
      <alignment horizontal="center"/>
    </xf>
    <xf numFmtId="37" fontId="12" fillId="0" borderId="0" xfId="0" applyFont="1" applyBorder="1" applyAlignment="1" applyProtection="1">
      <alignment horizontal="center"/>
    </xf>
    <xf numFmtId="10" fontId="12" fillId="0" borderId="0" xfId="0" applyNumberFormat="1" applyFont="1" applyBorder="1" applyProtection="1"/>
    <xf numFmtId="10" fontId="12" fillId="0" borderId="0" xfId="0" applyNumberFormat="1" applyFont="1" applyProtection="1"/>
    <xf numFmtId="37" fontId="8" fillId="0" borderId="0" xfId="0" applyFont="1" applyAlignment="1" applyProtection="1">
      <alignment horizontal="left" indent="2"/>
    </xf>
    <xf numFmtId="37" fontId="8" fillId="0" borderId="0" xfId="0" applyFont="1" applyAlignment="1">
      <alignment horizontal="left" indent="2"/>
    </xf>
    <xf numFmtId="37" fontId="21" fillId="0" borderId="0" xfId="0" applyFont="1" applyAlignment="1">
      <alignment horizontal="center"/>
    </xf>
    <xf numFmtId="37" fontId="3" fillId="0" borderId="23" xfId="0" applyFont="1" applyBorder="1"/>
    <xf numFmtId="37" fontId="8" fillId="0" borderId="0" xfId="0" applyFont="1" applyAlignment="1" applyProtection="1">
      <alignment horizontal="left" indent="1"/>
    </xf>
    <xf numFmtId="37" fontId="3" fillId="0" borderId="0" xfId="0" applyFont="1" applyProtection="1">
      <protection locked="0"/>
    </xf>
    <xf numFmtId="37" fontId="3" fillId="0" borderId="0" xfId="0" applyFont="1" applyAlignment="1" applyProtection="1">
      <alignment horizontal="left"/>
      <protection locked="0"/>
    </xf>
    <xf numFmtId="37" fontId="3" fillId="0" borderId="2" xfId="0" applyFont="1" applyBorder="1" applyAlignment="1" applyProtection="1">
      <alignment horizontal="left"/>
      <protection locked="0"/>
    </xf>
    <xf numFmtId="37" fontId="5" fillId="0" borderId="0" xfId="0" applyFont="1" applyProtection="1">
      <protection locked="0"/>
    </xf>
    <xf numFmtId="37" fontId="8" fillId="0" borderId="2" xfId="0" applyFont="1" applyBorder="1" applyAlignment="1" applyProtection="1">
      <alignment horizontal="center"/>
      <protection locked="0"/>
    </xf>
    <xf numFmtId="37" fontId="8" fillId="0" borderId="2" xfId="0" applyFont="1" applyBorder="1" applyAlignment="1">
      <alignment horizontal="center"/>
    </xf>
    <xf numFmtId="180" fontId="8" fillId="0" borderId="0" xfId="0" applyNumberFormat="1" applyFont="1" applyAlignment="1" applyProtection="1">
      <alignment horizontal="center"/>
      <protection locked="0"/>
    </xf>
    <xf numFmtId="37" fontId="8" fillId="0" borderId="0" xfId="0" applyNumberFormat="1" applyFont="1" applyProtection="1">
      <protection locked="0"/>
    </xf>
    <xf numFmtId="37" fontId="8" fillId="0" borderId="0" xfId="0" applyNumberFormat="1" applyFont="1" applyAlignment="1" applyProtection="1">
      <alignment horizontal="center"/>
      <protection locked="0"/>
    </xf>
    <xf numFmtId="37" fontId="8" fillId="0" borderId="0" xfId="0" applyNumberFormat="1" applyFont="1" applyFill="1" applyProtection="1">
      <protection locked="0"/>
    </xf>
    <xf numFmtId="37" fontId="8" fillId="0" borderId="0" xfId="0" applyNumberFormat="1" applyFont="1"/>
    <xf numFmtId="37" fontId="8" fillId="0" borderId="0" xfId="0" applyFont="1" applyAlignment="1" applyProtection="1">
      <alignment horizontal="left" indent="1"/>
      <protection locked="0"/>
    </xf>
    <xf numFmtId="169" fontId="8" fillId="0" borderId="0" xfId="0" applyNumberFormat="1" applyFont="1" applyProtection="1"/>
    <xf numFmtId="37" fontId="8" fillId="0" borderId="0" xfId="0" applyFont="1" applyFill="1" applyAlignment="1" applyProtection="1">
      <alignment horizontal="left" indent="1"/>
      <protection locked="0"/>
    </xf>
    <xf numFmtId="37" fontId="8" fillId="0" borderId="0" xfId="0" applyNumberFormat="1" applyFont="1" applyFill="1" applyAlignment="1" applyProtection="1">
      <alignment horizontal="center"/>
      <protection locked="0"/>
    </xf>
    <xf numFmtId="37" fontId="8" fillId="0" borderId="2" xfId="0" applyNumberFormat="1" applyFont="1" applyBorder="1" applyProtection="1">
      <protection locked="0"/>
    </xf>
    <xf numFmtId="37" fontId="8" fillId="0" borderId="5" xfId="0" applyNumberFormat="1" applyFont="1" applyBorder="1" applyProtection="1">
      <protection locked="0"/>
    </xf>
    <xf numFmtId="37" fontId="8" fillId="0" borderId="0" xfId="0" quotePrefix="1" applyNumberFormat="1" applyFont="1" applyProtection="1"/>
    <xf numFmtId="37" fontId="40" fillId="0" borderId="0" xfId="0" quotePrefix="1" applyFont="1"/>
    <xf numFmtId="37" fontId="41" fillId="0" borderId="0" xfId="0" applyFont="1"/>
    <xf numFmtId="37" fontId="41" fillId="0" borderId="0" xfId="0" applyNumberFormat="1" applyFont="1" applyProtection="1"/>
    <xf numFmtId="180" fontId="41" fillId="0" borderId="0" xfId="0" applyNumberFormat="1" applyFont="1" applyAlignment="1" applyProtection="1">
      <alignment horizontal="center"/>
      <protection locked="0"/>
    </xf>
    <xf numFmtId="37" fontId="38" fillId="0" borderId="0" xfId="0" quotePrefix="1" applyFont="1"/>
    <xf numFmtId="10" fontId="41" fillId="0" borderId="0" xfId="0" applyNumberFormat="1" applyFont="1" applyProtection="1"/>
    <xf numFmtId="169" fontId="41" fillId="0" borderId="0" xfId="0" applyNumberFormat="1" applyFont="1" applyProtection="1"/>
    <xf numFmtId="37" fontId="12" fillId="0" borderId="0" xfId="0" applyFont="1" applyAlignment="1" applyProtection="1">
      <alignment horizontal="center"/>
      <protection locked="0"/>
    </xf>
    <xf numFmtId="37" fontId="12" fillId="0" borderId="0" xfId="0" applyFont="1" applyAlignment="1" applyProtection="1">
      <alignment horizontal="left"/>
      <protection locked="0"/>
    </xf>
    <xf numFmtId="37" fontId="12" fillId="0" borderId="2" xfId="0" applyFont="1" applyBorder="1" applyAlignment="1" applyProtection="1">
      <alignment horizontal="left"/>
      <protection locked="0"/>
    </xf>
    <xf numFmtId="37" fontId="12" fillId="0" borderId="2" xfId="0" applyFont="1" applyBorder="1" applyAlignment="1" applyProtection="1">
      <alignment horizontal="center"/>
      <protection locked="0"/>
    </xf>
    <xf numFmtId="37" fontId="12" fillId="0" borderId="0" xfId="0" applyFont="1" applyProtection="1">
      <protection locked="0"/>
    </xf>
    <xf numFmtId="37" fontId="13" fillId="0" borderId="0" xfId="0" applyFont="1" applyAlignment="1" applyProtection="1">
      <alignment horizontal="left"/>
      <protection locked="0"/>
    </xf>
    <xf numFmtId="37" fontId="12" fillId="0" borderId="0" xfId="0" applyFont="1" applyAlignment="1" applyProtection="1">
      <alignment horizontal="left" indent="2"/>
      <protection locked="0"/>
    </xf>
    <xf numFmtId="37" fontId="12" fillId="0" borderId="0" xfId="0" applyFont="1" applyAlignment="1" applyProtection="1">
      <protection locked="0"/>
    </xf>
    <xf numFmtId="37" fontId="12" fillId="0" borderId="0" xfId="0" applyFont="1" applyAlignment="1"/>
    <xf numFmtId="37" fontId="12" fillId="0" borderId="0" xfId="0" applyFont="1" applyBorder="1" applyAlignment="1" applyProtection="1">
      <alignment horizontal="left" indent="2"/>
      <protection locked="0"/>
    </xf>
    <xf numFmtId="37" fontId="15" fillId="0" borderId="0" xfId="0" applyNumberFormat="1" applyFont="1" applyFill="1" applyProtection="1"/>
    <xf numFmtId="37" fontId="13" fillId="0" borderId="0" xfId="0" applyFont="1" applyAlignment="1" applyProtection="1">
      <alignment horizontal="left" indent="1"/>
      <protection locked="0"/>
    </xf>
    <xf numFmtId="37" fontId="12" fillId="0" borderId="0" xfId="0" applyFont="1" applyAlignment="1" applyProtection="1">
      <alignment horizontal="left" indent="1"/>
      <protection locked="0"/>
    </xf>
    <xf numFmtId="37" fontId="12" fillId="0" borderId="0" xfId="0" applyFont="1" applyAlignment="1" applyProtection="1">
      <alignment horizontal="left" indent="2"/>
    </xf>
    <xf numFmtId="37" fontId="13" fillId="0" borderId="0" xfId="0" applyFont="1" applyBorder="1" applyAlignment="1" applyProtection="1">
      <alignment horizontal="left" indent="1"/>
      <protection locked="0"/>
    </xf>
    <xf numFmtId="37" fontId="12" fillId="0" borderId="0" xfId="0" applyFont="1" applyAlignment="1" applyProtection="1"/>
    <xf numFmtId="37" fontId="8" fillId="0" borderId="0" xfId="0" applyFont="1" applyAlignment="1" applyProtection="1">
      <alignment horizontal="left" indent="2"/>
      <protection locked="0"/>
    </xf>
    <xf numFmtId="37" fontId="8" fillId="0" borderId="0" xfId="0" applyFont="1" applyAlignment="1" applyProtection="1">
      <protection locked="0"/>
    </xf>
    <xf numFmtId="37" fontId="8" fillId="0" borderId="0" xfId="0" applyFont="1" applyBorder="1" applyAlignment="1" applyProtection="1">
      <alignment horizontal="left" indent="2"/>
      <protection locked="0"/>
    </xf>
    <xf numFmtId="37" fontId="5" fillId="0" borderId="0" xfId="0" applyFont="1" applyAlignment="1" applyProtection="1">
      <alignment horizontal="left" indent="1"/>
      <protection locked="0"/>
    </xf>
    <xf numFmtId="37" fontId="8" fillId="0" borderId="0" xfId="0" applyFont="1" applyFill="1" applyAlignment="1" applyProtection="1">
      <alignment horizontal="center"/>
      <protection locked="0"/>
    </xf>
    <xf numFmtId="37" fontId="8" fillId="0" borderId="0" xfId="0" applyFont="1" applyAlignment="1" applyProtection="1"/>
    <xf numFmtId="37" fontId="4" fillId="0" borderId="0" xfId="0" applyFont="1" applyFill="1" applyBorder="1" applyAlignment="1" applyProtection="1">
      <alignment horizontal="left"/>
    </xf>
    <xf numFmtId="37" fontId="0" fillId="0" borderId="0" xfId="0" applyFont="1" applyFill="1" applyAlignment="1" applyProtection="1">
      <alignment horizontal="centerContinuous"/>
      <protection locked="0"/>
    </xf>
    <xf numFmtId="37" fontId="14" fillId="0" borderId="0" xfId="0" applyFont="1" applyAlignment="1">
      <alignment horizontal="center"/>
    </xf>
    <xf numFmtId="177" fontId="8" fillId="0" borderId="0" xfId="1" applyNumberFormat="1" applyFont="1"/>
    <xf numFmtId="49" fontId="3" fillId="0" borderId="0" xfId="0" applyNumberFormat="1" applyFont="1" applyAlignment="1">
      <alignment horizontal="center"/>
    </xf>
    <xf numFmtId="37" fontId="14" fillId="0" borderId="5" xfId="0" applyFont="1" applyBorder="1" applyAlignment="1">
      <alignment horizontal="center"/>
    </xf>
    <xf numFmtId="10" fontId="3" fillId="0" borderId="0" xfId="0" applyNumberFormat="1" applyFont="1" applyBorder="1" applyProtection="1"/>
    <xf numFmtId="37" fontId="42" fillId="0" borderId="0" xfId="3" applyNumberFormat="1" applyFont="1" applyAlignment="1" applyProtection="1"/>
    <xf numFmtId="182" fontId="3" fillId="0" borderId="0" xfId="2" applyNumberFormat="1" applyFont="1"/>
    <xf numFmtId="182" fontId="3" fillId="0" borderId="0" xfId="2" applyNumberFormat="1" applyFont="1" applyFill="1" applyProtection="1"/>
    <xf numFmtId="182" fontId="8" fillId="0" borderId="0" xfId="2" applyNumberFormat="1" applyFont="1" applyFill="1" applyProtection="1"/>
    <xf numFmtId="182" fontId="3" fillId="0" borderId="6" xfId="2" applyNumberFormat="1" applyFont="1" applyBorder="1" applyProtection="1"/>
    <xf numFmtId="185" fontId="8" fillId="0" borderId="0" xfId="1" applyNumberFormat="1" applyFont="1" applyFill="1" applyProtection="1"/>
    <xf numFmtId="185" fontId="8" fillId="0" borderId="5" xfId="1" applyNumberFormat="1" applyFont="1" applyFill="1" applyBorder="1" applyProtection="1"/>
    <xf numFmtId="185" fontId="3" fillId="0" borderId="0" xfId="1" applyNumberFormat="1" applyFont="1"/>
    <xf numFmtId="0" fontId="8" fillId="0" borderId="0" xfId="0" applyNumberFormat="1" applyFont="1" applyAlignment="1">
      <alignment horizontal="center"/>
    </xf>
    <xf numFmtId="37" fontId="8" fillId="0" borderId="5" xfId="0" applyFont="1" applyFill="1" applyBorder="1" applyAlignment="1" applyProtection="1">
      <alignment horizontal="left"/>
    </xf>
    <xf numFmtId="37" fontId="8" fillId="0" borderId="23" xfId="0" applyFont="1" applyFill="1" applyBorder="1"/>
    <xf numFmtId="37" fontId="8" fillId="0" borderId="21" xfId="0" applyFont="1" applyFill="1" applyBorder="1"/>
    <xf numFmtId="37" fontId="0" fillId="0" borderId="0" xfId="0" applyAlignment="1">
      <alignment horizontal="left" indent="1"/>
    </xf>
    <xf numFmtId="37" fontId="0" fillId="0" borderId="5" xfId="0" applyBorder="1" applyAlignment="1">
      <alignment horizontal="center" wrapText="1"/>
    </xf>
    <xf numFmtId="37" fontId="0" fillId="0" borderId="0" xfId="0" applyBorder="1" applyAlignment="1">
      <alignment horizontal="center" wrapText="1"/>
    </xf>
    <xf numFmtId="10" fontId="8" fillId="0" borderId="0" xfId="13" applyNumberFormat="1" applyFont="1" applyFill="1" applyBorder="1"/>
    <xf numFmtId="37" fontId="12" fillId="0" borderId="0" xfId="0" applyFont="1" applyAlignment="1" applyProtection="1">
      <alignment horizontal="left" indent="1"/>
    </xf>
    <xf numFmtId="182" fontId="0" fillId="0" borderId="0" xfId="2" applyNumberFormat="1" applyFont="1" applyBorder="1"/>
    <xf numFmtId="182" fontId="0" fillId="0" borderId="0" xfId="2" applyNumberFormat="1" applyFont="1" applyFill="1" applyBorder="1"/>
    <xf numFmtId="182" fontId="0" fillId="0" borderId="6" xfId="2" applyNumberFormat="1" applyFont="1" applyBorder="1"/>
    <xf numFmtId="10" fontId="0" fillId="0" borderId="0" xfId="13" applyNumberFormat="1" applyFont="1" applyFill="1" applyAlignment="1">
      <alignment horizontal="center"/>
    </xf>
    <xf numFmtId="10" fontId="0" fillId="0" borderId="0" xfId="13" applyNumberFormat="1" applyFont="1" applyAlignment="1">
      <alignment horizontal="center"/>
    </xf>
    <xf numFmtId="182" fontId="3" fillId="0" borderId="0" xfId="2" applyNumberFormat="1" applyFont="1" applyBorder="1"/>
    <xf numFmtId="182" fontId="3" fillId="0" borderId="10" xfId="2" applyNumberFormat="1" applyFont="1" applyBorder="1"/>
    <xf numFmtId="182" fontId="3" fillId="0" borderId="0" xfId="2" applyNumberFormat="1" applyFont="1" applyFill="1" applyBorder="1"/>
    <xf numFmtId="182" fontId="3" fillId="0" borderId="10" xfId="2" applyNumberFormat="1" applyFont="1" applyFill="1" applyBorder="1"/>
    <xf numFmtId="182" fontId="3" fillId="0" borderId="6" xfId="2" applyNumberFormat="1" applyFont="1" applyBorder="1"/>
    <xf numFmtId="37" fontId="3" fillId="0" borderId="1" xfId="0" applyFont="1" applyBorder="1" applyAlignment="1" applyProtection="1">
      <alignment horizontal="center"/>
    </xf>
    <xf numFmtId="37" fontId="3" fillId="0" borderId="21" xfId="0" applyFont="1" applyBorder="1" applyAlignment="1" applyProtection="1">
      <alignment horizontal="center"/>
    </xf>
    <xf numFmtId="37" fontId="3" fillId="0" borderId="25" xfId="0" applyFont="1" applyBorder="1" applyAlignment="1" applyProtection="1">
      <alignment horizontal="center"/>
    </xf>
    <xf numFmtId="37" fontId="3" fillId="0" borderId="8" xfId="0" applyFont="1" applyBorder="1" applyAlignment="1" applyProtection="1">
      <alignment horizontal="center"/>
    </xf>
    <xf numFmtId="37" fontId="3" fillId="0" borderId="8" xfId="0" applyFont="1" applyBorder="1" applyAlignment="1">
      <alignment horizontal="center"/>
    </xf>
    <xf numFmtId="9" fontId="0" fillId="0" borderId="0" xfId="13" applyFont="1" applyFill="1" applyAlignment="1">
      <alignment horizontal="center"/>
    </xf>
    <xf numFmtId="9" fontId="0" fillId="0" borderId="0" xfId="13" applyFont="1" applyAlignment="1">
      <alignment horizontal="center"/>
    </xf>
    <xf numFmtId="37" fontId="3" fillId="0" borderId="7" xfId="0" applyFont="1" applyBorder="1" applyAlignment="1">
      <alignment horizontal="center"/>
    </xf>
    <xf numFmtId="37" fontId="3" fillId="0" borderId="7" xfId="0" applyFont="1" applyBorder="1" applyAlignment="1" applyProtection="1">
      <alignment horizontal="center"/>
    </xf>
    <xf numFmtId="182" fontId="12" fillId="0" borderId="0" xfId="2" applyNumberFormat="1" applyFont="1" applyFill="1" applyProtection="1"/>
    <xf numFmtId="37" fontId="12" fillId="0" borderId="23" xfId="0" applyFont="1" applyBorder="1"/>
    <xf numFmtId="37" fontId="12" fillId="0" borderId="9" xfId="0" applyFont="1" applyBorder="1"/>
    <xf numFmtId="37" fontId="12" fillId="0" borderId="1" xfId="0" applyFont="1" applyBorder="1" applyAlignment="1" applyProtection="1">
      <alignment horizontal="center"/>
    </xf>
    <xf numFmtId="37" fontId="12" fillId="0" borderId="25" xfId="0" applyFont="1" applyBorder="1" applyAlignment="1" applyProtection="1">
      <alignment horizontal="center"/>
    </xf>
    <xf numFmtId="9" fontId="12" fillId="0" borderId="0" xfId="13" applyFont="1" applyAlignment="1" applyProtection="1">
      <alignment horizontal="center"/>
    </xf>
    <xf numFmtId="182" fontId="3" fillId="0" borderId="0" xfId="2" applyNumberFormat="1" applyFont="1" applyFill="1"/>
    <xf numFmtId="182" fontId="12" fillId="0" borderId="6" xfId="2" applyNumberFormat="1" applyFont="1" applyBorder="1" applyProtection="1"/>
    <xf numFmtId="186" fontId="0" fillId="0" borderId="5" xfId="0" applyNumberFormat="1" applyBorder="1" applyAlignment="1">
      <alignment horizontal="center"/>
    </xf>
    <xf numFmtId="43" fontId="12" fillId="0" borderId="0" xfId="1" applyFont="1" applyFill="1" applyProtection="1"/>
    <xf numFmtId="43" fontId="12" fillId="0" borderId="5" xfId="1" applyFont="1" applyFill="1" applyBorder="1" applyProtection="1"/>
    <xf numFmtId="182" fontId="12" fillId="0" borderId="0" xfId="2" applyNumberFormat="1" applyFont="1" applyProtection="1"/>
    <xf numFmtId="185" fontId="12" fillId="0" borderId="0" xfId="1" applyNumberFormat="1" applyFont="1" applyProtection="1"/>
    <xf numFmtId="185" fontId="12" fillId="0" borderId="0" xfId="1" applyNumberFormat="1" applyFont="1" applyFill="1" applyProtection="1"/>
    <xf numFmtId="185" fontId="12" fillId="0" borderId="5" xfId="1" applyNumberFormat="1" applyFont="1" applyFill="1" applyBorder="1" applyProtection="1"/>
    <xf numFmtId="185" fontId="12" fillId="0" borderId="5" xfId="1" applyNumberFormat="1" applyFont="1" applyBorder="1" applyProtection="1"/>
    <xf numFmtId="185" fontId="3" fillId="0" borderId="0" xfId="1" applyNumberFormat="1" applyFont="1" applyFill="1" applyProtection="1"/>
    <xf numFmtId="185" fontId="12" fillId="0" borderId="0" xfId="1" applyNumberFormat="1" applyFont="1" applyBorder="1" applyProtection="1"/>
    <xf numFmtId="9" fontId="12" fillId="0" borderId="0" xfId="13" applyFont="1" applyFill="1" applyAlignment="1" applyProtection="1">
      <alignment horizontal="center"/>
    </xf>
    <xf numFmtId="10" fontId="12" fillId="0" borderId="0" xfId="13" applyNumberFormat="1" applyFont="1" applyFill="1" applyAlignment="1" applyProtection="1">
      <alignment horizontal="center"/>
    </xf>
    <xf numFmtId="182" fontId="0" fillId="0" borderId="0" xfId="2" applyNumberFormat="1" applyFont="1" applyFill="1"/>
    <xf numFmtId="37" fontId="3" fillId="0" borderId="2" xfId="0" applyFont="1" applyFill="1" applyBorder="1" applyAlignment="1" applyProtection="1">
      <alignment horizontal="left"/>
      <protection locked="0"/>
    </xf>
    <xf numFmtId="183" fontId="3" fillId="0" borderId="0" xfId="0" applyNumberFormat="1" applyFont="1" applyFill="1" applyAlignment="1">
      <alignment horizontal="left"/>
    </xf>
    <xf numFmtId="17" fontId="3" fillId="0" borderId="22" xfId="0" applyNumberFormat="1" applyFont="1" applyFill="1" applyBorder="1" applyAlignment="1">
      <alignment horizontal="center"/>
    </xf>
    <xf numFmtId="185" fontId="8" fillId="0" borderId="0" xfId="1" applyNumberFormat="1" applyFont="1" applyFill="1" applyBorder="1" applyProtection="1"/>
    <xf numFmtId="0" fontId="21" fillId="0" borderId="0" xfId="0" applyNumberFormat="1" applyFont="1" applyFill="1" applyAlignment="1">
      <alignment horizontal="center"/>
    </xf>
    <xf numFmtId="185" fontId="21" fillId="0" borderId="0" xfId="1" applyNumberFormat="1" applyFont="1" applyFill="1" applyAlignment="1">
      <alignment horizontal="center"/>
    </xf>
    <xf numFmtId="37" fontId="37" fillId="0" borderId="0" xfId="0" applyFont="1" applyFill="1" applyAlignment="1">
      <alignment horizontal="left" indent="1"/>
    </xf>
    <xf numFmtId="0" fontId="21" fillId="0" borderId="0" xfId="0" applyNumberFormat="1" applyFont="1" applyFill="1" applyAlignment="1">
      <alignment horizontal="left"/>
    </xf>
    <xf numFmtId="185" fontId="21" fillId="0" borderId="0" xfId="1" applyNumberFormat="1" applyFont="1" applyFill="1" applyAlignment="1">
      <alignment horizontal="left"/>
    </xf>
    <xf numFmtId="37" fontId="3" fillId="0" borderId="2" xfId="0" applyFont="1" applyBorder="1" applyAlignment="1">
      <alignment horizontal="center"/>
    </xf>
    <xf numFmtId="37" fontId="3" fillId="0" borderId="0" xfId="0" applyFont="1" applyFill="1" applyBorder="1" applyAlignment="1">
      <alignment horizontal="centerContinuous"/>
    </xf>
    <xf numFmtId="180" fontId="3" fillId="0" borderId="0" xfId="0" applyNumberFormat="1" applyFont="1" applyProtection="1"/>
    <xf numFmtId="180" fontId="3" fillId="0" borderId="0" xfId="0" applyNumberFormat="1" applyFont="1"/>
    <xf numFmtId="180" fontId="3" fillId="0" borderId="0" xfId="0" quotePrefix="1" applyNumberFormat="1" applyFont="1" applyAlignment="1" applyProtection="1">
      <alignment horizontal="center"/>
    </xf>
    <xf numFmtId="37" fontId="3" fillId="0" borderId="0" xfId="0" applyNumberFormat="1" applyFont="1" applyFill="1" applyBorder="1" applyAlignment="1" applyProtection="1">
      <alignment horizontal="center"/>
    </xf>
    <xf numFmtId="37" fontId="3" fillId="0" borderId="0" xfId="0" applyFont="1" applyAlignment="1">
      <alignment horizontal="right"/>
    </xf>
    <xf numFmtId="185" fontId="3" fillId="0" borderId="0" xfId="1" applyNumberFormat="1" applyFont="1" applyFill="1" applyBorder="1" applyProtection="1"/>
    <xf numFmtId="43" fontId="3" fillId="0" borderId="0" xfId="1" applyFont="1" applyFill="1" applyBorder="1" applyProtection="1"/>
    <xf numFmtId="185" fontId="3" fillId="0" borderId="0" xfId="1" applyNumberFormat="1" applyFont="1" applyBorder="1" applyProtection="1"/>
    <xf numFmtId="185" fontId="3" fillId="0" borderId="0" xfId="1" applyNumberFormat="1" applyFont="1" applyBorder="1"/>
    <xf numFmtId="185" fontId="3" fillId="0" borderId="0" xfId="1" applyNumberFormat="1" applyFont="1" applyFill="1" applyBorder="1"/>
    <xf numFmtId="185" fontId="3" fillId="0" borderId="0" xfId="1" applyNumberFormat="1" applyFont="1" applyFill="1" applyBorder="1" applyAlignment="1" applyProtection="1">
      <alignment horizontal="center"/>
    </xf>
    <xf numFmtId="185" fontId="3" fillId="0" borderId="0" xfId="1" applyNumberFormat="1" applyFont="1" applyFill="1" applyBorder="1" applyAlignment="1">
      <alignment horizontal="center"/>
    </xf>
    <xf numFmtId="37" fontId="0" fillId="0" borderId="0" xfId="0" applyAlignment="1">
      <alignment horizontal="left" indent="2"/>
    </xf>
    <xf numFmtId="37" fontId="14" fillId="0" borderId="5" xfId="0" applyFont="1" applyBorder="1"/>
    <xf numFmtId="10" fontId="37" fillId="0" borderId="5" xfId="13" applyNumberFormat="1" applyFont="1" applyFill="1" applyBorder="1"/>
    <xf numFmtId="37" fontId="37" fillId="0" borderId="0" xfId="0" applyFont="1" applyFill="1" applyAlignment="1">
      <alignment horizontal="right"/>
    </xf>
    <xf numFmtId="37" fontId="3" fillId="0" borderId="0" xfId="0" applyFont="1" applyFill="1" applyBorder="1" applyAlignment="1">
      <alignment horizontal="right"/>
    </xf>
    <xf numFmtId="37" fontId="3" fillId="0" borderId="9" xfId="0" applyFont="1" applyBorder="1"/>
    <xf numFmtId="0" fontId="3" fillId="0" borderId="0" xfId="0" applyNumberFormat="1" applyFont="1" applyFill="1"/>
    <xf numFmtId="37" fontId="3" fillId="0" borderId="5" xfId="0" applyFont="1" applyFill="1" applyBorder="1" applyAlignment="1" applyProtection="1">
      <alignment horizontal="left"/>
    </xf>
    <xf numFmtId="37" fontId="3" fillId="0" borderId="23" xfId="0" applyFont="1" applyFill="1" applyBorder="1"/>
    <xf numFmtId="37" fontId="3" fillId="0" borderId="21" xfId="0" applyFont="1" applyFill="1" applyBorder="1"/>
    <xf numFmtId="186" fontId="3" fillId="0" borderId="22" xfId="0" applyNumberFormat="1" applyFont="1" applyFill="1" applyBorder="1" applyAlignment="1" applyProtection="1">
      <alignment horizontal="center"/>
      <protection locked="0"/>
    </xf>
    <xf numFmtId="37" fontId="14" fillId="0" borderId="0" xfId="0" applyFont="1" applyBorder="1"/>
    <xf numFmtId="185" fontId="8" fillId="0" borderId="0" xfId="1" applyNumberFormat="1" applyFont="1" applyFill="1" applyProtection="1">
      <protection locked="0"/>
    </xf>
    <xf numFmtId="185" fontId="12" fillId="0" borderId="0" xfId="1" applyNumberFormat="1" applyFont="1" applyFill="1"/>
    <xf numFmtId="10" fontId="3" fillId="0" borderId="0" xfId="13" applyNumberFormat="1" applyFont="1" applyAlignment="1" applyProtection="1">
      <alignment horizontal="center"/>
    </xf>
    <xf numFmtId="37" fontId="0" fillId="0" borderId="0" xfId="0" applyFont="1" applyBorder="1" applyAlignment="1" applyProtection="1">
      <alignment horizontal="center"/>
    </xf>
    <xf numFmtId="37" fontId="0" fillId="0" borderId="0" xfId="0" applyFont="1" applyFill="1" applyBorder="1" applyProtection="1"/>
    <xf numFmtId="37" fontId="12" fillId="0" borderId="0" xfId="0" applyFont="1" applyAlignment="1">
      <alignment horizontal="left" indent="1"/>
    </xf>
    <xf numFmtId="10" fontId="3" fillId="0" borderId="0" xfId="13" applyNumberFormat="1" applyFont="1" applyBorder="1" applyAlignment="1" applyProtection="1">
      <alignment horizontal="center"/>
    </xf>
    <xf numFmtId="37" fontId="0" fillId="0" borderId="5" xfId="0" applyFont="1" applyBorder="1" applyAlignment="1" applyProtection="1">
      <alignment horizontal="center"/>
    </xf>
    <xf numFmtId="37" fontId="0" fillId="0" borderId="0" xfId="0" applyFont="1" applyFill="1" applyBorder="1" applyAlignment="1">
      <alignment horizontal="left" indent="2"/>
    </xf>
    <xf numFmtId="185" fontId="8" fillId="0" borderId="0" xfId="1" applyNumberFormat="1" applyFont="1"/>
    <xf numFmtId="185" fontId="3" fillId="0" borderId="5" xfId="1" applyNumberFormat="1" applyFont="1" applyBorder="1" applyProtection="1"/>
    <xf numFmtId="5" fontId="12" fillId="0" borderId="0" xfId="0" applyNumberFormat="1" applyFont="1" applyFill="1" applyProtection="1"/>
    <xf numFmtId="10" fontId="12" fillId="0" borderId="0" xfId="13" applyNumberFormat="1" applyFont="1"/>
    <xf numFmtId="37" fontId="3" fillId="0" borderId="5" xfId="0" applyNumberFormat="1" applyFont="1" applyBorder="1" applyAlignment="1" applyProtection="1">
      <alignment horizontal="left"/>
    </xf>
    <xf numFmtId="166" fontId="3" fillId="0" borderId="0" xfId="0" applyNumberFormat="1" applyFont="1" applyProtection="1"/>
    <xf numFmtId="185" fontId="3" fillId="0" borderId="0" xfId="1" applyNumberFormat="1" applyFont="1" applyBorder="1" applyAlignment="1">
      <alignment horizontal="center"/>
    </xf>
    <xf numFmtId="9" fontId="3" fillId="0" borderId="0" xfId="13" applyFont="1" applyBorder="1" applyAlignment="1">
      <alignment horizontal="center"/>
    </xf>
    <xf numFmtId="10" fontId="3" fillId="0" borderId="0" xfId="13" applyNumberFormat="1" applyFont="1" applyBorder="1" applyAlignment="1">
      <alignment horizontal="center"/>
    </xf>
    <xf numFmtId="10" fontId="3" fillId="0" borderId="0" xfId="13" applyNumberFormat="1" applyFont="1" applyAlignment="1">
      <alignment horizontal="center"/>
    </xf>
    <xf numFmtId="37" fontId="14" fillId="0" borderId="0" xfId="0" applyFont="1" applyAlignment="1"/>
    <xf numFmtId="10" fontId="0" fillId="0" borderId="0" xfId="13" applyNumberFormat="1" applyFont="1" applyBorder="1" applyAlignment="1" applyProtection="1">
      <alignment horizontal="center"/>
    </xf>
    <xf numFmtId="37" fontId="0" fillId="0" borderId="0" xfId="0" applyFill="1" applyAlignment="1">
      <alignment horizontal="left" indent="2"/>
    </xf>
    <xf numFmtId="37" fontId="0" fillId="0" borderId="0" xfId="0" applyFill="1" applyAlignment="1">
      <alignment horizontal="left" indent="3"/>
    </xf>
    <xf numFmtId="185" fontId="3" fillId="0" borderId="5" xfId="1" applyNumberFormat="1" applyFont="1" applyFill="1" applyBorder="1" applyProtection="1"/>
    <xf numFmtId="37" fontId="14" fillId="0" borderId="0" xfId="0" applyFont="1" applyFill="1" applyAlignment="1">
      <alignment horizontal="left" indent="1"/>
    </xf>
    <xf numFmtId="9" fontId="3" fillId="0" borderId="0" xfId="13" applyFont="1" applyFill="1" applyBorder="1" applyAlignment="1">
      <alignment horizontal="center"/>
    </xf>
    <xf numFmtId="10" fontId="3" fillId="0" borderId="0" xfId="13" applyNumberFormat="1" applyFont="1" applyFill="1" applyBorder="1" applyAlignment="1">
      <alignment horizontal="center"/>
    </xf>
    <xf numFmtId="10" fontId="0" fillId="0" borderId="0" xfId="13" applyNumberFormat="1" applyFont="1" applyFill="1"/>
    <xf numFmtId="173" fontId="12" fillId="0" borderId="0" xfId="13" applyNumberFormat="1" applyFont="1" applyFill="1"/>
    <xf numFmtId="188" fontId="12" fillId="0" borderId="0" xfId="13" applyNumberFormat="1" applyFont="1" applyFill="1"/>
    <xf numFmtId="37" fontId="0" fillId="0" borderId="5" xfId="0" applyNumberFormat="1" applyFont="1" applyFill="1" applyBorder="1" applyProtection="1"/>
    <xf numFmtId="9" fontId="0" fillId="0" borderId="0" xfId="13" applyFont="1" applyFill="1"/>
    <xf numFmtId="37" fontId="0" fillId="0" borderId="0" xfId="0" applyFont="1" applyFill="1" applyBorder="1" applyAlignment="1" applyProtection="1">
      <alignment horizontal="center"/>
    </xf>
    <xf numFmtId="185" fontId="3" fillId="0" borderId="0" xfId="1" applyNumberFormat="1" applyFont="1" applyFill="1"/>
    <xf numFmtId="185" fontId="3" fillId="0" borderId="2" xfId="1" applyNumberFormat="1" applyFont="1" applyFill="1" applyBorder="1" applyProtection="1"/>
    <xf numFmtId="182" fontId="3" fillId="0" borderId="0" xfId="2" applyNumberFormat="1" applyFont="1" applyBorder="1" applyProtection="1"/>
    <xf numFmtId="37" fontId="3" fillId="0" borderId="2" xfId="0" applyFont="1" applyFill="1" applyBorder="1" applyAlignment="1" applyProtection="1">
      <alignment horizontal="left"/>
    </xf>
    <xf numFmtId="37" fontId="0" fillId="0" borderId="5" xfId="0" applyFont="1" applyFill="1" applyBorder="1" applyAlignment="1" applyProtection="1">
      <alignment horizontal="center"/>
    </xf>
    <xf numFmtId="37" fontId="3" fillId="0" borderId="2" xfId="0" applyFont="1" applyFill="1" applyBorder="1" applyAlignment="1" applyProtection="1">
      <alignment horizontal="center"/>
    </xf>
    <xf numFmtId="37" fontId="3" fillId="0" borderId="0" xfId="0" applyNumberFormat="1" applyFont="1" applyAlignment="1" applyProtection="1">
      <alignment horizontal="center"/>
      <protection locked="0"/>
    </xf>
    <xf numFmtId="37" fontId="3" fillId="0" borderId="0" xfId="5" applyFont="1"/>
    <xf numFmtId="37" fontId="4" fillId="0" borderId="0" xfId="5" applyFont="1"/>
    <xf numFmtId="37" fontId="3" fillId="0" borderId="0" xfId="5" applyFont="1" applyAlignment="1" applyProtection="1">
      <alignment horizontal="left"/>
    </xf>
    <xf numFmtId="37" fontId="3" fillId="0" borderId="0" xfId="5" applyAlignment="1" applyProtection="1">
      <alignment horizontal="left"/>
    </xf>
    <xf numFmtId="37" fontId="3" fillId="0" borderId="0" xfId="5" applyFont="1" applyBorder="1"/>
    <xf numFmtId="37" fontId="3" fillId="0" borderId="3" xfId="5" applyFont="1" applyBorder="1" applyAlignment="1" applyProtection="1">
      <alignment horizontal="center"/>
    </xf>
    <xf numFmtId="37" fontId="3" fillId="0" borderId="3" xfId="5" applyFont="1" applyBorder="1"/>
    <xf numFmtId="37" fontId="3" fillId="0" borderId="2" xfId="5" applyFont="1" applyBorder="1" applyAlignment="1" applyProtection="1">
      <alignment horizontal="center"/>
    </xf>
    <xf numFmtId="37" fontId="3" fillId="0" borderId="0" xfId="5" applyFont="1" applyProtection="1"/>
    <xf numFmtId="37" fontId="3" fillId="0" borderId="0" xfId="5" applyFont="1" applyAlignment="1" applyProtection="1">
      <alignment horizontal="center"/>
    </xf>
    <xf numFmtId="37" fontId="6" fillId="0" borderId="0" xfId="5" applyFont="1" applyAlignment="1" applyProtection="1">
      <alignment horizontal="center"/>
    </xf>
    <xf numFmtId="37" fontId="3" fillId="0" borderId="3" xfId="5" applyFont="1" applyBorder="1" applyProtection="1"/>
    <xf numFmtId="37" fontId="3" fillId="0" borderId="0" xfId="5"/>
    <xf numFmtId="37" fontId="3" fillId="0" borderId="0" xfId="5" applyAlignment="1" applyProtection="1">
      <alignment horizontal="center"/>
    </xf>
    <xf numFmtId="179" fontId="3" fillId="0" borderId="0" xfId="5" applyNumberFormat="1" applyFont="1"/>
    <xf numFmtId="37" fontId="4" fillId="0" borderId="0" xfId="5" applyFont="1" applyAlignment="1" applyProtection="1">
      <alignment horizontal="right"/>
    </xf>
    <xf numFmtId="37" fontId="3" fillId="0" borderId="0" xfId="5" applyFont="1" applyBorder="1" applyAlignment="1" applyProtection="1">
      <alignment horizontal="center"/>
    </xf>
    <xf numFmtId="37" fontId="14" fillId="0" borderId="0" xfId="5" applyFont="1" applyBorder="1" applyAlignment="1" applyProtection="1">
      <alignment horizontal="left"/>
    </xf>
    <xf numFmtId="37" fontId="14" fillId="0" borderId="5" xfId="5" applyFont="1" applyBorder="1" applyAlignment="1" applyProtection="1">
      <alignment horizontal="left"/>
    </xf>
    <xf numFmtId="10" fontId="3" fillId="0" borderId="0" xfId="5" applyNumberFormat="1" applyFont="1"/>
    <xf numFmtId="185" fontId="12" fillId="0" borderId="0" xfId="1" applyNumberFormat="1" applyFont="1" applyFill="1" applyProtection="1">
      <protection locked="0"/>
    </xf>
    <xf numFmtId="185" fontId="12" fillId="0" borderId="0" xfId="1" applyNumberFormat="1" applyFont="1" applyFill="1" applyBorder="1" applyProtection="1"/>
    <xf numFmtId="44" fontId="0" fillId="0" borderId="0" xfId="2" applyFont="1" applyFill="1"/>
    <xf numFmtId="37" fontId="14" fillId="0" borderId="5" xfId="0" applyFont="1" applyFill="1" applyBorder="1" applyAlignment="1">
      <alignment horizontal="center"/>
    </xf>
    <xf numFmtId="37" fontId="8" fillId="0" borderId="0" xfId="0" applyFont="1" applyFill="1" applyAlignment="1">
      <alignment horizontal="center"/>
    </xf>
    <xf numFmtId="37" fontId="12" fillId="0" borderId="5" xfId="0" applyNumberFormat="1" applyFont="1" applyFill="1" applyBorder="1" applyProtection="1"/>
    <xf numFmtId="37" fontId="37" fillId="0" borderId="0" xfId="0" applyFont="1" applyAlignment="1">
      <alignment horizontal="right"/>
    </xf>
    <xf numFmtId="37" fontId="3" fillId="0" borderId="0" xfId="5" applyFont="1" applyBorder="1" applyProtection="1"/>
    <xf numFmtId="37" fontId="8" fillId="0" borderId="0" xfId="0" applyNumberFormat="1" applyFont="1" applyFill="1"/>
    <xf numFmtId="9" fontId="3" fillId="0" borderId="0" xfId="13" applyFont="1" applyFill="1" applyAlignment="1">
      <alignment horizontal="center"/>
    </xf>
    <xf numFmtId="10" fontId="3" fillId="0" borderId="0" xfId="13" applyNumberFormat="1" applyFont="1" applyFill="1" applyAlignment="1">
      <alignment horizontal="center"/>
    </xf>
    <xf numFmtId="182" fontId="3" fillId="0" borderId="6" xfId="2" applyNumberFormat="1" applyFont="1" applyFill="1" applyBorder="1"/>
    <xf numFmtId="182" fontId="3" fillId="0" borderId="0" xfId="2" applyNumberFormat="1" applyFont="1" applyProtection="1"/>
    <xf numFmtId="37" fontId="12" fillId="0" borderId="0" xfId="0" applyFont="1" applyBorder="1" applyAlignment="1" applyProtection="1">
      <alignment horizontal="left"/>
    </xf>
    <xf numFmtId="37" fontId="12" fillId="0" borderId="8" xfId="0" applyFont="1" applyBorder="1"/>
    <xf numFmtId="37" fontId="12" fillId="0" borderId="1" xfId="0" applyFont="1" applyBorder="1"/>
    <xf numFmtId="37" fontId="12" fillId="0" borderId="8" xfId="0" applyFont="1" applyBorder="1" applyAlignment="1" applyProtection="1">
      <alignment horizontal="center"/>
    </xf>
    <xf numFmtId="37" fontId="12" fillId="0" borderId="21" xfId="0" applyFont="1" applyBorder="1" applyAlignment="1" applyProtection="1">
      <alignment horizontal="center"/>
    </xf>
    <xf numFmtId="37" fontId="12" fillId="0" borderId="25" xfId="0" applyFont="1" applyBorder="1" applyAlignment="1" applyProtection="1">
      <alignment horizontal="left"/>
    </xf>
    <xf numFmtId="182" fontId="8" fillId="0" borderId="0" xfId="2" applyNumberFormat="1" applyFont="1" applyProtection="1"/>
    <xf numFmtId="182" fontId="8" fillId="0" borderId="6" xfId="2" applyNumberFormat="1" applyFont="1" applyBorder="1" applyProtection="1"/>
    <xf numFmtId="9" fontId="3" fillId="0" borderId="0" xfId="0" applyNumberFormat="1" applyFont="1" applyAlignment="1" applyProtection="1">
      <alignment horizontal="center"/>
    </xf>
    <xf numFmtId="9" fontId="3" fillId="0" borderId="0" xfId="13" applyFont="1" applyAlignment="1" applyProtection="1">
      <alignment horizontal="center"/>
    </xf>
    <xf numFmtId="9" fontId="3" fillId="0" borderId="0" xfId="0" applyNumberFormat="1" applyFont="1" applyFill="1" applyBorder="1" applyAlignment="1">
      <alignment horizontal="center"/>
    </xf>
    <xf numFmtId="37" fontId="3" fillId="0" borderId="0" xfId="0" applyNumberFormat="1" applyFont="1" applyFill="1" applyAlignment="1" applyProtection="1">
      <alignment horizontal="center"/>
    </xf>
    <xf numFmtId="37" fontId="3" fillId="0" borderId="23" xfId="0" applyFont="1" applyBorder="1" applyAlignment="1">
      <alignment horizontal="center"/>
    </xf>
    <xf numFmtId="37" fontId="3" fillId="0" borderId="9" xfId="0" applyFont="1" applyBorder="1" applyAlignment="1" applyProtection="1">
      <alignment horizontal="center"/>
    </xf>
    <xf numFmtId="37" fontId="3" fillId="0" borderId="21" xfId="0" applyFont="1" applyBorder="1" applyAlignment="1">
      <alignment horizontal="center"/>
    </xf>
    <xf numFmtId="37" fontId="3" fillId="0" borderId="23" xfId="0" applyFont="1" applyBorder="1" applyAlignment="1" applyProtection="1">
      <alignment horizontal="center"/>
    </xf>
    <xf numFmtId="37" fontId="3" fillId="0" borderId="1" xfId="0" applyFont="1" applyFill="1" applyBorder="1" applyAlignment="1" applyProtection="1">
      <alignment horizontal="center"/>
    </xf>
    <xf numFmtId="37" fontId="3" fillId="0" borderId="25" xfId="0" applyFont="1" applyBorder="1" applyAlignment="1">
      <alignment horizontal="center"/>
    </xf>
    <xf numFmtId="178" fontId="3" fillId="0" borderId="0" xfId="1" applyNumberFormat="1" applyFont="1" applyFill="1" applyProtection="1"/>
    <xf numFmtId="37" fontId="3" fillId="0" borderId="0" xfId="0" applyFont="1" applyAlignment="1" applyProtection="1">
      <alignment horizontal="right"/>
    </xf>
    <xf numFmtId="37" fontId="3" fillId="0" borderId="2" xfId="0" applyFont="1" applyBorder="1" applyAlignment="1" applyProtection="1">
      <alignment horizontal="right"/>
    </xf>
    <xf numFmtId="37" fontId="3" fillId="0" borderId="0" xfId="0" applyFont="1" applyAlignment="1" applyProtection="1">
      <alignment horizontal="right"/>
      <protection locked="0"/>
    </xf>
    <xf numFmtId="37" fontId="3" fillId="0" borderId="2" xfId="0" applyFont="1" applyBorder="1" applyAlignment="1" applyProtection="1">
      <alignment horizontal="right"/>
      <protection locked="0"/>
    </xf>
    <xf numFmtId="182" fontId="12" fillId="0" borderId="5" xfId="2" applyNumberFormat="1" applyFont="1" applyFill="1" applyBorder="1" applyProtection="1"/>
    <xf numFmtId="182" fontId="12" fillId="0" borderId="0" xfId="2" applyNumberFormat="1" applyFont="1" applyFill="1" applyBorder="1" applyProtection="1"/>
    <xf numFmtId="182" fontId="12" fillId="0" borderId="0" xfId="2" applyNumberFormat="1" applyFont="1" applyFill="1" applyProtection="1">
      <protection locked="0"/>
    </xf>
    <xf numFmtId="182" fontId="15" fillId="0" borderId="0" xfId="2" applyNumberFormat="1" applyFont="1" applyFill="1" applyProtection="1"/>
    <xf numFmtId="37" fontId="12" fillId="0" borderId="0" xfId="0" applyFont="1" applyAlignment="1">
      <alignment horizontal="right"/>
    </xf>
    <xf numFmtId="37" fontId="12" fillId="0" borderId="0" xfId="0" applyFont="1" applyBorder="1" applyAlignment="1" applyProtection="1">
      <alignment horizontal="right"/>
      <protection locked="0"/>
    </xf>
    <xf numFmtId="37" fontId="12" fillId="0" borderId="5" xfId="0" applyFont="1" applyBorder="1" applyAlignment="1">
      <alignment horizontal="right"/>
    </xf>
    <xf numFmtId="37" fontId="8" fillId="0" borderId="5" xfId="0" applyFont="1" applyBorder="1" applyAlignment="1">
      <alignment horizontal="right"/>
    </xf>
    <xf numFmtId="182" fontId="3" fillId="0" borderId="0" xfId="2" applyNumberFormat="1" applyFont="1" applyFill="1" applyBorder="1" applyProtection="1"/>
    <xf numFmtId="182" fontId="3" fillId="0" borderId="5" xfId="2" applyNumberFormat="1" applyFont="1" applyFill="1" applyBorder="1" applyProtection="1"/>
    <xf numFmtId="182" fontId="3" fillId="0" borderId="0" xfId="2" applyNumberFormat="1" applyFont="1" applyFill="1" applyProtection="1">
      <protection locked="0"/>
    </xf>
    <xf numFmtId="37" fontId="8" fillId="0" borderId="0" xfId="0" applyFont="1" applyBorder="1" applyAlignment="1"/>
    <xf numFmtId="37" fontId="8" fillId="0" borderId="0" xfId="0" applyFont="1" applyBorder="1" applyAlignment="1" applyProtection="1"/>
    <xf numFmtId="37" fontId="8" fillId="0" borderId="0" xfId="0" applyFont="1" applyFill="1" applyAlignment="1">
      <alignment horizontal="right"/>
    </xf>
    <xf numFmtId="37" fontId="8" fillId="0" borderId="0" xfId="0" applyFont="1" applyFill="1" applyAlignment="1" applyProtection="1">
      <alignment horizontal="right"/>
      <protection locked="0"/>
    </xf>
    <xf numFmtId="37" fontId="8" fillId="0" borderId="2" xfId="0" applyFont="1" applyFill="1" applyBorder="1" applyAlignment="1" applyProtection="1">
      <alignment horizontal="right"/>
      <protection locked="0"/>
    </xf>
    <xf numFmtId="37" fontId="3" fillId="0" borderId="0" xfId="0" applyFont="1" applyFill="1" applyAlignment="1" applyProtection="1">
      <alignment horizontal="right"/>
      <protection locked="0"/>
    </xf>
    <xf numFmtId="37" fontId="3" fillId="0" borderId="2" xfId="0" applyFont="1" applyFill="1" applyBorder="1" applyAlignment="1" applyProtection="1">
      <alignment horizontal="right"/>
      <protection locked="0"/>
    </xf>
    <xf numFmtId="37" fontId="8" fillId="0" borderId="0" xfId="0" applyFont="1" applyAlignment="1">
      <alignment horizontal="right"/>
    </xf>
    <xf numFmtId="182" fontId="0" fillId="0" borderId="6" xfId="2" applyNumberFormat="1" applyFont="1" applyFill="1" applyBorder="1"/>
    <xf numFmtId="185" fontId="8" fillId="0" borderId="0" xfId="1" applyNumberFormat="1" applyFont="1" applyFill="1"/>
    <xf numFmtId="0" fontId="3" fillId="0" borderId="0" xfId="0" applyNumberFormat="1" applyFont="1" applyFill="1" applyAlignment="1" applyProtection="1">
      <alignment horizontal="center"/>
    </xf>
    <xf numFmtId="37" fontId="14" fillId="0" borderId="0" xfId="0" applyFont="1" applyFill="1" applyAlignment="1" applyProtection="1">
      <alignment horizontal="left"/>
    </xf>
    <xf numFmtId="9" fontId="3" fillId="0" borderId="0" xfId="0" applyNumberFormat="1" applyFont="1" applyBorder="1" applyAlignment="1" applyProtection="1">
      <alignment horizontal="center"/>
    </xf>
    <xf numFmtId="10" fontId="3" fillId="0" borderId="0" xfId="0" applyNumberFormat="1" applyFont="1" applyBorder="1" applyAlignment="1" applyProtection="1">
      <alignment horizontal="center"/>
    </xf>
    <xf numFmtId="9" fontId="3" fillId="0" borderId="0" xfId="13" applyFont="1" applyBorder="1" applyAlignment="1" applyProtection="1">
      <alignment horizontal="center"/>
    </xf>
    <xf numFmtId="37" fontId="3" fillId="0" borderId="27" xfId="0" applyFont="1" applyBorder="1" applyAlignment="1">
      <alignment horizontal="center"/>
    </xf>
    <xf numFmtId="37" fontId="3" fillId="0" borderId="27" xfId="0" applyFont="1" applyBorder="1" applyAlignment="1" applyProtection="1">
      <alignment horizontal="center"/>
    </xf>
    <xf numFmtId="37" fontId="3" fillId="0" borderId="5" xfId="0" applyFont="1" applyFill="1" applyBorder="1" applyAlignment="1">
      <alignment horizontal="center"/>
    </xf>
    <xf numFmtId="182" fontId="8" fillId="0" borderId="10" xfId="2" applyNumberFormat="1" applyFont="1" applyBorder="1" applyProtection="1"/>
    <xf numFmtId="182" fontId="8" fillId="0" borderId="10" xfId="2" applyNumberFormat="1" applyFont="1" applyFill="1" applyBorder="1" applyProtection="1"/>
    <xf numFmtId="185" fontId="8" fillId="0" borderId="0" xfId="1" applyNumberFormat="1" applyFont="1" applyProtection="1"/>
    <xf numFmtId="185" fontId="8" fillId="0" borderId="2" xfId="1" applyNumberFormat="1" applyFont="1" applyFill="1" applyBorder="1" applyProtection="1"/>
    <xf numFmtId="185" fontId="8" fillId="0" borderId="5" xfId="1" applyNumberFormat="1" applyFont="1" applyBorder="1" applyProtection="1"/>
    <xf numFmtId="182" fontId="8" fillId="0" borderId="0" xfId="2" applyNumberFormat="1" applyFont="1" applyFill="1" applyProtection="1">
      <protection locked="0"/>
    </xf>
    <xf numFmtId="185" fontId="8" fillId="0" borderId="0" xfId="1" quotePrefix="1" applyNumberFormat="1" applyFont="1" applyFill="1" applyProtection="1"/>
    <xf numFmtId="185" fontId="8" fillId="0" borderId="0" xfId="1" quotePrefix="1" applyNumberFormat="1" applyFont="1" applyFill="1" applyProtection="1">
      <protection locked="0"/>
    </xf>
    <xf numFmtId="183" fontId="12" fillId="0" borderId="0" xfId="0" applyNumberFormat="1" applyFont="1" applyAlignment="1" applyProtection="1">
      <alignment horizontal="center"/>
      <protection locked="0"/>
    </xf>
    <xf numFmtId="37" fontId="12" fillId="0" borderId="0" xfId="0" applyFont="1" applyAlignment="1">
      <alignment horizontal="center"/>
    </xf>
    <xf numFmtId="183" fontId="12" fillId="0" borderId="0" xfId="0" applyNumberFormat="1" applyFont="1" applyBorder="1" applyAlignment="1" applyProtection="1">
      <alignment horizontal="center"/>
      <protection locked="0"/>
    </xf>
    <xf numFmtId="183" fontId="12" fillId="0" borderId="0" xfId="0" applyNumberFormat="1" applyFont="1" applyAlignment="1" applyProtection="1">
      <alignment horizontal="center"/>
    </xf>
    <xf numFmtId="183" fontId="12" fillId="0" borderId="0" xfId="0" applyNumberFormat="1" applyFont="1" applyAlignment="1">
      <alignment horizontal="center"/>
    </xf>
    <xf numFmtId="37" fontId="12" fillId="0" borderId="0" xfId="0" quotePrefix="1" applyFont="1" applyAlignment="1">
      <alignment horizontal="center"/>
    </xf>
    <xf numFmtId="184" fontId="12" fillId="0" borderId="0" xfId="0" applyNumberFormat="1" applyFont="1" applyAlignment="1" applyProtection="1">
      <alignment horizontal="center"/>
      <protection locked="0"/>
    </xf>
    <xf numFmtId="183" fontId="8" fillId="0" borderId="0" xfId="0" applyNumberFormat="1" applyFont="1" applyAlignment="1" applyProtection="1">
      <alignment horizontal="center"/>
      <protection locked="0"/>
    </xf>
    <xf numFmtId="183" fontId="8" fillId="0" borderId="0" xfId="0" applyNumberFormat="1" applyFont="1" applyBorder="1" applyAlignment="1" applyProtection="1">
      <alignment horizontal="center"/>
      <protection locked="0"/>
    </xf>
    <xf numFmtId="183" fontId="8" fillId="0" borderId="0" xfId="0" applyNumberFormat="1" applyFont="1" applyAlignment="1" applyProtection="1">
      <alignment horizontal="center"/>
    </xf>
    <xf numFmtId="183" fontId="8" fillId="0" borderId="0" xfId="0" applyNumberFormat="1" applyFont="1" applyAlignment="1">
      <alignment horizontal="center"/>
    </xf>
    <xf numFmtId="37" fontId="8" fillId="0" borderId="0" xfId="0" quotePrefix="1" applyFont="1" applyAlignment="1">
      <alignment horizontal="center"/>
    </xf>
    <xf numFmtId="183" fontId="8" fillId="0" borderId="0" xfId="0" quotePrefix="1" applyNumberFormat="1" applyFont="1" applyAlignment="1" applyProtection="1">
      <alignment horizontal="center"/>
      <protection locked="0"/>
    </xf>
    <xf numFmtId="184" fontId="8" fillId="0" borderId="0" xfId="0" applyNumberFormat="1" applyFont="1" applyAlignment="1" applyProtection="1">
      <alignment horizontal="center"/>
      <protection locked="0"/>
    </xf>
    <xf numFmtId="182" fontId="3" fillId="0" borderId="6" xfId="2" applyNumberFormat="1" applyFont="1" applyFill="1" applyBorder="1" applyProtection="1"/>
    <xf numFmtId="182" fontId="8" fillId="0" borderId="19" xfId="2" applyNumberFormat="1" applyFont="1" applyFill="1" applyBorder="1"/>
    <xf numFmtId="182" fontId="3" fillId="0" borderId="19" xfId="2" applyNumberFormat="1" applyFont="1" applyFill="1" applyBorder="1"/>
    <xf numFmtId="182" fontId="3" fillId="0" borderId="19" xfId="2" applyNumberFormat="1" applyFont="1" applyBorder="1"/>
    <xf numFmtId="37" fontId="3" fillId="0" borderId="0" xfId="0" applyFont="1" applyBorder="1" applyAlignment="1">
      <alignment horizontal="right"/>
    </xf>
    <xf numFmtId="37" fontId="12" fillId="0" borderId="5" xfId="0" applyFont="1" applyBorder="1" applyAlignment="1" applyProtection="1">
      <alignment horizontal="right"/>
      <protection locked="0"/>
    </xf>
    <xf numFmtId="37" fontId="3" fillId="0" borderId="2" xfId="0" applyFont="1" applyFill="1" applyBorder="1" applyAlignment="1" applyProtection="1">
      <alignment horizontal="right"/>
    </xf>
    <xf numFmtId="182" fontId="3" fillId="0" borderId="0" xfId="2" applyNumberFormat="1" applyFont="1" applyAlignment="1" applyProtection="1">
      <alignment horizontal="right"/>
    </xf>
    <xf numFmtId="182" fontId="3" fillId="0" borderId="6" xfId="2" applyNumberFormat="1" applyFont="1" applyBorder="1" applyAlignment="1" applyProtection="1">
      <alignment horizontal="right"/>
    </xf>
    <xf numFmtId="182" fontId="14" fillId="0" borderId="6" xfId="2" applyNumberFormat="1" applyFont="1" applyBorder="1" applyAlignment="1" applyProtection="1">
      <alignment horizontal="right"/>
    </xf>
    <xf numFmtId="182" fontId="3" fillId="0" borderId="0" xfId="2" applyNumberFormat="1" applyFont="1" applyFill="1" applyAlignment="1">
      <alignment horizontal="right"/>
    </xf>
    <xf numFmtId="182" fontId="3" fillId="0" borderId="0" xfId="2" applyNumberFormat="1" applyFont="1" applyAlignment="1">
      <alignment horizontal="right"/>
    </xf>
    <xf numFmtId="37" fontId="12" fillId="0" borderId="0" xfId="5" applyFont="1" applyAlignment="1" applyProtection="1">
      <alignment horizontal="left"/>
    </xf>
    <xf numFmtId="37" fontId="3" fillId="0" borderId="0" xfId="5" applyFont="1" applyAlignment="1">
      <alignment horizontal="right"/>
    </xf>
    <xf numFmtId="37" fontId="3" fillId="0" borderId="0" xfId="5" applyFont="1" applyAlignment="1" applyProtection="1">
      <alignment horizontal="right"/>
    </xf>
    <xf numFmtId="37" fontId="3" fillId="0" borderId="0" xfId="5" applyAlignment="1" applyProtection="1">
      <alignment horizontal="right"/>
    </xf>
    <xf numFmtId="182" fontId="3" fillId="0" borderId="3" xfId="2" applyNumberFormat="1" applyFont="1" applyBorder="1" applyProtection="1"/>
    <xf numFmtId="37" fontId="0" fillId="0" borderId="0" xfId="0" applyFont="1" applyAlignment="1" applyProtection="1">
      <alignment horizontal="right"/>
    </xf>
    <xf numFmtId="37" fontId="0" fillId="0" borderId="0" xfId="0" applyAlignment="1" applyProtection="1">
      <alignment horizontal="right"/>
    </xf>
    <xf numFmtId="182" fontId="0" fillId="0" borderId="0" xfId="2" applyNumberFormat="1" applyFont="1" applyProtection="1"/>
    <xf numFmtId="182" fontId="3" fillId="0" borderId="28" xfId="2" applyNumberFormat="1" applyFont="1" applyBorder="1" applyProtection="1"/>
    <xf numFmtId="37" fontId="0" fillId="0" borderId="29" xfId="0" applyFont="1" applyBorder="1"/>
    <xf numFmtId="37" fontId="4" fillId="0" borderId="19" xfId="0" applyFont="1" applyBorder="1" applyAlignment="1" applyProtection="1">
      <alignment horizontal="center"/>
    </xf>
    <xf numFmtId="37" fontId="0" fillId="0" borderId="24" xfId="0" applyFont="1" applyBorder="1"/>
    <xf numFmtId="37" fontId="19" fillId="0" borderId="0" xfId="0" applyFont="1" applyAlignment="1">
      <alignment horizontal="right"/>
    </xf>
    <xf numFmtId="37" fontId="12" fillId="0" borderId="5" xfId="0" applyFont="1" applyBorder="1" applyAlignment="1" applyProtection="1">
      <alignment horizontal="left"/>
    </xf>
    <xf numFmtId="182" fontId="24" fillId="0" borderId="0" xfId="2" applyNumberFormat="1" applyFont="1" applyFill="1" applyProtection="1"/>
    <xf numFmtId="182" fontId="12" fillId="0" borderId="19" xfId="2" applyNumberFormat="1" applyFont="1" applyFill="1" applyBorder="1" applyProtection="1"/>
    <xf numFmtId="182" fontId="12" fillId="0" borderId="6" xfId="2" applyNumberFormat="1" applyFont="1" applyFill="1" applyBorder="1"/>
    <xf numFmtId="182" fontId="0" fillId="0" borderId="0" xfId="2" applyNumberFormat="1" applyFont="1" applyFill="1" applyProtection="1"/>
    <xf numFmtId="182" fontId="3" fillId="0" borderId="2" xfId="2" applyNumberFormat="1" applyFont="1" applyBorder="1" applyProtection="1"/>
    <xf numFmtId="182" fontId="12" fillId="0" borderId="2" xfId="2" applyNumberFormat="1" applyFont="1" applyBorder="1" applyProtection="1"/>
    <xf numFmtId="182" fontId="3" fillId="0" borderId="19" xfId="2" applyNumberFormat="1" applyFont="1" applyFill="1" applyBorder="1" applyProtection="1"/>
    <xf numFmtId="174" fontId="11" fillId="0" borderId="0" xfId="0" applyNumberFormat="1" applyFont="1" applyFill="1" applyProtection="1"/>
    <xf numFmtId="10" fontId="0" fillId="0" borderId="0" xfId="0" applyNumberFormat="1" applyFont="1" applyFill="1" applyProtection="1"/>
    <xf numFmtId="169" fontId="12" fillId="0" borderId="0" xfId="13" applyNumberFormat="1" applyFont="1"/>
    <xf numFmtId="10" fontId="8" fillId="0" borderId="0" xfId="13" applyNumberFormat="1" applyFont="1" applyBorder="1"/>
    <xf numFmtId="10" fontId="8" fillId="0" borderId="0" xfId="13" applyNumberFormat="1" applyFont="1" applyFill="1"/>
    <xf numFmtId="5" fontId="3" fillId="0" borderId="0" xfId="0" applyNumberFormat="1" applyFont="1" applyFill="1" applyProtection="1"/>
    <xf numFmtId="173" fontId="3" fillId="0" borderId="0" xfId="13" applyNumberFormat="1" applyFont="1" applyFill="1" applyProtection="1"/>
    <xf numFmtId="37" fontId="0" fillId="0" borderId="0" xfId="0" applyFont="1" applyFill="1" applyAlignment="1" applyProtection="1"/>
    <xf numFmtId="37" fontId="0" fillId="0" borderId="0" xfId="0" applyFont="1" applyFill="1" applyAlignment="1" applyProtection="1">
      <alignment horizontal="left"/>
    </xf>
    <xf numFmtId="185" fontId="3" fillId="0" borderId="0" xfId="0" applyNumberFormat="1" applyFont="1" applyFill="1" applyProtection="1"/>
    <xf numFmtId="185" fontId="3" fillId="0" borderId="5" xfId="0" applyNumberFormat="1" applyFont="1" applyFill="1" applyBorder="1" applyProtection="1"/>
    <xf numFmtId="5" fontId="3" fillId="0" borderId="7" xfId="0" applyNumberFormat="1" applyFont="1" applyFill="1" applyBorder="1" applyProtection="1"/>
    <xf numFmtId="37" fontId="3" fillId="0" borderId="27" xfId="0" applyFont="1" applyBorder="1"/>
    <xf numFmtId="37" fontId="3" fillId="0" borderId="30" xfId="0" applyFont="1" applyBorder="1" applyAlignment="1" applyProtection="1">
      <alignment horizontal="center"/>
    </xf>
    <xf numFmtId="37" fontId="3" fillId="0" borderId="31" xfId="0" applyFont="1" applyBorder="1" applyAlignment="1" applyProtection="1">
      <alignment horizontal="center"/>
    </xf>
    <xf numFmtId="37" fontId="3" fillId="0" borderId="31" xfId="0" applyFont="1" applyBorder="1" applyAlignment="1">
      <alignment horizontal="center"/>
    </xf>
    <xf numFmtId="37" fontId="43" fillId="0" borderId="0" xfId="0" applyFont="1"/>
    <xf numFmtId="37" fontId="44" fillId="0" borderId="0" xfId="0" applyFont="1"/>
    <xf numFmtId="14" fontId="14" fillId="0" borderId="8" xfId="0" applyNumberFormat="1" applyFont="1" applyFill="1" applyBorder="1" applyAlignment="1">
      <alignment horizontal="center"/>
    </xf>
    <xf numFmtId="14" fontId="3" fillId="0" borderId="8" xfId="0" applyNumberFormat="1" applyFont="1" applyBorder="1" applyAlignment="1">
      <alignment horizontal="center"/>
    </xf>
    <xf numFmtId="37" fontId="3" fillId="0" borderId="0" xfId="0" applyFont="1" applyFill="1" applyAlignment="1" applyProtection="1">
      <alignment horizontal="center"/>
      <protection locked="0"/>
    </xf>
    <xf numFmtId="37" fontId="12" fillId="0" borderId="0" xfId="0" applyFont="1" applyFill="1" applyAlignment="1">
      <alignment horizontal="right"/>
    </xf>
    <xf numFmtId="37" fontId="45" fillId="0" borderId="0" xfId="0" applyFont="1"/>
    <xf numFmtId="37" fontId="8" fillId="0" borderId="0" xfId="0" applyFont="1" applyBorder="1" applyAlignment="1">
      <alignment horizontal="right"/>
    </xf>
    <xf numFmtId="37" fontId="8" fillId="0" borderId="0" xfId="0" applyFont="1" applyBorder="1" applyAlignment="1" applyProtection="1">
      <alignment horizontal="center"/>
      <protection locked="0"/>
    </xf>
    <xf numFmtId="37" fontId="36" fillId="0" borderId="0" xfId="0" applyFont="1" applyFill="1" applyAlignment="1" applyProtection="1">
      <alignment horizontal="left"/>
    </xf>
    <xf numFmtId="37" fontId="0" fillId="0" borderId="0" xfId="0" applyAlignment="1">
      <alignment horizontal="center"/>
    </xf>
    <xf numFmtId="37" fontId="14" fillId="0" borderId="0" xfId="0" applyFont="1" applyFill="1" applyAlignment="1">
      <alignment horizontal="center"/>
    </xf>
    <xf numFmtId="37" fontId="0" fillId="0" borderId="5" xfId="0" applyFont="1" applyBorder="1" applyAlignment="1">
      <alignment horizontal="center"/>
    </xf>
    <xf numFmtId="37" fontId="14" fillId="0" borderId="0" xfId="0" applyFont="1" applyBorder="1" applyAlignment="1"/>
    <xf numFmtId="37" fontId="0" fillId="0" borderId="5" xfId="0" applyBorder="1" applyAlignment="1" applyProtection="1">
      <alignment horizontal="right"/>
    </xf>
    <xf numFmtId="37" fontId="46" fillId="0" borderId="0" xfId="0" applyFont="1"/>
    <xf numFmtId="37" fontId="3" fillId="0" borderId="0" xfId="0" applyNumberFormat="1" applyFont="1" applyFill="1" applyBorder="1" applyAlignment="1" applyProtection="1">
      <alignment horizontal="right"/>
    </xf>
    <xf numFmtId="185" fontId="3" fillId="0" borderId="0" xfId="1" applyNumberFormat="1" applyFont="1" applyFill="1" applyBorder="1" applyAlignment="1" applyProtection="1">
      <alignment horizontal="right"/>
    </xf>
    <xf numFmtId="185" fontId="3" fillId="0" borderId="0" xfId="1" applyNumberFormat="1" applyFont="1" applyFill="1" applyAlignment="1">
      <alignment horizontal="right"/>
    </xf>
    <xf numFmtId="37" fontId="0" fillId="0" borderId="0" xfId="0" applyAlignment="1">
      <alignment horizontal="center"/>
    </xf>
    <xf numFmtId="37" fontId="3" fillId="0" borderId="0" xfId="0" applyFont="1" applyAlignment="1">
      <alignment horizontal="center"/>
    </xf>
    <xf numFmtId="186" fontId="0" fillId="0" borderId="5" xfId="0" applyNumberFormat="1" applyFill="1" applyBorder="1" applyAlignment="1">
      <alignment horizontal="center"/>
    </xf>
    <xf numFmtId="37" fontId="8" fillId="0" borderId="0" xfId="0" applyFont="1" applyFill="1" applyAlignment="1" applyProtection="1">
      <alignment horizontal="left" wrapText="1"/>
    </xf>
    <xf numFmtId="37" fontId="3" fillId="0" borderId="0" xfId="0" applyFont="1" applyFill="1" applyAlignment="1" applyProtection="1">
      <alignment horizontal="left" wrapText="1"/>
    </xf>
    <xf numFmtId="9" fontId="0" fillId="0" borderId="0" xfId="13" applyFont="1" applyFill="1" applyBorder="1" applyAlignment="1">
      <alignment horizontal="center"/>
    </xf>
    <xf numFmtId="185" fontId="0" fillId="0" borderId="0" xfId="1" applyNumberFormat="1" applyFont="1" applyFill="1"/>
    <xf numFmtId="43" fontId="0" fillId="0" borderId="0" xfId="1" applyFont="1" applyFill="1"/>
    <xf numFmtId="37" fontId="0" fillId="0" borderId="7" xfId="0" applyFill="1" applyBorder="1"/>
    <xf numFmtId="37" fontId="5" fillId="0" borderId="0" xfId="0" applyFont="1" applyFill="1" applyAlignment="1" applyProtection="1">
      <alignment horizontal="left"/>
    </xf>
    <xf numFmtId="187" fontId="0" fillId="0" borderId="0" xfId="1" applyNumberFormat="1" applyFont="1" applyFill="1"/>
    <xf numFmtId="187" fontId="3" fillId="0" borderId="0" xfId="1" applyNumberFormat="1" applyFont="1" applyFill="1"/>
    <xf numFmtId="43" fontId="3" fillId="0" borderId="0" xfId="1" applyFont="1" applyFill="1"/>
    <xf numFmtId="9" fontId="3" fillId="0" borderId="0" xfId="1" applyNumberFormat="1" applyFont="1" applyFill="1" applyAlignment="1">
      <alignment horizontal="center"/>
    </xf>
    <xf numFmtId="183" fontId="44" fillId="0" borderId="0" xfId="0" applyNumberFormat="1" applyFont="1" applyAlignment="1" applyProtection="1">
      <alignment horizontal="left"/>
      <protection locked="0"/>
    </xf>
    <xf numFmtId="0" fontId="44" fillId="0" borderId="0" xfId="0" applyNumberFormat="1" applyFont="1" applyAlignment="1">
      <alignment horizontal="center"/>
    </xf>
    <xf numFmtId="185" fontId="43" fillId="0" borderId="0" xfId="1" applyNumberFormat="1" applyFont="1" applyFill="1"/>
    <xf numFmtId="185" fontId="0" fillId="0" borderId="0" xfId="1" applyNumberFormat="1" applyFont="1" applyFill="1" applyProtection="1"/>
    <xf numFmtId="185" fontId="0" fillId="0" borderId="5" xfId="1" applyNumberFormat="1" applyFont="1" applyFill="1" applyBorder="1" applyProtection="1"/>
    <xf numFmtId="185" fontId="8" fillId="0" borderId="0" xfId="1" applyNumberFormat="1" applyFont="1" applyFill="1" applyAlignment="1">
      <alignment horizontal="right"/>
    </xf>
    <xf numFmtId="37" fontId="37" fillId="0" borderId="0" xfId="0" applyFont="1" applyFill="1" applyBorder="1" applyAlignment="1">
      <alignment horizontal="right"/>
    </xf>
    <xf numFmtId="37" fontId="0" fillId="0" borderId="0" xfId="0" applyFill="1" applyAlignment="1" applyProtection="1">
      <alignment horizontal="left"/>
    </xf>
    <xf numFmtId="37" fontId="48" fillId="0" borderId="0" xfId="0" applyFont="1"/>
    <xf numFmtId="180" fontId="0" fillId="0" borderId="0" xfId="0" applyNumberFormat="1" applyFont="1" applyFill="1" applyAlignment="1">
      <alignment horizontal="center"/>
    </xf>
    <xf numFmtId="49" fontId="0" fillId="0" borderId="5" xfId="0" applyNumberFormat="1" applyFont="1" applyFill="1" applyBorder="1" applyAlignment="1">
      <alignment horizontal="center"/>
    </xf>
    <xf numFmtId="37" fontId="0" fillId="0" borderId="0" xfId="0" applyNumberFormat="1" applyFont="1" applyFill="1"/>
    <xf numFmtId="37" fontId="0" fillId="0" borderId="7" xfId="0" applyNumberFormat="1" applyFont="1" applyFill="1" applyBorder="1"/>
    <xf numFmtId="37" fontId="0" fillId="0" borderId="19" xfId="0" applyNumberFormat="1" applyFont="1" applyFill="1" applyBorder="1"/>
    <xf numFmtId="37" fontId="0" fillId="0" borderId="10" xfId="0" applyNumberFormat="1" applyFont="1" applyFill="1" applyBorder="1"/>
    <xf numFmtId="180" fontId="0" fillId="0" borderId="2" xfId="0" applyNumberFormat="1" applyFont="1" applyFill="1" applyBorder="1" applyAlignment="1" applyProtection="1">
      <alignment horizontal="center"/>
    </xf>
    <xf numFmtId="37" fontId="12" fillId="0" borderId="2" xfId="0" applyFont="1" applyFill="1" applyBorder="1"/>
    <xf numFmtId="37" fontId="0" fillId="0" borderId="0" xfId="0" quotePrefix="1"/>
    <xf numFmtId="10" fontId="43" fillId="0" borderId="0" xfId="13" applyNumberFormat="1" applyFont="1"/>
    <xf numFmtId="37" fontId="0" fillId="0" borderId="5" xfId="0" applyNumberFormat="1" applyFont="1" applyFill="1" applyBorder="1"/>
    <xf numFmtId="37" fontId="0" fillId="0" borderId="2" xfId="0" applyNumberFormat="1" applyFont="1" applyFill="1" applyBorder="1" applyProtection="1">
      <protection locked="0"/>
    </xf>
    <xf numFmtId="37" fontId="0" fillId="0" borderId="0" xfId="0" quotePrefix="1" applyFont="1" applyAlignment="1">
      <alignment horizontal="center"/>
    </xf>
    <xf numFmtId="37" fontId="0" fillId="0" borderId="7" xfId="0" applyFont="1" applyBorder="1"/>
    <xf numFmtId="37" fontId="51" fillId="0" borderId="0" xfId="0" applyFont="1"/>
    <xf numFmtId="37" fontId="0" fillId="0" borderId="2" xfId="0" applyFont="1" applyFill="1" applyBorder="1" applyAlignment="1" applyProtection="1">
      <alignment horizontal="center"/>
    </xf>
    <xf numFmtId="169" fontId="28" fillId="0" borderId="0" xfId="13" applyNumberFormat="1" applyFont="1" applyFill="1"/>
    <xf numFmtId="5" fontId="37" fillId="0" borderId="10" xfId="0" applyNumberFormat="1" applyFont="1" applyFill="1" applyBorder="1"/>
    <xf numFmtId="5" fontId="37" fillId="0" borderId="0" xfId="0" applyNumberFormat="1" applyFont="1" applyFill="1" applyBorder="1"/>
    <xf numFmtId="37" fontId="3" fillId="0" borderId="0" xfId="0" applyFont="1" applyFill="1" applyAlignment="1">
      <alignment horizontal="left" indent="2"/>
    </xf>
    <xf numFmtId="37" fontId="3" fillId="0" borderId="0" xfId="0" applyFont="1" applyFill="1" applyAlignment="1"/>
    <xf numFmtId="10" fontId="3" fillId="0" borderId="0" xfId="13" applyNumberFormat="1" applyFont="1" applyFill="1" applyAlignment="1"/>
    <xf numFmtId="37" fontId="13" fillId="0" borderId="0" xfId="0" applyFont="1" applyFill="1"/>
    <xf numFmtId="37" fontId="0" fillId="0" borderId="0" xfId="0" applyAlignment="1">
      <alignment horizontal="center"/>
    </xf>
    <xf numFmtId="10" fontId="0" fillId="0" borderId="0" xfId="0" applyNumberFormat="1" applyFont="1" applyFill="1" applyAlignment="1" applyProtection="1">
      <alignment horizontal="center"/>
    </xf>
    <xf numFmtId="37" fontId="0" fillId="0" borderId="0" xfId="0" quotePrefix="1" applyFont="1" applyFill="1"/>
    <xf numFmtId="37" fontId="43" fillId="0" borderId="0" xfId="0" applyNumberFormat="1" applyFont="1" applyProtection="1"/>
    <xf numFmtId="10" fontId="43" fillId="0" borderId="0" xfId="13" applyNumberFormat="1" applyFont="1" applyFill="1" applyAlignment="1">
      <alignment horizontal="center"/>
    </xf>
    <xf numFmtId="37" fontId="4" fillId="0" borderId="5" xfId="0" applyFont="1" applyBorder="1"/>
    <xf numFmtId="182" fontId="0" fillId="0" borderId="0" xfId="13" applyNumberFormat="1" applyFont="1" applyBorder="1" applyAlignment="1" applyProtection="1">
      <alignment horizontal="center"/>
    </xf>
    <xf numFmtId="182" fontId="0" fillId="0" borderId="7" xfId="13" applyNumberFormat="1" applyFont="1" applyBorder="1" applyAlignment="1" applyProtection="1">
      <alignment horizontal="center"/>
    </xf>
    <xf numFmtId="37" fontId="13" fillId="0" borderId="0" xfId="0" applyFont="1" applyAlignment="1" applyProtection="1">
      <alignment horizontal="left"/>
    </xf>
    <xf numFmtId="37" fontId="52" fillId="0" borderId="0" xfId="0" applyFont="1"/>
    <xf numFmtId="37" fontId="52" fillId="0" borderId="0" xfId="0" applyNumberFormat="1" applyFont="1" applyProtection="1"/>
    <xf numFmtId="37" fontId="52" fillId="0" borderId="0" xfId="0" applyNumberFormat="1" applyFont="1" applyFill="1" applyProtection="1"/>
    <xf numFmtId="185" fontId="52" fillId="0" borderId="0" xfId="1" applyNumberFormat="1" applyFont="1" applyFill="1" applyProtection="1"/>
    <xf numFmtId="37" fontId="0" fillId="0" borderId="0" xfId="0" applyAlignment="1">
      <alignment horizontal="center"/>
    </xf>
    <xf numFmtId="37" fontId="43" fillId="0" borderId="0" xfId="0" applyFont="1" applyFill="1"/>
    <xf numFmtId="37" fontId="54" fillId="0" borderId="0" xfId="0" applyFont="1" applyAlignment="1">
      <alignment horizontal="right"/>
    </xf>
    <xf numFmtId="37" fontId="54" fillId="0" borderId="0" xfId="0" applyFont="1"/>
    <xf numFmtId="37" fontId="0" fillId="0" borderId="0" xfId="0" applyFont="1" applyBorder="1" applyAlignment="1" applyProtection="1">
      <alignment horizontal="left" indent="1"/>
      <protection locked="0"/>
    </xf>
    <xf numFmtId="182" fontId="3" fillId="0" borderId="7" xfId="2" applyNumberFormat="1" applyFont="1" applyFill="1" applyBorder="1" applyProtection="1"/>
    <xf numFmtId="182" fontId="12" fillId="0" borderId="6" xfId="2" applyNumberFormat="1" applyFont="1" applyFill="1" applyBorder="1" applyProtection="1"/>
    <xf numFmtId="37" fontId="0" fillId="0" borderId="0" xfId="0" applyFill="1" applyAlignment="1">
      <alignment horizontal="center"/>
    </xf>
    <xf numFmtId="37" fontId="8" fillId="0" borderId="0" xfId="0" applyFont="1" applyAlignment="1" applyProtection="1">
      <alignment horizontal="right"/>
    </xf>
    <xf numFmtId="37" fontId="8" fillId="0" borderId="2" xfId="0" applyFont="1" applyBorder="1" applyAlignment="1" applyProtection="1">
      <alignment horizontal="right"/>
    </xf>
    <xf numFmtId="37" fontId="12" fillId="0" borderId="0" xfId="0" applyFont="1" applyAlignment="1" applyProtection="1">
      <alignment horizontal="centerContinuous"/>
    </xf>
    <xf numFmtId="169" fontId="43" fillId="0" borderId="0" xfId="0" applyNumberFormat="1" applyFont="1" applyProtection="1"/>
    <xf numFmtId="37" fontId="43" fillId="0" borderId="0" xfId="0" applyNumberFormat="1" applyFont="1" applyProtection="1">
      <protection locked="0"/>
    </xf>
    <xf numFmtId="10" fontId="43" fillId="0" borderId="0" xfId="0" applyNumberFormat="1" applyFont="1" applyProtection="1"/>
    <xf numFmtId="37" fontId="0" fillId="0" borderId="0" xfId="0" applyNumberFormat="1" applyFont="1" applyFill="1" applyBorder="1" applyProtection="1"/>
    <xf numFmtId="37" fontId="0" fillId="0" borderId="0" xfId="0" applyNumberFormat="1" applyFont="1" applyFill="1" applyAlignment="1" applyProtection="1">
      <alignment horizontal="right"/>
    </xf>
    <xf numFmtId="39" fontId="0" fillId="0" borderId="0" xfId="0" applyNumberFormat="1" applyFont="1" applyFill="1" applyProtection="1"/>
    <xf numFmtId="9" fontId="0" fillId="0" borderId="0" xfId="13" applyFont="1" applyFill="1" applyProtection="1"/>
    <xf numFmtId="173" fontId="0" fillId="0" borderId="0" xfId="0" applyNumberFormat="1" applyFont="1" applyFill="1" applyProtection="1"/>
    <xf numFmtId="173" fontId="0" fillId="0" borderId="0" xfId="0" applyNumberFormat="1" applyFont="1" applyFill="1" applyAlignment="1" applyProtection="1">
      <alignment horizontal="right"/>
    </xf>
    <xf numFmtId="0" fontId="0" fillId="0" borderId="2" xfId="0" applyNumberFormat="1" applyFont="1" applyFill="1" applyBorder="1" applyAlignment="1" applyProtection="1">
      <alignment horizontal="center"/>
    </xf>
    <xf numFmtId="37" fontId="46" fillId="0" borderId="0" xfId="0" applyFont="1" applyFill="1"/>
    <xf numFmtId="37" fontId="43" fillId="0" borderId="0" xfId="0" applyFont="1" applyAlignment="1"/>
    <xf numFmtId="39" fontId="43" fillId="0" borderId="0" xfId="0" applyNumberFormat="1" applyFont="1"/>
    <xf numFmtId="175" fontId="3" fillId="0" borderId="0" xfId="0" applyNumberFormat="1" applyFont="1" applyAlignment="1"/>
    <xf numFmtId="37" fontId="12" fillId="0" borderId="0" xfId="0" applyFont="1" applyFill="1" applyAlignment="1" applyProtection="1">
      <alignment horizontal="left"/>
    </xf>
    <xf numFmtId="37" fontId="12" fillId="0" borderId="0" xfId="0" applyFont="1" applyAlignment="1" applyProtection="1">
      <alignment horizontal="right"/>
    </xf>
    <xf numFmtId="37" fontId="12" fillId="0" borderId="0" xfId="0" applyFont="1" applyBorder="1" applyAlignment="1" applyProtection="1">
      <alignment horizontal="right"/>
    </xf>
    <xf numFmtId="37" fontId="12" fillId="0" borderId="5" xfId="0" applyFont="1" applyBorder="1"/>
    <xf numFmtId="37" fontId="4" fillId="0" borderId="0" xfId="0" applyFont="1" applyFill="1" applyAlignment="1"/>
    <xf numFmtId="37" fontId="3" fillId="0" borderId="0" xfId="0" applyFont="1" applyFill="1" applyAlignment="1" applyProtection="1"/>
    <xf numFmtId="180" fontId="8" fillId="0" borderId="0" xfId="0" applyNumberFormat="1" applyFont="1"/>
    <xf numFmtId="182" fontId="0" fillId="0" borderId="7" xfId="2" applyNumberFormat="1" applyFont="1" applyFill="1" applyBorder="1" applyProtection="1"/>
    <xf numFmtId="37" fontId="3" fillId="0" borderId="0" xfId="0" quotePrefix="1" applyFont="1" applyFill="1"/>
    <xf numFmtId="182" fontId="0" fillId="0" borderId="6" xfId="2" applyNumberFormat="1" applyFont="1" applyFill="1" applyBorder="1" applyProtection="1"/>
    <xf numFmtId="37" fontId="3" fillId="0" borderId="0" xfId="0" applyFont="1" applyAlignment="1" applyProtection="1">
      <alignment horizontal="center"/>
    </xf>
    <xf numFmtId="37" fontId="3" fillId="0" borderId="0" xfId="0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183" fontId="12" fillId="0" borderId="0" xfId="0" applyNumberFormat="1" applyFont="1" applyFill="1" applyAlignment="1" applyProtection="1">
      <alignment horizontal="center"/>
      <protection locked="0"/>
    </xf>
    <xf numFmtId="37" fontId="12" fillId="0" borderId="0" xfId="0" applyFont="1" applyFill="1" applyAlignment="1" applyProtection="1">
      <alignment horizontal="left" indent="2"/>
      <protection locked="0"/>
    </xf>
    <xf numFmtId="37" fontId="0" fillId="0" borderId="0" xfId="0" applyAlignment="1">
      <alignment horizontal="center"/>
    </xf>
    <xf numFmtId="182" fontId="3" fillId="0" borderId="0" xfId="2" applyNumberFormat="1" applyFont="1" applyFill="1" applyAlignment="1">
      <alignment horizontal="center"/>
    </xf>
    <xf numFmtId="185" fontId="3" fillId="0" borderId="0" xfId="1" applyNumberFormat="1" applyFont="1" applyFill="1" applyAlignment="1">
      <alignment horizontal="center"/>
    </xf>
    <xf numFmtId="3" fontId="0" fillId="0" borderId="0" xfId="0" quotePrefix="1" applyNumberFormat="1" applyFill="1" applyAlignment="1">
      <alignment horizontal="left"/>
    </xf>
    <xf numFmtId="3" fontId="0" fillId="0" borderId="0" xfId="0" quotePrefix="1" applyNumberFormat="1" applyFill="1" applyAlignment="1">
      <alignment horizontal="right"/>
    </xf>
    <xf numFmtId="10" fontId="0" fillId="0" borderId="0" xfId="13" quotePrefix="1" applyNumberFormat="1" applyFont="1" applyFill="1" applyAlignment="1">
      <alignment horizontal="right"/>
    </xf>
    <xf numFmtId="3" fontId="0" fillId="0" borderId="0" xfId="0" quotePrefix="1" applyNumberFormat="1" applyFill="1"/>
    <xf numFmtId="37" fontId="43" fillId="0" borderId="0" xfId="0" applyFont="1" applyFill="1" applyBorder="1" applyAlignment="1">
      <alignment horizontal="center"/>
    </xf>
    <xf numFmtId="10" fontId="43" fillId="5" borderId="0" xfId="0" applyNumberFormat="1" applyFont="1" applyFill="1" applyAlignment="1" applyProtection="1">
      <alignment horizontal="center"/>
    </xf>
    <xf numFmtId="37" fontId="37" fillId="4" borderId="0" xfId="0" applyFont="1" applyFill="1"/>
    <xf numFmtId="37" fontId="0" fillId="4" borderId="0" xfId="0" applyFill="1"/>
    <xf numFmtId="37" fontId="43" fillId="0" borderId="0" xfId="0" applyFont="1" applyBorder="1"/>
    <xf numFmtId="37" fontId="3" fillId="0" borderId="0" xfId="0" applyFont="1" applyAlignment="1" applyProtection="1">
      <alignment horizontal="center"/>
    </xf>
    <xf numFmtId="10" fontId="43" fillId="4" borderId="0" xfId="13" applyNumberFormat="1" applyFont="1" applyFill="1" applyAlignment="1">
      <alignment horizontal="center"/>
    </xf>
    <xf numFmtId="182" fontId="0" fillId="0" borderId="7" xfId="2" applyNumberFormat="1" applyFont="1" applyFill="1" applyBorder="1"/>
    <xf numFmtId="182" fontId="3" fillId="0" borderId="7" xfId="2" applyNumberFormat="1" applyFont="1" applyFill="1" applyBorder="1"/>
    <xf numFmtId="37" fontId="56" fillId="0" borderId="0" xfId="0" applyFont="1"/>
    <xf numFmtId="37" fontId="52" fillId="0" borderId="0" xfId="0" applyFont="1" applyAlignment="1" applyProtection="1">
      <alignment horizontal="center"/>
    </xf>
    <xf numFmtId="37" fontId="52" fillId="0" borderId="0" xfId="0" applyFont="1" applyFill="1"/>
    <xf numFmtId="182" fontId="52" fillId="0" borderId="0" xfId="2" applyNumberFormat="1" applyFont="1" applyBorder="1" applyProtection="1"/>
    <xf numFmtId="182" fontId="12" fillId="0" borderId="7" xfId="2" applyNumberFormat="1" applyFont="1" applyFill="1" applyBorder="1" applyProtection="1"/>
    <xf numFmtId="183" fontId="21" fillId="0" borderId="0" xfId="0" applyNumberFormat="1" applyFont="1" applyFill="1" applyAlignment="1">
      <alignment horizontal="left"/>
    </xf>
    <xf numFmtId="37" fontId="45" fillId="0" borderId="0" xfId="0" applyFont="1" applyFill="1"/>
    <xf numFmtId="37" fontId="43" fillId="0" borderId="0" xfId="0" quotePrefix="1" applyFont="1" applyFill="1"/>
    <xf numFmtId="37" fontId="12" fillId="0" borderId="7" xfId="0" applyNumberFormat="1" applyFont="1" applyFill="1" applyBorder="1" applyProtection="1"/>
    <xf numFmtId="37" fontId="52" fillId="0" borderId="0" xfId="0" applyFont="1" applyAlignment="1" applyProtection="1">
      <alignment horizontal="left"/>
    </xf>
    <xf numFmtId="37" fontId="57" fillId="0" borderId="0" xfId="0" applyFont="1"/>
    <xf numFmtId="37" fontId="57" fillId="0" borderId="0" xfId="0" quotePrefix="1" applyFont="1" applyAlignment="1">
      <alignment horizontal="center"/>
    </xf>
    <xf numFmtId="37" fontId="57" fillId="0" borderId="0" xfId="0" applyFont="1" applyAlignment="1" applyProtection="1">
      <alignment horizontal="center"/>
    </xf>
    <xf numFmtId="165" fontId="57" fillId="0" borderId="0" xfId="0" applyNumberFormat="1" applyFont="1" applyProtection="1"/>
    <xf numFmtId="10" fontId="57" fillId="0" borderId="0" xfId="0" applyNumberFormat="1" applyFont="1" applyFill="1" applyProtection="1"/>
    <xf numFmtId="37" fontId="58" fillId="0" borderId="0" xfId="0" applyNumberFormat="1" applyFont="1" applyBorder="1" applyProtection="1"/>
    <xf numFmtId="170" fontId="53" fillId="0" borderId="0" xfId="0" applyNumberFormat="1" applyFont="1" applyFill="1" applyProtection="1"/>
    <xf numFmtId="170" fontId="8" fillId="0" borderId="0" xfId="0" applyNumberFormat="1" applyFont="1" applyProtection="1"/>
    <xf numFmtId="37" fontId="5" fillId="0" borderId="0" xfId="0" applyFont="1" applyAlignment="1">
      <alignment horizontal="center"/>
    </xf>
    <xf numFmtId="37" fontId="52" fillId="0" borderId="0" xfId="0" applyFont="1" applyAlignment="1">
      <alignment horizontal="center"/>
    </xf>
    <xf numFmtId="37" fontId="57" fillId="0" borderId="0" xfId="0" applyFont="1" applyAlignment="1">
      <alignment horizontal="center"/>
    </xf>
    <xf numFmtId="37" fontId="57" fillId="0" borderId="0" xfId="0" applyFont="1" applyAlignment="1">
      <alignment horizontal="left"/>
    </xf>
    <xf numFmtId="185" fontId="57" fillId="0" borderId="0" xfId="1" applyNumberFormat="1" applyFont="1" applyFill="1" applyProtection="1"/>
    <xf numFmtId="37" fontId="57" fillId="0" borderId="0" xfId="0" applyFont="1" applyFill="1"/>
    <xf numFmtId="37" fontId="57" fillId="0" borderId="0" xfId="0" applyNumberFormat="1" applyFont="1" applyFill="1" applyProtection="1"/>
    <xf numFmtId="185" fontId="57" fillId="0" borderId="0" xfId="1" applyNumberFormat="1" applyFont="1" applyFill="1"/>
    <xf numFmtId="185" fontId="57" fillId="0" borderId="0" xfId="1" applyNumberFormat="1" applyFont="1"/>
    <xf numFmtId="185" fontId="57" fillId="0" borderId="0" xfId="1" applyNumberFormat="1" applyFont="1" applyProtection="1"/>
    <xf numFmtId="37" fontId="57" fillId="0" borderId="0" xfId="0" applyNumberFormat="1" applyFont="1" applyProtection="1"/>
    <xf numFmtId="10" fontId="57" fillId="0" borderId="0" xfId="0" applyNumberFormat="1" applyFont="1" applyBorder="1" applyProtection="1"/>
    <xf numFmtId="37" fontId="4" fillId="0" borderId="0" xfId="0" applyFont="1" applyFill="1" applyAlignment="1">
      <alignment horizontal="center"/>
    </xf>
    <xf numFmtId="3" fontId="43" fillId="0" borderId="0" xfId="0" applyNumberFormat="1" applyFont="1"/>
    <xf numFmtId="37" fontId="59" fillId="0" borderId="0" xfId="0" applyFont="1" applyFill="1"/>
    <xf numFmtId="37" fontId="0" fillId="5" borderId="0" xfId="0" applyFill="1" applyAlignment="1">
      <alignment horizontal="left" indent="1"/>
    </xf>
    <xf numFmtId="173" fontId="57" fillId="0" borderId="0" xfId="13" applyNumberFormat="1" applyFont="1" applyProtection="1"/>
    <xf numFmtId="37" fontId="43" fillId="0" borderId="0" xfId="0" applyFont="1" applyFill="1" applyBorder="1"/>
    <xf numFmtId="10" fontId="0" fillId="4" borderId="0" xfId="13" applyNumberFormat="1" applyFont="1" applyFill="1" applyAlignment="1">
      <alignment horizontal="center"/>
    </xf>
    <xf numFmtId="37" fontId="3" fillId="0" borderId="0" xfId="0" applyFont="1" applyAlignment="1">
      <alignment horizontal="center"/>
    </xf>
    <xf numFmtId="37" fontId="8" fillId="0" borderId="7" xfId="0" applyFont="1" applyBorder="1" applyAlignment="1" applyProtection="1">
      <alignment horizontal="center"/>
    </xf>
    <xf numFmtId="37" fontId="0" fillId="0" borderId="0" xfId="0" applyFont="1" applyFill="1" applyAlignment="1">
      <alignment horizontal="center"/>
    </xf>
    <xf numFmtId="37" fontId="52" fillId="0" borderId="0" xfId="0" applyFont="1" applyAlignment="1">
      <alignment horizontal="right"/>
    </xf>
    <xf numFmtId="37" fontId="52" fillId="0" borderId="0" xfId="0" quotePrefix="1" applyNumberFormat="1" applyFont="1" applyProtection="1"/>
    <xf numFmtId="37" fontId="3" fillId="6" borderId="0" xfId="0" applyFont="1" applyFill="1"/>
    <xf numFmtId="37" fontId="3" fillId="6" borderId="0" xfId="0" applyFont="1" applyFill="1" applyBorder="1"/>
    <xf numFmtId="37" fontId="3" fillId="6" borderId="0" xfId="0" applyNumberFormat="1" applyFont="1" applyFill="1" applyProtection="1"/>
    <xf numFmtId="37" fontId="3" fillId="6" borderId="0" xfId="0" applyNumberFormat="1" applyFont="1" applyFill="1" applyBorder="1" applyProtection="1"/>
    <xf numFmtId="10" fontId="3" fillId="6" borderId="0" xfId="0" applyNumberFormat="1" applyFont="1" applyFill="1" applyBorder="1" applyProtection="1"/>
    <xf numFmtId="10" fontId="3" fillId="6" borderId="0" xfId="13" applyNumberFormat="1" applyFont="1" applyFill="1" applyBorder="1"/>
    <xf numFmtId="166" fontId="3" fillId="6" borderId="0" xfId="0" applyNumberFormat="1" applyFont="1" applyFill="1" applyBorder="1" applyProtection="1"/>
    <xf numFmtId="182" fontId="4" fillId="6" borderId="0" xfId="2" applyNumberFormat="1" applyFont="1" applyFill="1" applyProtection="1"/>
    <xf numFmtId="37" fontId="8" fillId="6" borderId="0" xfId="0" applyFont="1" applyFill="1" applyBorder="1"/>
    <xf numFmtId="37" fontId="3" fillId="5" borderId="0" xfId="5" applyFont="1" applyFill="1" applyAlignment="1" applyProtection="1">
      <alignment horizontal="left"/>
    </xf>
    <xf numFmtId="182" fontId="3" fillId="5" borderId="0" xfId="2" applyNumberFormat="1" applyFont="1" applyFill="1" applyProtection="1"/>
    <xf numFmtId="37" fontId="3" fillId="5" borderId="0" xfId="5" applyFont="1" applyFill="1" applyProtection="1"/>
    <xf numFmtId="37" fontId="3" fillId="5" borderId="0" xfId="5" applyFill="1" applyAlignment="1" applyProtection="1">
      <alignment horizontal="left"/>
    </xf>
    <xf numFmtId="37" fontId="3" fillId="5" borderId="0" xfId="5" applyFill="1" applyProtection="1"/>
    <xf numFmtId="37" fontId="3" fillId="5" borderId="0" xfId="5" applyFont="1" applyFill="1"/>
    <xf numFmtId="37" fontId="3" fillId="5" borderId="0" xfId="5" applyFill="1"/>
    <xf numFmtId="37" fontId="0" fillId="5" borderId="0" xfId="0" applyFont="1" applyFill="1" applyAlignment="1" applyProtection="1">
      <alignment horizontal="left"/>
    </xf>
    <xf numFmtId="182" fontId="0" fillId="5" borderId="0" xfId="2" applyNumberFormat="1" applyFont="1" applyFill="1" applyProtection="1"/>
    <xf numFmtId="37" fontId="0" fillId="5" borderId="0" xfId="0" applyFont="1" applyFill="1" applyProtection="1"/>
    <xf numFmtId="37" fontId="0" fillId="0" borderId="0" xfId="0" applyFont="1" applyFill="1" applyAlignment="1" applyProtection="1">
      <alignment horizontal="left"/>
      <protection locked="0"/>
    </xf>
    <xf numFmtId="37" fontId="3" fillId="0" borderId="0" xfId="0" applyFont="1" applyAlignment="1" applyProtection="1">
      <alignment horizontal="center"/>
    </xf>
    <xf numFmtId="185" fontId="37" fillId="0" borderId="10" xfId="0" applyNumberFormat="1" applyFont="1" applyBorder="1"/>
    <xf numFmtId="37" fontId="0" fillId="0" borderId="0" xfId="0" applyAlignment="1">
      <alignment horizontal="center"/>
    </xf>
    <xf numFmtId="0" fontId="25" fillId="0" borderId="0" xfId="0" applyNumberFormat="1" applyFont="1" applyFill="1" applyBorder="1"/>
    <xf numFmtId="37" fontId="0" fillId="0" borderId="0" xfId="0"/>
    <xf numFmtId="37" fontId="0" fillId="0" borderId="0" xfId="0"/>
    <xf numFmtId="37" fontId="0" fillId="0" borderId="0" xfId="0"/>
    <xf numFmtId="37" fontId="0" fillId="0" borderId="0" xfId="0"/>
    <xf numFmtId="37" fontId="0" fillId="0" borderId="0" xfId="0"/>
    <xf numFmtId="37" fontId="46" fillId="0" borderId="0" xfId="0" applyFont="1"/>
    <xf numFmtId="37" fontId="0" fillId="0" borderId="0" xfId="0" applyAlignment="1">
      <alignment horizontal="center"/>
    </xf>
    <xf numFmtId="37" fontId="46" fillId="0" borderId="0" xfId="0" applyFont="1" applyFill="1" applyBorder="1" applyAlignment="1">
      <alignment horizontal="centerContinuous"/>
    </xf>
    <xf numFmtId="37" fontId="61" fillId="0" borderId="0" xfId="0" applyFont="1"/>
    <xf numFmtId="37" fontId="46" fillId="0" borderId="0" xfId="0" applyFont="1" applyBorder="1"/>
    <xf numFmtId="37" fontId="0" fillId="5" borderId="0" xfId="5" applyFont="1" applyFill="1" applyProtection="1"/>
    <xf numFmtId="37" fontId="46" fillId="0" borderId="0" xfId="0" applyNumberFormat="1" applyFont="1" applyProtection="1"/>
    <xf numFmtId="190" fontId="3" fillId="0" borderId="0" xfId="0" applyNumberFormat="1" applyFont="1"/>
    <xf numFmtId="37" fontId="0" fillId="0" borderId="0" xfId="0" applyFont="1" applyFill="1" applyBorder="1"/>
    <xf numFmtId="37" fontId="3" fillId="0" borderId="0" xfId="0" applyFont="1" applyAlignment="1" applyProtection="1">
      <alignment horizontal="center"/>
    </xf>
    <xf numFmtId="37" fontId="0" fillId="0" borderId="32" xfId="0" applyBorder="1"/>
    <xf numFmtId="37" fontId="3" fillId="0" borderId="32" xfId="0" applyFont="1" applyBorder="1" applyAlignment="1">
      <alignment horizontal="center"/>
    </xf>
    <xf numFmtId="37" fontId="3" fillId="0" borderId="32" xfId="0" applyFont="1" applyBorder="1"/>
    <xf numFmtId="37" fontId="0" fillId="0" borderId="0" xfId="0" applyFill="1" applyBorder="1"/>
    <xf numFmtId="37" fontId="12" fillId="0" borderId="0" xfId="0" applyFont="1" applyFill="1" applyAlignment="1" applyProtection="1">
      <alignment horizontal="left" indent="1"/>
    </xf>
    <xf numFmtId="37" fontId="61" fillId="0" borderId="0" xfId="0" applyNumberFormat="1" applyFont="1" applyFill="1" applyBorder="1" applyProtection="1">
      <protection locked="0"/>
    </xf>
    <xf numFmtId="37" fontId="3" fillId="0" borderId="0" xfId="0" applyFont="1" applyAlignment="1" applyProtection="1">
      <alignment horizontal="center"/>
    </xf>
    <xf numFmtId="37" fontId="3" fillId="0" borderId="0" xfId="0" applyFont="1" applyAlignment="1">
      <alignment horizontal="center"/>
    </xf>
    <xf numFmtId="37" fontId="14" fillId="0" borderId="0" xfId="0" applyFont="1" applyAlignment="1">
      <alignment horizontal="center"/>
    </xf>
    <xf numFmtId="37" fontId="3" fillId="0" borderId="32" xfId="0" applyFont="1" applyBorder="1" applyAlignment="1" applyProtection="1">
      <alignment horizontal="center"/>
    </xf>
    <xf numFmtId="37" fontId="3" fillId="0" borderId="32" xfId="0" applyFont="1" applyFill="1" applyBorder="1"/>
    <xf numFmtId="10" fontId="63" fillId="0" borderId="0" xfId="13" applyNumberFormat="1" applyFont="1" applyAlignment="1" applyProtection="1">
      <alignment horizontal="center"/>
    </xf>
    <xf numFmtId="37" fontId="63" fillId="0" borderId="0" xfId="0" applyFont="1"/>
    <xf numFmtId="37" fontId="3" fillId="0" borderId="19" xfId="0" applyFont="1" applyBorder="1"/>
    <xf numFmtId="10" fontId="63" fillId="0" borderId="0" xfId="13" applyNumberFormat="1" applyFont="1" applyFill="1" applyAlignment="1" applyProtection="1">
      <alignment horizontal="center"/>
    </xf>
    <xf numFmtId="37" fontId="63" fillId="0" borderId="0" xfId="0" applyFont="1" applyFill="1"/>
    <xf numFmtId="37" fontId="14" fillId="0" borderId="32" xfId="0" applyFont="1" applyBorder="1"/>
    <xf numFmtId="37" fontId="14" fillId="0" borderId="6" xfId="0" applyFont="1" applyBorder="1"/>
    <xf numFmtId="37" fontId="14" fillId="0" borderId="0" xfId="0" applyFont="1" applyFill="1" applyBorder="1"/>
    <xf numFmtId="37" fontId="14" fillId="0" borderId="10" xfId="0" applyFont="1" applyBorder="1"/>
    <xf numFmtId="37" fontId="65" fillId="0" borderId="0" xfId="0" applyFont="1"/>
    <xf numFmtId="10" fontId="3" fillId="0" borderId="0" xfId="13" applyNumberFormat="1" applyFont="1" applyFill="1"/>
    <xf numFmtId="37" fontId="14" fillId="0" borderId="7" xfId="0" applyFont="1" applyBorder="1"/>
    <xf numFmtId="37" fontId="3" fillId="0" borderId="7" xfId="0" applyFont="1" applyFill="1" applyBorder="1"/>
    <xf numFmtId="37" fontId="14" fillId="0" borderId="0" xfId="0" applyFont="1" applyBorder="1" applyAlignment="1">
      <alignment horizontal="left"/>
    </xf>
    <xf numFmtId="37" fontId="63" fillId="0" borderId="0" xfId="0" applyFont="1" applyAlignment="1">
      <alignment horizontal="center"/>
    </xf>
    <xf numFmtId="0" fontId="8" fillId="0" borderId="0" xfId="0" applyNumberFormat="1" applyFont="1" applyFill="1" applyAlignment="1">
      <alignment horizontal="center"/>
    </xf>
    <xf numFmtId="37" fontId="43" fillId="0" borderId="0" xfId="0" applyFont="1" applyFill="1" applyAlignment="1">
      <alignment horizontal="center"/>
    </xf>
    <xf numFmtId="37" fontId="25" fillId="0" borderId="0" xfId="0" applyFont="1" applyFill="1" applyBorder="1" applyAlignment="1">
      <alignment horizontal="left"/>
    </xf>
    <xf numFmtId="37" fontId="56" fillId="0" borderId="0" xfId="0" applyFont="1" applyFill="1"/>
    <xf numFmtId="37" fontId="8" fillId="0" borderId="0" xfId="0" applyFont="1" applyFill="1" applyAlignment="1" applyProtection="1">
      <alignment horizontal="left"/>
      <protection locked="0"/>
    </xf>
    <xf numFmtId="37" fontId="8" fillId="0" borderId="19" xfId="0" applyFont="1" applyFill="1" applyBorder="1" applyAlignment="1" applyProtection="1">
      <alignment horizontal="center"/>
      <protection locked="0"/>
    </xf>
    <xf numFmtId="37" fontId="0" fillId="0" borderId="0" xfId="0" applyFont="1" applyFill="1" applyBorder="1" applyAlignment="1" applyProtection="1">
      <alignment horizontal="left"/>
    </xf>
    <xf numFmtId="37" fontId="0" fillId="0" borderId="0" xfId="0" applyFont="1" applyFill="1" applyBorder="1" applyAlignment="1" applyProtection="1">
      <alignment horizontal="left" indent="2"/>
    </xf>
    <xf numFmtId="37" fontId="0" fillId="0" borderId="0" xfId="0" applyFont="1" applyFill="1" applyBorder="1" applyAlignment="1" applyProtection="1">
      <alignment horizontal="left" indent="5"/>
    </xf>
    <xf numFmtId="174" fontId="11" fillId="0" borderId="2" xfId="0" applyNumberFormat="1" applyFont="1" applyFill="1" applyBorder="1" applyProtection="1"/>
    <xf numFmtId="37" fontId="0" fillId="0" borderId="0" xfId="0" applyFill="1" applyAlignment="1">
      <alignment horizontal="center"/>
    </xf>
    <xf numFmtId="37" fontId="52" fillId="0" borderId="0" xfId="0" applyNumberFormat="1" applyFont="1" applyBorder="1" applyProtection="1"/>
    <xf numFmtId="37" fontId="67" fillId="0" borderId="0" xfId="0" applyFont="1" applyAlignment="1" applyProtection="1">
      <alignment horizontal="left" wrapText="1"/>
    </xf>
    <xf numFmtId="37" fontId="3" fillId="0" borderId="0" xfId="0" applyFont="1" applyAlignment="1">
      <alignment horizontal="center"/>
    </xf>
    <xf numFmtId="37" fontId="0" fillId="0" borderId="0" xfId="0" applyAlignment="1">
      <alignment horizontal="center"/>
    </xf>
    <xf numFmtId="37" fontId="0" fillId="0" borderId="0" xfId="0" applyAlignment="1">
      <alignment horizontal="center"/>
    </xf>
    <xf numFmtId="37" fontId="14" fillId="0" borderId="0" xfId="0" applyFont="1" applyFill="1" applyBorder="1" applyAlignment="1"/>
    <xf numFmtId="182" fontId="12" fillId="0" borderId="7" xfId="0" applyNumberFormat="1" applyFont="1" applyFill="1" applyBorder="1" applyProtection="1"/>
    <xf numFmtId="186" fontId="0" fillId="0" borderId="0" xfId="0" quotePrefix="1" applyNumberFormat="1"/>
    <xf numFmtId="37" fontId="0" fillId="0" borderId="0" xfId="0" applyFill="1" applyAlignment="1">
      <alignment horizontal="center"/>
    </xf>
    <xf numFmtId="37" fontId="3" fillId="0" borderId="0" xfId="0" applyFont="1" applyFill="1" applyAlignment="1" applyProtection="1">
      <alignment horizontal="center"/>
    </xf>
    <xf numFmtId="37" fontId="12" fillId="0" borderId="0" xfId="0" applyFont="1" applyFill="1" applyAlignment="1" applyProtection="1">
      <alignment horizontal="center"/>
    </xf>
    <xf numFmtId="37" fontId="3" fillId="0" borderId="0" xfId="0" applyFont="1" applyFill="1" applyAlignment="1">
      <alignment horizontal="center"/>
    </xf>
    <xf numFmtId="37" fontId="3" fillId="0" borderId="0" xfId="0" applyFont="1" applyFill="1" applyAlignment="1" applyProtection="1">
      <alignment horizontal="center"/>
      <protection locked="0"/>
    </xf>
    <xf numFmtId="37" fontId="12" fillId="0" borderId="0" xfId="0" applyFont="1" applyFill="1" applyAlignment="1">
      <alignment horizontal="center"/>
    </xf>
    <xf numFmtId="37" fontId="0" fillId="0" borderId="0" xfId="0" applyFill="1" applyAlignment="1">
      <alignment horizontal="center"/>
    </xf>
    <xf numFmtId="37" fontId="3" fillId="0" borderId="0" xfId="0" applyFont="1" applyFill="1" applyAlignment="1" applyProtection="1">
      <alignment horizontal="center"/>
    </xf>
    <xf numFmtId="37" fontId="12" fillId="0" borderId="0" xfId="0" applyFont="1" applyFill="1" applyAlignment="1" applyProtection="1">
      <alignment horizontal="center"/>
    </xf>
    <xf numFmtId="37" fontId="3" fillId="0" borderId="0" xfId="0" applyFont="1" applyFill="1" applyAlignment="1">
      <alignment horizontal="center"/>
    </xf>
    <xf numFmtId="37" fontId="5" fillId="0" borderId="0" xfId="0" applyFont="1" applyFill="1" applyAlignment="1" applyProtection="1">
      <alignment horizontal="center"/>
    </xf>
    <xf numFmtId="37" fontId="12" fillId="0" borderId="0" xfId="0" applyFont="1" applyFill="1" applyAlignment="1">
      <alignment horizontal="center"/>
    </xf>
    <xf numFmtId="37" fontId="44" fillId="0" borderId="0" xfId="0" applyFont="1" applyFill="1" applyAlignment="1">
      <alignment horizontal="left"/>
    </xf>
    <xf numFmtId="37" fontId="8" fillId="0" borderId="23" xfId="0" applyFont="1" applyFill="1" applyBorder="1" applyAlignment="1">
      <alignment horizontal="center"/>
    </xf>
    <xf numFmtId="37" fontId="8" fillId="0" borderId="7" xfId="0" applyFont="1" applyFill="1" applyBorder="1" applyAlignment="1">
      <alignment horizontal="center"/>
    </xf>
    <xf numFmtId="37" fontId="8" fillId="0" borderId="7" xfId="0" applyFont="1" applyFill="1" applyBorder="1" applyAlignment="1" applyProtection="1">
      <alignment horizontal="center"/>
      <protection locked="0"/>
    </xf>
    <xf numFmtId="37" fontId="8" fillId="0" borderId="21" xfId="0" applyFont="1" applyFill="1" applyBorder="1" applyAlignment="1">
      <alignment horizontal="center"/>
    </xf>
    <xf numFmtId="37" fontId="8" fillId="0" borderId="5" xfId="0" applyFont="1" applyFill="1" applyBorder="1" applyAlignment="1">
      <alignment horizontal="center"/>
    </xf>
    <xf numFmtId="37" fontId="8" fillId="0" borderId="5" xfId="0" applyFont="1" applyFill="1" applyBorder="1" applyAlignment="1" applyProtection="1">
      <alignment horizontal="center"/>
      <protection locked="0"/>
    </xf>
    <xf numFmtId="37" fontId="8" fillId="0" borderId="22" xfId="0" applyFont="1" applyFill="1" applyBorder="1" applyAlignment="1">
      <alignment horizontal="center"/>
    </xf>
    <xf numFmtId="37" fontId="21" fillId="0" borderId="0" xfId="0" applyFont="1" applyFill="1" applyAlignment="1">
      <alignment horizontal="center"/>
    </xf>
    <xf numFmtId="37" fontId="21" fillId="0" borderId="0" xfId="0" quotePrefix="1" applyFont="1" applyFill="1"/>
    <xf numFmtId="37" fontId="5" fillId="0" borderId="0" xfId="0" applyFont="1" applyFill="1" applyAlignment="1">
      <alignment horizontal="centerContinuous"/>
    </xf>
    <xf numFmtId="37" fontId="55" fillId="0" borderId="0" xfId="0" applyFont="1" applyFill="1"/>
    <xf numFmtId="37" fontId="43" fillId="0" borderId="0" xfId="0" applyFont="1" applyFill="1" applyAlignment="1">
      <alignment horizontal="left"/>
    </xf>
    <xf numFmtId="37" fontId="8" fillId="0" borderId="2" xfId="0" applyFont="1" applyFill="1" applyBorder="1" applyAlignment="1" applyProtection="1">
      <alignment horizontal="left"/>
    </xf>
    <xf numFmtId="37" fontId="8" fillId="0" borderId="24" xfId="0" applyFont="1" applyFill="1" applyBorder="1" applyAlignment="1" applyProtection="1">
      <alignment horizontal="center"/>
      <protection locked="0"/>
    </xf>
    <xf numFmtId="185" fontId="21" fillId="0" borderId="0" xfId="0" applyNumberFormat="1" applyFont="1" applyFill="1"/>
    <xf numFmtId="0" fontId="27" fillId="0" borderId="0" xfId="6" applyFont="1" applyFill="1"/>
    <xf numFmtId="43" fontId="37" fillId="0" borderId="0" xfId="1" applyFont="1" applyFill="1"/>
    <xf numFmtId="37" fontId="37" fillId="0" borderId="0" xfId="0" applyFont="1" applyFill="1" applyAlignment="1">
      <alignment horizontal="center"/>
    </xf>
    <xf numFmtId="185" fontId="37" fillId="0" borderId="0" xfId="1" applyNumberFormat="1" applyFont="1" applyFill="1"/>
    <xf numFmtId="10" fontId="37" fillId="0" borderId="0" xfId="13" applyNumberFormat="1" applyFont="1" applyFill="1"/>
    <xf numFmtId="37" fontId="8" fillId="0" borderId="0" xfId="0" applyFont="1" applyFill="1" applyBorder="1" applyAlignment="1">
      <alignment horizontal="center"/>
    </xf>
    <xf numFmtId="5" fontId="28" fillId="0" borderId="0" xfId="1" applyNumberFormat="1" applyFont="1" applyFill="1" applyBorder="1"/>
    <xf numFmtId="183" fontId="21" fillId="0" borderId="0" xfId="0" applyNumberFormat="1" applyFont="1" applyFill="1" applyAlignment="1" applyProtection="1">
      <alignment horizontal="left"/>
      <protection locked="0"/>
    </xf>
    <xf numFmtId="0" fontId="21" fillId="0" borderId="0" xfId="0" quotePrefix="1" applyNumberFormat="1" applyFont="1" applyFill="1" applyAlignment="1">
      <alignment horizontal="center"/>
    </xf>
    <xf numFmtId="39" fontId="3" fillId="0" borderId="0" xfId="0" applyNumberFormat="1" applyFont="1" applyFill="1" applyAlignment="1">
      <alignment horizontal="center"/>
    </xf>
    <xf numFmtId="39" fontId="0" fillId="0" borderId="0" xfId="0" applyNumberFormat="1" applyFill="1"/>
    <xf numFmtId="39" fontId="3" fillId="0" borderId="0" xfId="0" applyNumberFormat="1" applyFont="1" applyFill="1"/>
    <xf numFmtId="39" fontId="43" fillId="0" borderId="0" xfId="0" applyNumberFormat="1" applyFont="1" applyFill="1"/>
    <xf numFmtId="37" fontId="3" fillId="0" borderId="23" xfId="0" applyFont="1" applyFill="1" applyBorder="1" applyAlignment="1">
      <alignment horizontal="center"/>
    </xf>
    <xf numFmtId="37" fontId="3" fillId="0" borderId="7" xfId="0" applyFont="1" applyFill="1" applyBorder="1" applyAlignment="1">
      <alignment horizontal="center"/>
    </xf>
    <xf numFmtId="37" fontId="3" fillId="0" borderId="7" xfId="0" applyFont="1" applyFill="1" applyBorder="1" applyAlignment="1" applyProtection="1">
      <alignment horizontal="center"/>
      <protection locked="0"/>
    </xf>
    <xf numFmtId="37" fontId="0" fillId="0" borderId="7" xfId="0" applyFill="1" applyBorder="1" applyAlignment="1">
      <alignment horizontal="center"/>
    </xf>
    <xf numFmtId="37" fontId="3" fillId="0" borderId="26" xfId="0" applyFont="1" applyFill="1" applyBorder="1" applyAlignment="1">
      <alignment horizontal="center"/>
    </xf>
    <xf numFmtId="37" fontId="3" fillId="0" borderId="21" xfId="0" applyFont="1" applyFill="1" applyBorder="1" applyAlignment="1">
      <alignment horizontal="center"/>
    </xf>
    <xf numFmtId="37" fontId="3" fillId="0" borderId="5" xfId="0" applyFont="1" applyFill="1" applyBorder="1" applyAlignment="1" applyProtection="1">
      <alignment horizontal="center"/>
      <protection locked="0"/>
    </xf>
    <xf numFmtId="37" fontId="3" fillId="0" borderId="22" xfId="0" applyFont="1" applyFill="1" applyBorder="1" applyAlignment="1">
      <alignment horizontal="center"/>
    </xf>
    <xf numFmtId="37" fontId="47" fillId="0" borderId="0" xfId="0" applyFont="1" applyFill="1"/>
    <xf numFmtId="180" fontId="0" fillId="0" borderId="0" xfId="0" applyNumberFormat="1" applyFill="1"/>
    <xf numFmtId="183" fontId="3" fillId="0" borderId="0" xfId="0" applyNumberFormat="1" applyFont="1" applyFill="1" applyAlignment="1" applyProtection="1">
      <alignment horizontal="left"/>
      <protection locked="0"/>
    </xf>
    <xf numFmtId="5" fontId="3" fillId="0" borderId="10" xfId="0" applyNumberFormat="1" applyFont="1" applyFill="1" applyBorder="1"/>
    <xf numFmtId="5" fontId="3" fillId="0" borderId="0" xfId="0" applyNumberFormat="1" applyFont="1" applyFill="1" applyBorder="1"/>
    <xf numFmtId="37" fontId="0" fillId="0" borderId="0" xfId="0" applyFill="1" applyAlignment="1">
      <alignment horizontal="right"/>
    </xf>
    <xf numFmtId="37" fontId="44" fillId="0" borderId="0" xfId="0" applyFont="1" applyFill="1"/>
    <xf numFmtId="37" fontId="3" fillId="0" borderId="7" xfId="0" applyFont="1" applyFill="1" applyBorder="1" applyAlignment="1" applyProtection="1">
      <alignment horizontal="left"/>
      <protection locked="0"/>
    </xf>
    <xf numFmtId="37" fontId="3" fillId="0" borderId="24" xfId="0" applyFont="1" applyFill="1" applyBorder="1" applyAlignment="1" applyProtection="1">
      <alignment horizontal="center"/>
      <protection locked="0"/>
    </xf>
    <xf numFmtId="37" fontId="3" fillId="0" borderId="5" xfId="0" applyFont="1" applyFill="1" applyBorder="1" applyAlignment="1" applyProtection="1">
      <alignment horizontal="left"/>
      <protection locked="0"/>
    </xf>
    <xf numFmtId="10" fontId="3" fillId="0" borderId="5" xfId="13" applyNumberFormat="1" applyFont="1" applyFill="1" applyBorder="1"/>
    <xf numFmtId="170" fontId="3" fillId="0" borderId="0" xfId="13" applyNumberFormat="1" applyFont="1" applyFill="1"/>
    <xf numFmtId="174" fontId="3" fillId="0" borderId="0" xfId="13" applyNumberFormat="1" applyFont="1" applyFill="1"/>
    <xf numFmtId="0" fontId="3" fillId="0" borderId="0" xfId="0" quotePrefix="1" applyNumberFormat="1" applyFont="1" applyFill="1" applyAlignment="1">
      <alignment horizontal="center"/>
    </xf>
    <xf numFmtId="10" fontId="3" fillId="0" borderId="0" xfId="13" applyNumberFormat="1" applyFont="1" applyFill="1" applyBorder="1"/>
    <xf numFmtId="182" fontId="8" fillId="0" borderId="0" xfId="2" applyNumberFormat="1" applyFont="1" applyFill="1"/>
    <xf numFmtId="9" fontId="8" fillId="0" borderId="0" xfId="13" applyFont="1" applyFill="1"/>
    <xf numFmtId="170" fontId="8" fillId="0" borderId="0" xfId="13" applyNumberFormat="1" applyFont="1" applyFill="1"/>
    <xf numFmtId="37" fontId="3" fillId="0" borderId="0" xfId="0" applyFont="1" applyFill="1" applyAlignment="1" applyProtection="1">
      <alignment horizontal="left"/>
      <protection locked="0"/>
    </xf>
    <xf numFmtId="37" fontId="3" fillId="0" borderId="2" xfId="0" applyFont="1" applyFill="1" applyBorder="1" applyAlignment="1" applyProtection="1">
      <protection locked="0"/>
    </xf>
    <xf numFmtId="9" fontId="3" fillId="0" borderId="0" xfId="13" applyFont="1" applyFill="1"/>
    <xf numFmtId="9" fontId="43" fillId="0" borderId="0" xfId="13" applyFont="1" applyFill="1"/>
    <xf numFmtId="170" fontId="43" fillId="0" borderId="0" xfId="13" applyNumberFormat="1" applyFont="1" applyFill="1"/>
    <xf numFmtId="185" fontId="3" fillId="0" borderId="19" xfId="1" applyNumberFormat="1" applyFont="1" applyFill="1" applyBorder="1"/>
    <xf numFmtId="40" fontId="32" fillId="0" borderId="0" xfId="8" applyFont="1" applyFill="1" applyBorder="1" applyAlignment="1">
      <alignment horizontal="left"/>
    </xf>
    <xf numFmtId="37" fontId="4" fillId="0" borderId="0" xfId="0" applyFont="1" applyFill="1"/>
    <xf numFmtId="37" fontId="0" fillId="0" borderId="0" xfId="0" applyFont="1" applyFill="1" applyAlignment="1" applyProtection="1">
      <alignment horizontal="right"/>
    </xf>
    <xf numFmtId="37" fontId="0" fillId="0" borderId="5" xfId="0" applyFill="1" applyBorder="1"/>
    <xf numFmtId="37" fontId="0" fillId="0" borderId="0" xfId="0" applyFill="1" applyAlignment="1" applyProtection="1">
      <alignment horizontal="right"/>
    </xf>
    <xf numFmtId="37" fontId="0" fillId="0" borderId="3" xfId="0" applyFont="1" applyFill="1" applyBorder="1"/>
    <xf numFmtId="37" fontId="0" fillId="0" borderId="29" xfId="0" applyFont="1" applyFill="1" applyBorder="1"/>
    <xf numFmtId="37" fontId="4" fillId="0" borderId="19" xfId="0" applyFont="1" applyFill="1" applyBorder="1" applyAlignment="1" applyProtection="1">
      <alignment horizontal="center"/>
    </xf>
    <xf numFmtId="37" fontId="0" fillId="0" borderId="24" xfId="0" applyFont="1" applyFill="1" applyBorder="1"/>
    <xf numFmtId="37" fontId="0" fillId="0" borderId="5" xfId="0" applyFill="1" applyBorder="1" applyAlignment="1">
      <alignment horizontal="center"/>
    </xf>
    <xf numFmtId="37" fontId="0" fillId="0" borderId="2" xfId="0" applyFont="1" applyFill="1" applyBorder="1"/>
    <xf numFmtId="37" fontId="14" fillId="0" borderId="0" xfId="0" applyFont="1" applyFill="1" applyBorder="1" applyAlignment="1" applyProtection="1">
      <alignment horizontal="left"/>
    </xf>
    <xf numFmtId="37" fontId="23" fillId="0" borderId="0" xfId="0" applyFont="1" applyFill="1" applyBorder="1" applyProtection="1"/>
    <xf numFmtId="37" fontId="0" fillId="0" borderId="0" xfId="0" applyFont="1" applyFill="1" applyBorder="1" applyAlignment="1">
      <alignment horizontal="center"/>
    </xf>
    <xf numFmtId="37" fontId="0" fillId="0" borderId="0" xfId="0" applyFont="1" applyFill="1" applyBorder="1" applyAlignment="1">
      <alignment horizontal="left" indent="1"/>
    </xf>
    <xf numFmtId="37" fontId="62" fillId="0" borderId="0" xfId="0" applyFont="1" applyFill="1"/>
    <xf numFmtId="9" fontId="0" fillId="0" borderId="0" xfId="13" applyFont="1" applyFill="1" applyBorder="1" applyAlignment="1" applyProtection="1">
      <alignment horizontal="center"/>
    </xf>
    <xf numFmtId="185" fontId="6" fillId="0" borderId="0" xfId="1" applyNumberFormat="1" applyFont="1" applyFill="1" applyBorder="1" applyProtection="1"/>
    <xf numFmtId="37" fontId="6" fillId="0" borderId="0" xfId="0" applyFont="1" applyFill="1" applyBorder="1" applyAlignment="1" applyProtection="1">
      <alignment horizontal="center"/>
    </xf>
    <xf numFmtId="37" fontId="6" fillId="0" borderId="0" xfId="0" applyFont="1" applyFill="1" applyBorder="1" applyProtection="1"/>
    <xf numFmtId="37" fontId="6" fillId="0" borderId="0" xfId="0" applyFont="1" applyFill="1" applyBorder="1" applyAlignment="1" applyProtection="1">
      <alignment horizontal="left"/>
    </xf>
    <xf numFmtId="10" fontId="0" fillId="0" borderId="0" xfId="13" applyNumberFormat="1" applyFont="1" applyFill="1" applyBorder="1" applyAlignment="1">
      <alignment horizontal="center"/>
    </xf>
    <xf numFmtId="37" fontId="14" fillId="0" borderId="0" xfId="0" applyFont="1" applyFill="1"/>
    <xf numFmtId="37" fontId="0" fillId="0" borderId="0" xfId="0" applyFont="1" applyFill="1" applyAlignment="1">
      <alignment horizontal="centerContinuous"/>
    </xf>
    <xf numFmtId="167" fontId="0" fillId="0" borderId="0" xfId="0" applyNumberFormat="1" applyFont="1" applyFill="1" applyAlignment="1" applyProtection="1">
      <alignment horizontal="centerContinuous"/>
    </xf>
    <xf numFmtId="168" fontId="0" fillId="0" borderId="0" xfId="0" applyNumberFormat="1" applyFont="1" applyFill="1" applyAlignment="1" applyProtection="1">
      <alignment horizontal="centerContinuous"/>
    </xf>
    <xf numFmtId="37" fontId="5" fillId="0" borderId="0" xfId="0" applyFont="1" applyFill="1" applyAlignment="1" applyProtection="1">
      <alignment horizontal="center"/>
      <protection locked="0"/>
    </xf>
    <xf numFmtId="37" fontId="0" fillId="0" borderId="2" xfId="0" applyFont="1" applyFill="1" applyBorder="1" applyAlignment="1" applyProtection="1">
      <alignment horizontal="left"/>
      <protection locked="0"/>
    </xf>
    <xf numFmtId="37" fontId="5" fillId="0" borderId="0" xfId="0" applyFont="1" applyFill="1" applyAlignment="1" applyProtection="1">
      <alignment horizontal="left"/>
      <protection locked="0"/>
    </xf>
    <xf numFmtId="169" fontId="0" fillId="0" borderId="0" xfId="0" applyNumberFormat="1" applyFont="1" applyFill="1" applyProtection="1"/>
    <xf numFmtId="37" fontId="0" fillId="0" borderId="0" xfId="0" applyFont="1" applyFill="1" applyAlignment="1">
      <alignment horizontal="right"/>
    </xf>
    <xf numFmtId="37" fontId="0" fillId="0" borderId="2" xfId="0" applyFont="1" applyFill="1" applyBorder="1" applyAlignment="1" applyProtection="1">
      <alignment horizontal="left"/>
    </xf>
    <xf numFmtId="37" fontId="0" fillId="0" borderId="5" xfId="0" applyFont="1" applyFill="1" applyBorder="1" applyAlignment="1" applyProtection="1">
      <alignment horizontal="right"/>
    </xf>
    <xf numFmtId="180" fontId="0" fillId="0" borderId="2" xfId="0" applyNumberFormat="1" applyFont="1" applyFill="1" applyBorder="1" applyAlignment="1" applyProtection="1">
      <alignment horizontal="center"/>
      <protection locked="0"/>
    </xf>
    <xf numFmtId="37" fontId="0" fillId="0" borderId="0" xfId="0" applyFont="1" applyFill="1" applyProtection="1"/>
    <xf numFmtId="37" fontId="35" fillId="0" borderId="0" xfId="0" applyFont="1" applyFill="1"/>
    <xf numFmtId="37" fontId="0" fillId="0" borderId="0" xfId="0" applyFont="1" applyFill="1" applyAlignment="1">
      <alignment horizontal="center"/>
    </xf>
    <xf numFmtId="37" fontId="0" fillId="0" borderId="0" xfId="0" applyFont="1" applyFill="1" applyAlignment="1" applyProtection="1">
      <alignment horizontal="right"/>
      <protection locked="0"/>
    </xf>
    <xf numFmtId="37" fontId="0" fillId="0" borderId="5" xfId="0" applyFont="1" applyFill="1" applyBorder="1"/>
    <xf numFmtId="37" fontId="0" fillId="0" borderId="5" xfId="0" applyFont="1" applyFill="1" applyBorder="1" applyAlignment="1">
      <alignment horizontal="right"/>
    </xf>
    <xf numFmtId="37" fontId="0" fillId="0" borderId="20" xfId="0" applyFont="1" applyFill="1" applyBorder="1" applyAlignment="1">
      <alignment horizontal="center"/>
    </xf>
    <xf numFmtId="49" fontId="0" fillId="0" borderId="5" xfId="0" applyNumberFormat="1" applyFont="1" applyFill="1" applyBorder="1" applyAlignment="1">
      <alignment horizontal="centerContinuous"/>
    </xf>
    <xf numFmtId="189" fontId="0" fillId="0" borderId="0" xfId="0" applyNumberFormat="1" applyFont="1" applyFill="1" applyBorder="1" applyAlignment="1">
      <alignment horizontal="center"/>
    </xf>
    <xf numFmtId="189" fontId="0" fillId="0" borderId="0" xfId="0" applyNumberFormat="1" applyFont="1" applyFill="1"/>
    <xf numFmtId="49" fontId="0" fillId="0" borderId="0" xfId="0" applyNumberFormat="1" applyFont="1" applyFill="1" applyAlignment="1">
      <alignment horizontal="center"/>
    </xf>
    <xf numFmtId="14" fontId="0" fillId="0" borderId="5" xfId="0" applyNumberFormat="1" applyFont="1" applyFill="1" applyBorder="1" applyAlignment="1">
      <alignment horizontal="center"/>
    </xf>
    <xf numFmtId="189" fontId="0" fillId="0" borderId="5" xfId="0" applyNumberFormat="1" applyFont="1" applyFill="1" applyBorder="1"/>
    <xf numFmtId="180" fontId="0" fillId="0" borderId="2" xfId="0" applyNumberFormat="1" applyFont="1" applyFill="1" applyBorder="1"/>
    <xf numFmtId="49" fontId="0" fillId="0" borderId="2" xfId="0" applyNumberFormat="1" applyFont="1" applyFill="1" applyBorder="1" applyAlignment="1" applyProtection="1">
      <alignment horizontal="center"/>
    </xf>
    <xf numFmtId="37" fontId="12" fillId="0" borderId="2" xfId="0" applyFont="1" applyFill="1" applyBorder="1" applyAlignment="1" applyProtection="1">
      <alignment horizontal="left"/>
    </xf>
    <xf numFmtId="37" fontId="12" fillId="0" borderId="5" xfId="0" applyFont="1" applyFill="1" applyBorder="1"/>
    <xf numFmtId="37" fontId="12" fillId="0" borderId="5" xfId="0" applyFont="1" applyFill="1" applyBorder="1" applyAlignment="1" applyProtection="1">
      <alignment horizontal="center"/>
    </xf>
    <xf numFmtId="37" fontId="13" fillId="0" borderId="5" xfId="0" applyFont="1" applyFill="1" applyBorder="1"/>
    <xf numFmtId="37" fontId="12" fillId="0" borderId="2" xfId="0" applyFont="1" applyFill="1" applyBorder="1" applyAlignment="1" applyProtection="1">
      <alignment horizontal="center"/>
    </xf>
    <xf numFmtId="180" fontId="12" fillId="0" borderId="2" xfId="0" applyNumberFormat="1" applyFont="1" applyFill="1" applyBorder="1" applyAlignment="1" applyProtection="1">
      <alignment horizontal="center"/>
    </xf>
    <xf numFmtId="180" fontId="12" fillId="0" borderId="2" xfId="0" applyNumberFormat="1" applyFont="1" applyFill="1" applyBorder="1"/>
    <xf numFmtId="14" fontId="12" fillId="0" borderId="5" xfId="0" applyNumberFormat="1" applyFont="1" applyFill="1" applyBorder="1" applyAlignment="1">
      <alignment horizontal="center"/>
    </xf>
    <xf numFmtId="189" fontId="12" fillId="0" borderId="5" xfId="0" applyNumberFormat="1" applyFont="1" applyFill="1" applyBorder="1"/>
    <xf numFmtId="49" fontId="12" fillId="0" borderId="2" xfId="0" applyNumberFormat="1" applyFont="1" applyFill="1" applyBorder="1" applyAlignment="1" applyProtection="1">
      <alignment horizontal="center"/>
    </xf>
    <xf numFmtId="37" fontId="3" fillId="0" borderId="0" xfId="0" applyFont="1" applyFill="1" applyAlignment="1" applyProtection="1">
      <alignment horizontal="right"/>
    </xf>
    <xf numFmtId="169" fontId="12" fillId="0" borderId="0" xfId="0" applyNumberFormat="1" applyFont="1" applyFill="1" applyProtection="1"/>
    <xf numFmtId="37" fontId="46" fillId="0" borderId="0" xfId="0" applyNumberFormat="1" applyFont="1" applyFill="1" applyProtection="1"/>
    <xf numFmtId="10" fontId="14" fillId="0" borderId="6" xfId="13" applyNumberFormat="1" applyFont="1" applyFill="1" applyBorder="1"/>
    <xf numFmtId="37" fontId="0" fillId="0" borderId="2" xfId="0" applyFont="1" applyFill="1" applyBorder="1" applyAlignment="1" applyProtection="1">
      <alignment horizontal="right"/>
    </xf>
    <xf numFmtId="37" fontId="0" fillId="0" borderId="0" xfId="0" applyFont="1" applyFill="1" applyBorder="1" applyAlignment="1" applyProtection="1">
      <alignment horizontal="right"/>
    </xf>
    <xf numFmtId="10" fontId="68" fillId="0" borderId="0" xfId="13" applyNumberFormat="1" applyFont="1" applyFill="1"/>
    <xf numFmtId="5" fontId="0" fillId="0" borderId="0" xfId="0" applyNumberFormat="1" applyFont="1" applyFill="1" applyProtection="1"/>
    <xf numFmtId="7" fontId="0" fillId="0" borderId="10" xfId="0" applyNumberFormat="1" applyFont="1" applyFill="1" applyBorder="1" applyProtection="1"/>
    <xf numFmtId="37" fontId="0" fillId="0" borderId="10" xfId="0" applyFont="1" applyFill="1" applyBorder="1"/>
    <xf numFmtId="37" fontId="5" fillId="0" borderId="0" xfId="0" applyFont="1" applyFill="1"/>
    <xf numFmtId="49" fontId="4" fillId="0" borderId="0" xfId="0" applyNumberFormat="1" applyFont="1" applyFill="1" applyBorder="1" applyAlignment="1">
      <alignment horizontal="centerContinuous"/>
    </xf>
    <xf numFmtId="49" fontId="0" fillId="0" borderId="0" xfId="0" applyNumberFormat="1" applyFont="1" applyFill="1" applyBorder="1" applyAlignment="1">
      <alignment horizontal="centerContinuous"/>
    </xf>
    <xf numFmtId="0" fontId="4" fillId="0" borderId="11" xfId="0" applyNumberFormat="1" applyFont="1" applyFill="1" applyBorder="1" applyAlignment="1">
      <alignment horizontal="centerContinuous"/>
    </xf>
    <xf numFmtId="0" fontId="0" fillId="0" borderId="12" xfId="0" applyNumberFormat="1" applyFont="1" applyFill="1" applyBorder="1" applyAlignment="1">
      <alignment horizontal="centerContinuous"/>
    </xf>
    <xf numFmtId="0" fontId="0" fillId="0" borderId="13" xfId="0" applyNumberFormat="1" applyFont="1" applyFill="1" applyBorder="1" applyAlignment="1">
      <alignment horizontal="centerContinuous"/>
    </xf>
    <xf numFmtId="37" fontId="0" fillId="0" borderId="14" xfId="0" applyFont="1" applyFill="1" applyBorder="1"/>
    <xf numFmtId="37" fontId="0" fillId="0" borderId="15" xfId="0" applyFont="1" applyFill="1" applyBorder="1" applyAlignment="1" applyProtection="1">
      <alignment horizontal="center"/>
    </xf>
    <xf numFmtId="37" fontId="0" fillId="0" borderId="16" xfId="0" applyFont="1" applyFill="1" applyBorder="1" applyAlignment="1" applyProtection="1">
      <alignment horizontal="center"/>
    </xf>
    <xf numFmtId="37" fontId="0" fillId="0" borderId="17" xfId="0" applyFont="1" applyFill="1" applyBorder="1"/>
    <xf numFmtId="37" fontId="0" fillId="0" borderId="17" xfId="0" applyFont="1" applyFill="1" applyBorder="1" applyAlignment="1" applyProtection="1">
      <alignment horizontal="center"/>
    </xf>
    <xf numFmtId="37" fontId="0" fillId="0" borderId="18" xfId="0" applyFont="1" applyFill="1" applyBorder="1" applyAlignment="1" applyProtection="1">
      <alignment horizontal="center"/>
    </xf>
    <xf numFmtId="10" fontId="0" fillId="0" borderId="0" xfId="13" applyNumberFormat="1" applyFont="1" applyFill="1" applyProtection="1"/>
    <xf numFmtId="10" fontId="0" fillId="0" borderId="5" xfId="0" applyNumberFormat="1" applyFont="1" applyFill="1" applyBorder="1" applyProtection="1"/>
    <xf numFmtId="10" fontId="0" fillId="0" borderId="5" xfId="13" applyNumberFormat="1" applyFont="1" applyFill="1" applyBorder="1" applyProtection="1"/>
    <xf numFmtId="10" fontId="0" fillId="0" borderId="0" xfId="0" applyNumberFormat="1" applyFont="1" applyFill="1"/>
    <xf numFmtId="10" fontId="0" fillId="0" borderId="2" xfId="0" applyNumberFormat="1" applyFont="1" applyFill="1" applyBorder="1" applyProtection="1"/>
    <xf numFmtId="10" fontId="0" fillId="0" borderId="2" xfId="13" applyNumberFormat="1" applyFont="1" applyFill="1" applyBorder="1" applyProtection="1"/>
    <xf numFmtId="37" fontId="0" fillId="0" borderId="6" xfId="0" applyNumberFormat="1" applyFont="1" applyFill="1" applyBorder="1" applyProtection="1"/>
    <xf numFmtId="10" fontId="0" fillId="0" borderId="6" xfId="0" applyNumberFormat="1" applyFont="1" applyFill="1" applyBorder="1" applyProtection="1"/>
    <xf numFmtId="170" fontId="0" fillId="0" borderId="0" xfId="13" applyNumberFormat="1" applyFont="1" applyFill="1" applyProtection="1"/>
    <xf numFmtId="10" fontId="12" fillId="0" borderId="0" xfId="0" applyNumberFormat="1" applyFont="1" applyFill="1" applyProtection="1"/>
    <xf numFmtId="9" fontId="0" fillId="0" borderId="0" xfId="0" applyNumberFormat="1" applyFont="1" applyFill="1"/>
    <xf numFmtId="182" fontId="0" fillId="0" borderId="10" xfId="2" applyNumberFormat="1" applyFont="1" applyFill="1" applyBorder="1"/>
    <xf numFmtId="10" fontId="0" fillId="0" borderId="6" xfId="13" applyNumberFormat="1" applyFont="1" applyFill="1" applyBorder="1"/>
    <xf numFmtId="37" fontId="49" fillId="0" borderId="0" xfId="0" applyFont="1" applyFill="1"/>
    <xf numFmtId="167" fontId="3" fillId="0" borderId="0" xfId="0" applyNumberFormat="1" applyFont="1" applyFill="1" applyProtection="1"/>
    <xf numFmtId="168" fontId="3" fillId="0" borderId="0" xfId="0" applyNumberFormat="1" applyFont="1" applyFill="1" applyProtection="1"/>
    <xf numFmtId="37" fontId="3" fillId="0" borderId="5" xfId="0" applyFont="1" applyFill="1" applyBorder="1" applyAlignment="1" applyProtection="1">
      <alignment horizontal="right"/>
    </xf>
    <xf numFmtId="37" fontId="0" fillId="0" borderId="7" xfId="0" applyNumberFormat="1" applyFont="1" applyFill="1" applyBorder="1" applyProtection="1"/>
    <xf numFmtId="37" fontId="0" fillId="0" borderId="2" xfId="0" applyFont="1" applyFill="1" applyBorder="1" applyProtection="1"/>
    <xf numFmtId="37" fontId="0" fillId="0" borderId="5" xfId="0" applyNumberFormat="1" applyFont="1" applyFill="1" applyBorder="1" applyProtection="1">
      <protection locked="0"/>
    </xf>
    <xf numFmtId="37" fontId="0" fillId="0" borderId="2" xfId="0" applyNumberFormat="1" applyFont="1" applyFill="1" applyBorder="1" applyAlignment="1" applyProtection="1">
      <alignment horizontal="right"/>
    </xf>
    <xf numFmtId="9" fontId="0" fillId="0" borderId="0" xfId="0" applyNumberFormat="1" applyFont="1" applyFill="1" applyAlignment="1" applyProtection="1">
      <alignment horizontal="right"/>
    </xf>
    <xf numFmtId="175" fontId="0" fillId="0" borderId="0" xfId="0" applyNumberFormat="1" applyFont="1" applyFill="1" applyProtection="1"/>
    <xf numFmtId="37" fontId="3" fillId="0" borderId="0" xfId="0" applyFont="1" applyFill="1" applyAlignment="1">
      <alignment horizontal="left" indent="1"/>
    </xf>
    <xf numFmtId="165" fontId="3" fillId="0" borderId="2" xfId="0" applyNumberFormat="1" applyFont="1" applyFill="1" applyBorder="1" applyProtection="1"/>
    <xf numFmtId="37" fontId="3" fillId="0" borderId="0" xfId="0" quotePrefix="1" applyFont="1" applyFill="1" applyAlignment="1">
      <alignment horizontal="center"/>
    </xf>
    <xf numFmtId="165" fontId="3" fillId="0" borderId="0" xfId="0" applyNumberFormat="1" applyFont="1" applyFill="1" applyProtection="1"/>
    <xf numFmtId="37" fontId="0" fillId="0" borderId="0" xfId="0" applyFill="1" applyBorder="1" applyAlignment="1">
      <alignment horizontal="center"/>
    </xf>
    <xf numFmtId="37" fontId="3" fillId="0" borderId="0" xfId="0" applyFont="1" applyFill="1" applyBorder="1" applyAlignment="1" applyProtection="1">
      <alignment horizontal="left"/>
    </xf>
    <xf numFmtId="37" fontId="3" fillId="0" borderId="0" xfId="0" applyFont="1" applyFill="1" applyBorder="1" applyAlignment="1" applyProtection="1">
      <alignment horizontal="right"/>
    </xf>
    <xf numFmtId="37" fontId="3" fillId="0" borderId="23" xfId="0" applyFont="1" applyFill="1" applyBorder="1" applyAlignment="1" applyProtection="1">
      <alignment horizontal="left"/>
    </xf>
    <xf numFmtId="37" fontId="3" fillId="0" borderId="7" xfId="0" applyFont="1" applyFill="1" applyBorder="1" applyAlignment="1" applyProtection="1">
      <alignment horizontal="center"/>
    </xf>
    <xf numFmtId="37" fontId="3" fillId="0" borderId="9" xfId="0" applyFont="1" applyFill="1" applyBorder="1" applyAlignment="1" applyProtection="1">
      <alignment horizontal="left"/>
    </xf>
    <xf numFmtId="37" fontId="0" fillId="0" borderId="9" xfId="0" applyFill="1" applyBorder="1"/>
    <xf numFmtId="37" fontId="3" fillId="0" borderId="8" xfId="0" applyFont="1" applyFill="1" applyBorder="1" applyAlignment="1" applyProtection="1">
      <alignment horizontal="left"/>
    </xf>
    <xf numFmtId="37" fontId="3" fillId="0" borderId="1" xfId="0" applyFont="1" applyFill="1" applyBorder="1" applyAlignment="1" applyProtection="1">
      <alignment horizontal="left"/>
    </xf>
    <xf numFmtId="37" fontId="3" fillId="0" borderId="8" xfId="0" applyFont="1" applyFill="1" applyBorder="1"/>
    <xf numFmtId="37" fontId="14" fillId="0" borderId="8" xfId="0" applyFont="1" applyFill="1" applyBorder="1" applyAlignment="1" applyProtection="1">
      <alignment horizontal="center"/>
    </xf>
    <xf numFmtId="37" fontId="3" fillId="0" borderId="21" xfId="0" applyFont="1" applyFill="1" applyBorder="1" applyAlignment="1" applyProtection="1">
      <alignment horizontal="center"/>
    </xf>
    <xf numFmtId="37" fontId="3" fillId="0" borderId="25" xfId="0" applyFont="1" applyFill="1" applyBorder="1" applyAlignment="1" applyProtection="1">
      <alignment horizontal="center"/>
    </xf>
    <xf numFmtId="0" fontId="0" fillId="0" borderId="0" xfId="0" applyNumberFormat="1" applyFill="1"/>
    <xf numFmtId="44" fontId="3" fillId="0" borderId="0" xfId="2" applyFont="1" applyFill="1"/>
    <xf numFmtId="43" fontId="3" fillId="0" borderId="0" xfId="1" applyFont="1" applyFill="1" applyAlignment="1" applyProtection="1">
      <alignment horizontal="left"/>
    </xf>
    <xf numFmtId="182" fontId="3" fillId="0" borderId="0" xfId="13" applyNumberFormat="1" applyFont="1" applyFill="1" applyAlignment="1">
      <alignment horizontal="center"/>
    </xf>
    <xf numFmtId="185" fontId="3" fillId="0" borderId="5" xfId="1" applyNumberFormat="1" applyFont="1" applyFill="1" applyBorder="1"/>
    <xf numFmtId="43" fontId="14" fillId="0" borderId="0" xfId="1" applyFont="1" applyFill="1" applyAlignment="1" applyProtection="1">
      <alignment horizontal="left"/>
    </xf>
    <xf numFmtId="0" fontId="3" fillId="0" borderId="0" xfId="1" applyNumberFormat="1" applyFont="1" applyFill="1" applyAlignment="1" applyProtection="1">
      <alignment horizontal="right"/>
    </xf>
    <xf numFmtId="185" fontId="0" fillId="0" borderId="5" xfId="1" applyNumberFormat="1" applyFont="1" applyFill="1" applyBorder="1"/>
    <xf numFmtId="0" fontId="8" fillId="0" borderId="0" xfId="1" applyNumberFormat="1" applyFont="1" applyFill="1" applyAlignment="1" applyProtection="1">
      <alignment horizontal="right"/>
    </xf>
    <xf numFmtId="43" fontId="8" fillId="0" borderId="0" xfId="1" applyFont="1" applyFill="1" applyAlignment="1" applyProtection="1">
      <alignment horizontal="left"/>
    </xf>
    <xf numFmtId="37" fontId="0" fillId="0" borderId="6" xfId="0" applyFill="1" applyBorder="1"/>
    <xf numFmtId="37" fontId="3" fillId="0" borderId="9" xfId="0" applyFont="1" applyFill="1" applyBorder="1"/>
    <xf numFmtId="37" fontId="3" fillId="0" borderId="1" xfId="0" applyFont="1" applyFill="1" applyBorder="1"/>
    <xf numFmtId="182" fontId="0" fillId="0" borderId="0" xfId="13" applyNumberFormat="1" applyFont="1" applyFill="1" applyAlignment="1">
      <alignment horizontal="center"/>
    </xf>
    <xf numFmtId="185" fontId="0" fillId="0" borderId="0" xfId="1" applyNumberFormat="1" applyFont="1" applyFill="1" applyBorder="1"/>
    <xf numFmtId="37" fontId="0" fillId="0" borderId="0" xfId="0" applyFill="1" applyAlignment="1">
      <alignment horizontal="left"/>
    </xf>
    <xf numFmtId="37" fontId="14" fillId="0" borderId="8" xfId="0" applyFont="1" applyFill="1" applyBorder="1" applyAlignment="1">
      <alignment horizontal="center"/>
    </xf>
    <xf numFmtId="37" fontId="14" fillId="0" borderId="21" xfId="0" applyFont="1" applyFill="1" applyBorder="1" applyAlignment="1" applyProtection="1">
      <alignment horizontal="center"/>
    </xf>
    <xf numFmtId="185" fontId="3" fillId="0" borderId="7" xfId="1" applyNumberFormat="1" applyFont="1" applyFill="1" applyBorder="1"/>
    <xf numFmtId="0" fontId="3" fillId="0" borderId="0" xfId="0" applyNumberFormat="1" applyFont="1" applyFill="1" applyAlignment="1" applyProtection="1">
      <alignment horizontal="left"/>
    </xf>
    <xf numFmtId="0" fontId="0" fillId="0" borderId="0" xfId="0" applyNumberFormat="1" applyFill="1" applyAlignment="1">
      <alignment horizontal="center"/>
    </xf>
    <xf numFmtId="187" fontId="3" fillId="0" borderId="0" xfId="1" applyNumberFormat="1" applyFont="1" applyFill="1" applyBorder="1"/>
    <xf numFmtId="185" fontId="0" fillId="0" borderId="7" xfId="1" applyNumberFormat="1" applyFont="1" applyFill="1" applyBorder="1"/>
    <xf numFmtId="37" fontId="0" fillId="0" borderId="19" xfId="0" applyFill="1" applyBorder="1"/>
    <xf numFmtId="37" fontId="3" fillId="0" borderId="2" xfId="0" applyFont="1" applyFill="1" applyBorder="1" applyAlignment="1">
      <alignment horizontal="center"/>
    </xf>
    <xf numFmtId="14" fontId="3" fillId="0" borderId="5" xfId="0" applyNumberFormat="1" applyFont="1" applyFill="1" applyBorder="1" applyAlignment="1" applyProtection="1">
      <alignment horizontal="center"/>
    </xf>
    <xf numFmtId="10" fontId="0" fillId="0" borderId="0" xfId="13" quotePrefix="1" applyNumberFormat="1" applyFont="1" applyFill="1" applyAlignment="1">
      <alignment horizontal="center"/>
    </xf>
    <xf numFmtId="182" fontId="3" fillId="0" borderId="0" xfId="2" applyNumberFormat="1" applyFont="1" applyFill="1" applyBorder="1" applyAlignment="1">
      <alignment horizontal="center"/>
    </xf>
    <xf numFmtId="43" fontId="3" fillId="0" borderId="0" xfId="1" applyFont="1" applyFill="1" applyBorder="1" applyAlignment="1">
      <alignment horizontal="center"/>
    </xf>
    <xf numFmtId="37" fontId="12" fillId="0" borderId="0" xfId="0" applyFont="1" applyFill="1" applyAlignment="1" applyProtection="1">
      <alignment horizontal="left" indent="2"/>
    </xf>
    <xf numFmtId="182" fontId="0" fillId="0" borderId="0" xfId="2" applyNumberFormat="1" applyFont="1" applyFill="1" applyAlignment="1">
      <alignment horizontal="right"/>
    </xf>
    <xf numFmtId="182" fontId="3" fillId="0" borderId="0" xfId="2" applyNumberFormat="1" applyFont="1" applyFill="1" applyBorder="1" applyAlignment="1">
      <alignment horizontal="right"/>
    </xf>
    <xf numFmtId="180" fontId="3" fillId="0" borderId="0" xfId="0" quotePrefix="1" applyNumberFormat="1" applyFont="1" applyFill="1" applyAlignment="1" applyProtection="1">
      <alignment horizontal="center"/>
    </xf>
    <xf numFmtId="190" fontId="3" fillId="0" borderId="0" xfId="0" applyNumberFormat="1" applyFont="1" applyFill="1"/>
    <xf numFmtId="10" fontId="3" fillId="0" borderId="0" xfId="0" applyNumberFormat="1" applyFont="1" applyFill="1"/>
    <xf numFmtId="167" fontId="12" fillId="0" borderId="0" xfId="0" applyNumberFormat="1" applyFont="1" applyAlignment="1" applyProtection="1">
      <alignment horizontal="centerContinuous"/>
    </xf>
    <xf numFmtId="168" fontId="12" fillId="0" borderId="0" xfId="0" applyNumberFormat="1" applyFont="1" applyAlignment="1" applyProtection="1">
      <alignment horizontal="centerContinuous"/>
    </xf>
    <xf numFmtId="37" fontId="12" fillId="0" borderId="0" xfId="0" applyFont="1" applyBorder="1" applyAlignment="1">
      <alignment horizontal="right"/>
    </xf>
    <xf numFmtId="37" fontId="12" fillId="0" borderId="2" xfId="0" applyFont="1" applyFill="1" applyBorder="1" applyAlignment="1">
      <alignment horizontal="right"/>
    </xf>
    <xf numFmtId="37" fontId="12" fillId="0" borderId="3" xfId="0" applyFont="1" applyBorder="1" applyAlignment="1" applyProtection="1">
      <alignment horizontal="center"/>
    </xf>
    <xf numFmtId="37" fontId="12" fillId="0" borderId="3" xfId="0" applyFont="1" applyBorder="1"/>
    <xf numFmtId="37" fontId="12" fillId="0" borderId="3" xfId="0" applyFont="1" applyBorder="1" applyProtection="1">
      <protection locked="0"/>
    </xf>
    <xf numFmtId="37" fontId="12" fillId="0" borderId="3" xfId="0" applyFont="1" applyFill="1" applyBorder="1" applyAlignment="1" applyProtection="1">
      <alignment horizontal="center"/>
    </xf>
    <xf numFmtId="37" fontId="12" fillId="0" borderId="3" xfId="0" applyFont="1" applyFill="1" applyBorder="1" applyProtection="1">
      <protection locked="0"/>
    </xf>
    <xf numFmtId="37" fontId="12" fillId="0" borderId="2" xfId="0" applyFont="1" applyBorder="1" applyAlignment="1" applyProtection="1">
      <alignment horizontal="center"/>
    </xf>
    <xf numFmtId="37" fontId="12" fillId="0" borderId="3" xfId="0" applyFont="1" applyFill="1" applyBorder="1"/>
    <xf numFmtId="0" fontId="12" fillId="0" borderId="0" xfId="0" applyNumberFormat="1" applyFont="1" applyAlignment="1" applyProtection="1">
      <alignment horizontal="left"/>
      <protection locked="0"/>
    </xf>
    <xf numFmtId="37" fontId="12" fillId="0" borderId="0" xfId="0" applyNumberFormat="1" applyFont="1" applyFill="1" applyProtection="1">
      <protection locked="0"/>
    </xf>
    <xf numFmtId="0" fontId="12" fillId="0" borderId="0" xfId="0" applyNumberFormat="1" applyFont="1" applyFill="1" applyAlignment="1" applyProtection="1">
      <alignment horizontal="left"/>
      <protection locked="0"/>
    </xf>
    <xf numFmtId="37" fontId="12" fillId="0" borderId="0" xfId="0" applyFont="1" applyFill="1" applyAlignment="1" applyProtection="1">
      <alignment horizontal="left"/>
      <protection locked="0"/>
    </xf>
    <xf numFmtId="0" fontId="12" fillId="0" borderId="0" xfId="0" quotePrefix="1" applyNumberFormat="1" applyFont="1" applyAlignment="1" applyProtection="1">
      <alignment horizontal="left"/>
      <protection locked="0"/>
    </xf>
    <xf numFmtId="37" fontId="12" fillId="0" borderId="0" xfId="0" applyFont="1" applyFill="1" applyProtection="1">
      <protection locked="0"/>
    </xf>
    <xf numFmtId="172" fontId="12" fillId="0" borderId="0" xfId="0" applyNumberFormat="1" applyFont="1" applyFill="1" applyProtection="1"/>
    <xf numFmtId="172" fontId="12" fillId="0" borderId="0" xfId="0" applyNumberFormat="1" applyFont="1" applyFill="1" applyProtection="1">
      <protection locked="0"/>
    </xf>
    <xf numFmtId="37" fontId="12" fillId="0" borderId="2" xfId="0" applyNumberFormat="1" applyFont="1" applyFill="1" applyBorder="1" applyProtection="1">
      <protection locked="0"/>
    </xf>
    <xf numFmtId="37" fontId="15" fillId="0" borderId="0" xfId="0" applyNumberFormat="1" applyFont="1" applyFill="1" applyProtection="1">
      <protection locked="0"/>
    </xf>
    <xf numFmtId="10" fontId="12" fillId="0" borderId="0" xfId="0" applyNumberFormat="1" applyFont="1" applyFill="1" applyProtection="1">
      <protection locked="0"/>
    </xf>
    <xf numFmtId="37" fontId="15" fillId="0" borderId="0" xfId="0" applyFont="1" applyFill="1"/>
    <xf numFmtId="37" fontId="12" fillId="0" borderId="0" xfId="0" applyNumberFormat="1" applyFont="1" applyProtection="1">
      <protection locked="0"/>
    </xf>
    <xf numFmtId="37" fontId="15" fillId="0" borderId="0" xfId="0" applyNumberFormat="1" applyFont="1" applyProtection="1"/>
    <xf numFmtId="172" fontId="12" fillId="0" borderId="0" xfId="0" applyNumberFormat="1" applyFont="1" applyProtection="1">
      <protection locked="0"/>
    </xf>
    <xf numFmtId="37" fontId="4" fillId="0" borderId="0" xfId="0" applyFont="1" applyFill="1" applyAlignment="1" applyProtection="1">
      <alignment horizontal="center"/>
    </xf>
    <xf numFmtId="37" fontId="14" fillId="0" borderId="5" xfId="0" applyFont="1" applyFill="1" applyBorder="1" applyAlignment="1" applyProtection="1">
      <alignment horizontal="left"/>
    </xf>
    <xf numFmtId="37" fontId="6" fillId="0" borderId="0" xfId="0" applyFont="1" applyFill="1" applyAlignment="1" applyProtection="1">
      <alignment horizontal="center"/>
    </xf>
    <xf numFmtId="37" fontId="0" fillId="0" borderId="0" xfId="0" applyFont="1" applyFill="1" applyAlignment="1" applyProtection="1">
      <alignment horizontal="left" indent="1"/>
    </xf>
    <xf numFmtId="9" fontId="0" fillId="0" borderId="0" xfId="13" quotePrefix="1" applyFont="1" applyFill="1" applyAlignment="1">
      <alignment horizontal="center"/>
    </xf>
    <xf numFmtId="0" fontId="0" fillId="0" borderId="0" xfId="0" applyNumberFormat="1" applyFont="1" applyFill="1" applyAlignment="1" applyProtection="1">
      <alignment horizontal="center"/>
    </xf>
    <xf numFmtId="37" fontId="12" fillId="0" borderId="0" xfId="0" applyFont="1" applyFill="1" applyBorder="1" applyAlignment="1" applyProtection="1">
      <alignment horizontal="left" indent="2"/>
    </xf>
    <xf numFmtId="10" fontId="3" fillId="0" borderId="0" xfId="13" applyNumberFormat="1" applyFont="1" applyFill="1" applyAlignment="1" applyProtection="1">
      <alignment horizontal="center"/>
    </xf>
    <xf numFmtId="37" fontId="0" fillId="0" borderId="0" xfId="0" applyFont="1" applyFill="1" applyAlignment="1" applyProtection="1">
      <alignment horizontal="left" indent="2"/>
    </xf>
    <xf numFmtId="37" fontId="0" fillId="0" borderId="0" xfId="0" applyFill="1" applyAlignment="1" applyProtection="1">
      <alignment horizontal="center"/>
    </xf>
    <xf numFmtId="37" fontId="4" fillId="0" borderId="0" xfId="0" applyFont="1" applyFill="1" applyBorder="1" applyAlignment="1" applyProtection="1">
      <alignment horizontal="center"/>
    </xf>
    <xf numFmtId="37" fontId="14" fillId="0" borderId="0" xfId="0" applyFont="1" applyFill="1" applyAlignment="1" applyProtection="1">
      <alignment horizontal="left" indent="1"/>
    </xf>
    <xf numFmtId="37" fontId="12" fillId="0" borderId="0" xfId="0" applyFont="1" applyFill="1" applyAlignment="1" applyProtection="1">
      <alignment horizontal="left" indent="3"/>
    </xf>
    <xf numFmtId="37" fontId="12" fillId="0" borderId="0" xfId="0" applyFont="1" applyFill="1" applyAlignment="1">
      <alignment horizontal="left" indent="1"/>
    </xf>
    <xf numFmtId="37" fontId="9" fillId="0" borderId="0" xfId="0" applyFont="1" applyFill="1" applyAlignment="1" applyProtection="1">
      <alignment horizontal="left"/>
    </xf>
    <xf numFmtId="37" fontId="44" fillId="0" borderId="0" xfId="0" applyFont="1" applyFill="1" applyAlignment="1" applyProtection="1">
      <alignment horizontal="left"/>
    </xf>
    <xf numFmtId="182" fontId="0" fillId="0" borderId="0" xfId="2" applyNumberFormat="1" applyFont="1" applyFill="1" applyBorder="1" applyAlignment="1" applyProtection="1">
      <alignment horizontal="center"/>
    </xf>
    <xf numFmtId="185" fontId="0" fillId="0" borderId="5" xfId="1" applyNumberFormat="1" applyFont="1" applyFill="1" applyBorder="1" applyAlignment="1" applyProtection="1">
      <alignment horizontal="center"/>
    </xf>
    <xf numFmtId="182" fontId="0" fillId="0" borderId="7" xfId="2" applyNumberFormat="1" applyFont="1" applyFill="1" applyBorder="1" applyAlignment="1" applyProtection="1">
      <alignment horizontal="center"/>
    </xf>
    <xf numFmtId="185" fontId="0" fillId="0" borderId="0" xfId="1" applyNumberFormat="1" applyFont="1" applyFill="1" applyBorder="1" applyAlignment="1">
      <alignment horizontal="center"/>
    </xf>
    <xf numFmtId="10" fontId="3" fillId="0" borderId="0" xfId="13" applyNumberFormat="1" applyFont="1" applyFill="1" applyBorder="1" applyAlignment="1" applyProtection="1">
      <alignment horizontal="center"/>
    </xf>
    <xf numFmtId="182" fontId="3" fillId="0" borderId="0" xfId="2" applyNumberFormat="1" applyFont="1" applyFill="1" applyBorder="1" applyAlignment="1" applyProtection="1">
      <alignment horizontal="center"/>
    </xf>
    <xf numFmtId="185" fontId="3" fillId="0" borderId="5" xfId="1" applyNumberFormat="1" applyFont="1" applyFill="1" applyBorder="1" applyAlignment="1" applyProtection="1">
      <alignment horizontal="center"/>
    </xf>
    <xf numFmtId="10" fontId="0" fillId="0" borderId="0" xfId="13" applyNumberFormat="1" applyFont="1" applyFill="1" applyBorder="1" applyAlignment="1" applyProtection="1">
      <alignment horizontal="center"/>
    </xf>
    <xf numFmtId="10" fontId="6" fillId="0" borderId="0" xfId="0" applyNumberFormat="1" applyFont="1" applyFill="1" applyBorder="1" applyProtection="1"/>
    <xf numFmtId="10" fontId="0" fillId="0" borderId="0" xfId="0" applyNumberFormat="1" applyFont="1" applyFill="1" applyBorder="1"/>
    <xf numFmtId="185" fontId="0" fillId="0" borderId="5" xfId="1" applyNumberFormat="1" applyFont="1" applyFill="1" applyBorder="1" applyAlignment="1">
      <alignment horizontal="center"/>
    </xf>
    <xf numFmtId="10" fontId="0" fillId="0" borderId="0" xfId="0" applyNumberFormat="1" applyFill="1"/>
    <xf numFmtId="43" fontId="0" fillId="0" borderId="5" xfId="1" applyFont="1" applyFill="1" applyBorder="1"/>
    <xf numFmtId="37" fontId="0" fillId="0" borderId="4" xfId="0" applyFont="1" applyFill="1" applyBorder="1"/>
    <xf numFmtId="37" fontId="4" fillId="0" borderId="4" xfId="0" applyFont="1" applyFill="1" applyBorder="1" applyAlignment="1" applyProtection="1">
      <alignment horizontal="center"/>
    </xf>
    <xf numFmtId="37" fontId="4" fillId="0" borderId="2" xfId="0" applyFont="1" applyFill="1" applyBorder="1" applyAlignment="1" applyProtection="1">
      <alignment horizontal="center"/>
    </xf>
    <xf numFmtId="37" fontId="48" fillId="0" borderId="0" xfId="0" applyFont="1" applyFill="1"/>
    <xf numFmtId="37" fontId="12" fillId="0" borderId="0" xfId="0" applyFont="1" applyFill="1" applyAlignment="1"/>
    <xf numFmtId="37" fontId="14" fillId="0" borderId="0" xfId="0" applyFont="1" applyFill="1" applyAlignment="1"/>
    <xf numFmtId="185" fontId="3" fillId="0" borderId="5" xfId="1" applyNumberFormat="1" applyFont="1" applyFill="1" applyBorder="1" applyAlignment="1">
      <alignment horizontal="center"/>
    </xf>
    <xf numFmtId="37" fontId="12" fillId="0" borderId="5" xfId="0" applyFont="1" applyBorder="1" applyAlignment="1" applyProtection="1">
      <alignment horizontal="right"/>
    </xf>
    <xf numFmtId="37" fontId="12" fillId="0" borderId="5" xfId="0" applyFont="1" applyBorder="1" applyAlignment="1">
      <alignment horizontal="center"/>
    </xf>
    <xf numFmtId="37" fontId="69" fillId="0" borderId="0" xfId="0" applyFont="1"/>
    <xf numFmtId="37" fontId="13" fillId="0" borderId="0" xfId="0" applyFont="1"/>
    <xf numFmtId="3" fontId="12" fillId="0" borderId="0" xfId="0" applyNumberFormat="1" applyFont="1"/>
    <xf numFmtId="10" fontId="12" fillId="0" borderId="0" xfId="0" applyNumberFormat="1" applyFont="1"/>
    <xf numFmtId="3" fontId="12" fillId="0" borderId="0" xfId="0" applyNumberFormat="1" applyFont="1" applyAlignment="1">
      <alignment horizontal="right"/>
    </xf>
    <xf numFmtId="3" fontId="12" fillId="0" borderId="7" xfId="0" applyNumberFormat="1" applyFont="1" applyBorder="1"/>
    <xf numFmtId="10" fontId="12" fillId="0" borderId="0" xfId="13" applyNumberFormat="1" applyFont="1" applyAlignment="1">
      <alignment horizontal="right"/>
    </xf>
    <xf numFmtId="3" fontId="12" fillId="0" borderId="10" xfId="0" applyNumberFormat="1" applyFont="1" applyBorder="1"/>
    <xf numFmtId="37" fontId="36" fillId="0" borderId="0" xfId="0" applyFont="1"/>
    <xf numFmtId="0" fontId="0" fillId="0" borderId="0" xfId="0" applyNumberFormat="1"/>
    <xf numFmtId="37" fontId="3" fillId="0" borderId="0" xfId="0" applyFont="1" applyAlignment="1" applyProtection="1">
      <alignment horizontal="center"/>
    </xf>
    <xf numFmtId="37" fontId="14" fillId="0" borderId="19" xfId="0" applyFont="1" applyFill="1" applyBorder="1"/>
    <xf numFmtId="37" fontId="14" fillId="0" borderId="10" xfId="0" applyFont="1" applyFill="1" applyBorder="1"/>
    <xf numFmtId="0" fontId="3" fillId="7" borderId="0" xfId="14" applyFont="1" applyFill="1" applyAlignment="1" applyProtection="1">
      <alignment horizontal="left"/>
    </xf>
    <xf numFmtId="0" fontId="3" fillId="7" borderId="0" xfId="14" applyFont="1" applyFill="1"/>
    <xf numFmtId="37" fontId="12" fillId="7" borderId="0" xfId="14" applyNumberFormat="1" applyFont="1" applyFill="1" applyProtection="1"/>
    <xf numFmtId="10" fontId="68" fillId="7" borderId="0" xfId="15" applyNumberFormat="1" applyFont="1" applyFill="1"/>
    <xf numFmtId="164" fontId="3" fillId="7" borderId="0" xfId="14" applyNumberFormat="1" applyFont="1" applyFill="1" applyProtection="1"/>
    <xf numFmtId="185" fontId="19" fillId="7" borderId="0" xfId="18" applyNumberFormat="1" applyFont="1" applyFill="1" applyProtection="1"/>
    <xf numFmtId="0" fontId="3" fillId="0" borderId="0" xfId="14" applyFont="1" applyFill="1"/>
    <xf numFmtId="10" fontId="3" fillId="0" borderId="0" xfId="15" applyNumberFormat="1" applyFont="1" applyFill="1"/>
    <xf numFmtId="37" fontId="0" fillId="7" borderId="0" xfId="0" applyFont="1" applyFill="1" applyAlignment="1" applyProtection="1">
      <alignment horizontal="left"/>
    </xf>
    <xf numFmtId="37" fontId="0" fillId="7" borderId="0" xfId="0" applyFont="1" applyFill="1"/>
    <xf numFmtId="37" fontId="12" fillId="7" borderId="0" xfId="0" applyNumberFormat="1" applyFont="1" applyFill="1" applyProtection="1"/>
    <xf numFmtId="10" fontId="68" fillId="7" borderId="0" xfId="13" applyNumberFormat="1" applyFont="1" applyFill="1"/>
    <xf numFmtId="164" fontId="0" fillId="7" borderId="0" xfId="0" applyNumberFormat="1" applyFont="1" applyFill="1" applyProtection="1"/>
    <xf numFmtId="185" fontId="0" fillId="7" borderId="0" xfId="1" applyNumberFormat="1" applyFont="1" applyFill="1" applyProtection="1"/>
    <xf numFmtId="37" fontId="0" fillId="0" borderId="0" xfId="0" applyFill="1" applyAlignment="1">
      <alignment horizontal="center"/>
    </xf>
    <xf numFmtId="37" fontId="14" fillId="0" borderId="0" xfId="0" applyFont="1" applyAlignment="1" applyProtection="1">
      <alignment horizontal="left"/>
    </xf>
    <xf numFmtId="186" fontId="0" fillId="0" borderId="0" xfId="0" quotePrefix="1" applyNumberFormat="1" applyFill="1"/>
    <xf numFmtId="37" fontId="36" fillId="0" borderId="0" xfId="0" applyFont="1" applyFill="1"/>
    <xf numFmtId="37" fontId="0" fillId="0" borderId="0" xfId="0" applyAlignment="1">
      <alignment horizontal="center"/>
    </xf>
    <xf numFmtId="37" fontId="0" fillId="0" borderId="0" xfId="0" applyFill="1" applyAlignment="1">
      <alignment horizontal="center"/>
    </xf>
    <xf numFmtId="49" fontId="3" fillId="0" borderId="0" xfId="0" applyNumberFormat="1" applyFont="1" applyFill="1" applyAlignment="1">
      <alignment horizontal="center"/>
    </xf>
    <xf numFmtId="37" fontId="14" fillId="0" borderId="0" xfId="0" applyFont="1" applyFill="1" applyAlignment="1">
      <alignment horizontal="center"/>
    </xf>
    <xf numFmtId="37" fontId="4" fillId="0" borderId="0" xfId="0" applyFont="1" applyAlignment="1">
      <alignment horizontal="center"/>
    </xf>
    <xf numFmtId="37" fontId="3" fillId="0" borderId="0" xfId="0" applyFont="1" applyFill="1" applyAlignment="1" applyProtection="1">
      <alignment horizontal="center"/>
    </xf>
    <xf numFmtId="37" fontId="14" fillId="0" borderId="0" xfId="0" applyFont="1" applyFill="1" applyAlignment="1" applyProtection="1">
      <alignment horizontal="center"/>
    </xf>
    <xf numFmtId="37" fontId="3" fillId="0" borderId="0" xfId="0" applyFont="1" applyAlignment="1" applyProtection="1">
      <alignment horizontal="center"/>
    </xf>
    <xf numFmtId="37" fontId="12" fillId="0" borderId="23" xfId="0" applyFont="1" applyBorder="1" applyAlignment="1">
      <alignment horizontal="center"/>
    </xf>
    <xf numFmtId="37" fontId="12" fillId="0" borderId="7" xfId="0" applyFont="1" applyBorder="1" applyAlignment="1">
      <alignment horizontal="center"/>
    </xf>
    <xf numFmtId="37" fontId="12" fillId="0" borderId="9" xfId="0" applyFont="1" applyBorder="1" applyAlignment="1">
      <alignment horizontal="center"/>
    </xf>
    <xf numFmtId="37" fontId="12" fillId="0" borderId="23" xfId="0" applyFont="1" applyBorder="1" applyAlignment="1" applyProtection="1">
      <alignment horizontal="center"/>
    </xf>
    <xf numFmtId="37" fontId="12" fillId="0" borderId="7" xfId="0" applyFont="1" applyBorder="1" applyAlignment="1" applyProtection="1">
      <alignment horizontal="center"/>
    </xf>
    <xf numFmtId="37" fontId="12" fillId="0" borderId="9" xfId="0" applyFont="1" applyBorder="1" applyAlignment="1" applyProtection="1">
      <alignment horizontal="center"/>
    </xf>
    <xf numFmtId="37" fontId="12" fillId="0" borderId="0" xfId="0" applyFont="1" applyFill="1" applyAlignment="1" applyProtection="1">
      <alignment horizontal="center"/>
    </xf>
    <xf numFmtId="37" fontId="3" fillId="0" borderId="0" xfId="0" applyFont="1" applyFill="1" applyAlignment="1">
      <alignment horizontal="center"/>
    </xf>
    <xf numFmtId="49" fontId="4" fillId="0" borderId="0" xfId="0" applyNumberFormat="1" applyFont="1" applyAlignment="1">
      <alignment horizontal="center"/>
    </xf>
    <xf numFmtId="37" fontId="3" fillId="0" borderId="0" xfId="0" applyNumberFormat="1" applyFont="1" applyAlignment="1" applyProtection="1">
      <alignment horizontal="center"/>
      <protection locked="0"/>
    </xf>
    <xf numFmtId="37" fontId="3" fillId="0" borderId="0" xfId="0" applyFont="1" applyAlignment="1">
      <alignment horizontal="center"/>
    </xf>
    <xf numFmtId="37" fontId="12" fillId="0" borderId="0" xfId="0" applyFont="1" applyFill="1" applyAlignment="1" applyProtection="1">
      <alignment horizontal="center"/>
      <protection locked="0"/>
    </xf>
    <xf numFmtId="37" fontId="3" fillId="0" borderId="0" xfId="0" applyFont="1" applyFill="1" applyAlignment="1" applyProtection="1">
      <alignment horizontal="center"/>
      <protection locked="0"/>
    </xf>
    <xf numFmtId="37" fontId="14" fillId="0" borderId="0" xfId="0" applyFont="1" applyAlignment="1">
      <alignment horizontal="center"/>
    </xf>
    <xf numFmtId="37" fontId="14" fillId="0" borderId="0" xfId="5" applyFont="1" applyFill="1" applyAlignment="1">
      <alignment horizontal="center"/>
    </xf>
    <xf numFmtId="37" fontId="4" fillId="0" borderId="0" xfId="0" applyFont="1" applyFill="1" applyAlignment="1">
      <alignment horizontal="center"/>
    </xf>
    <xf numFmtId="37" fontId="4" fillId="0" borderId="29" xfId="0" applyFont="1" applyFill="1" applyBorder="1" applyAlignment="1" applyProtection="1">
      <alignment horizontal="center"/>
    </xf>
    <xf numFmtId="37" fontId="4" fillId="0" borderId="19" xfId="0" applyFont="1" applyFill="1" applyBorder="1" applyAlignment="1" applyProtection="1">
      <alignment horizontal="center"/>
    </xf>
    <xf numFmtId="37" fontId="4" fillId="0" borderId="24" xfId="0" applyFont="1" applyFill="1" applyBorder="1" applyAlignment="1" applyProtection="1">
      <alignment horizontal="center"/>
    </xf>
    <xf numFmtId="49" fontId="0" fillId="0" borderId="3" xfId="0" applyNumberFormat="1" applyFont="1" applyFill="1" applyBorder="1" applyAlignment="1">
      <alignment horizontal="center"/>
    </xf>
    <xf numFmtId="37" fontId="0" fillId="0" borderId="0" xfId="0" applyFont="1" applyFill="1" applyAlignment="1">
      <alignment horizontal="center"/>
    </xf>
    <xf numFmtId="37" fontId="5" fillId="0" borderId="0" xfId="0" applyFont="1" applyFill="1" applyAlignment="1" applyProtection="1">
      <alignment horizontal="center"/>
    </xf>
    <xf numFmtId="37" fontId="12" fillId="0" borderId="5" xfId="0" applyFont="1" applyFill="1" applyBorder="1" applyAlignment="1" applyProtection="1">
      <alignment horizontal="center"/>
    </xf>
    <xf numFmtId="37" fontId="12" fillId="0" borderId="0" xfId="0" applyFont="1" applyFill="1" applyAlignment="1">
      <alignment horizontal="center"/>
    </xf>
  </cellXfs>
  <cellStyles count="32">
    <cellStyle name="Comma" xfId="1" builtinId="3"/>
    <cellStyle name="Comma [0] 2" xfId="19"/>
    <cellStyle name="Comma 2" xfId="18"/>
    <cellStyle name="Comma 3" xfId="22"/>
    <cellStyle name="Comma 4" xfId="25"/>
    <cellStyle name="Currency" xfId="2" builtinId="4"/>
    <cellStyle name="Currency [0] 2" xfId="17"/>
    <cellStyle name="Currency 2" xfId="16"/>
    <cellStyle name="Currency 3" xfId="21"/>
    <cellStyle name="Currency 4" xfId="26"/>
    <cellStyle name="Hyperlink" xfId="3" builtinId="8"/>
    <cellStyle name="Normal" xfId="0" builtinId="0"/>
    <cellStyle name="Normal - Style1" xfId="4"/>
    <cellStyle name="Normal 2" xfId="14"/>
    <cellStyle name="Normal 2 2" xfId="28"/>
    <cellStyle name="Normal 3" xfId="20"/>
    <cellStyle name="Normal 3 2" xfId="30"/>
    <cellStyle name="Normal 4" xfId="23"/>
    <cellStyle name="Normal 5" xfId="24"/>
    <cellStyle name="Normal 6" xfId="29"/>
    <cellStyle name="Normal_Book1 (2) (3)" xfId="5"/>
    <cellStyle name="Normal_C.2.2 B" xfId="6"/>
    <cellStyle name="Normal_F.1" xfId="7"/>
    <cellStyle name="Output Amounts" xfId="8"/>
    <cellStyle name="Output Column Headings" xfId="9"/>
    <cellStyle name="Output Line Items" xfId="10"/>
    <cellStyle name="Output Report Heading" xfId="11"/>
    <cellStyle name="Output Report Title" xfId="12"/>
    <cellStyle name="Percent" xfId="13" builtinId="5"/>
    <cellStyle name="Percent 2" xfId="15"/>
    <cellStyle name="Percent 3" xfId="27"/>
    <cellStyle name="Percent 7" xfId="31"/>
  </cellStyles>
  <dxfs count="0"/>
  <tableStyles count="0" defaultTableStyle="TableStyleMedium2" defaultPivotStyle="PivotStyleLight16"/>
  <colors>
    <mruColors>
      <color rgb="FFCCFFCC"/>
      <color rgb="FFFFFFCC"/>
      <color rgb="FF0000FF"/>
      <color rgb="FFFF99FF"/>
      <color rgb="FF66FFFF"/>
      <color rgb="FFCC99FF"/>
      <color rgb="FFCCFFFF"/>
      <color rgb="FF99CC00"/>
      <color rgb="FFFF66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89" Type="http://schemas.openxmlformats.org/officeDocument/2006/relationships/externalLink" Target="externalLinks/externalLink9.xml"/><Relationship Id="rId112" Type="http://schemas.openxmlformats.org/officeDocument/2006/relationships/externalLink" Target="externalLinks/externalLink3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7.xml"/><Relationship Id="rId102" Type="http://schemas.openxmlformats.org/officeDocument/2006/relationships/externalLink" Target="externalLinks/externalLink22.xml"/><Relationship Id="rId110" Type="http://schemas.openxmlformats.org/officeDocument/2006/relationships/externalLink" Target="externalLinks/externalLink30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90" Type="http://schemas.openxmlformats.org/officeDocument/2006/relationships/externalLink" Target="externalLinks/externalLink10.xml"/><Relationship Id="rId95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0.xml"/><Relationship Id="rId105" Type="http://schemas.openxmlformats.org/officeDocument/2006/relationships/externalLink" Target="externalLinks/externalLink25.xml"/><Relationship Id="rId113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93" Type="http://schemas.openxmlformats.org/officeDocument/2006/relationships/externalLink" Target="externalLinks/externalLink13.xml"/><Relationship Id="rId98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28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externalLink" Target="externalLinks/externalLink8.xml"/><Relationship Id="rId91" Type="http://schemas.openxmlformats.org/officeDocument/2006/relationships/externalLink" Target="externalLinks/externalLink11.xml"/><Relationship Id="rId96" Type="http://schemas.openxmlformats.org/officeDocument/2006/relationships/externalLink" Target="externalLinks/externalLink16.xml"/><Relationship Id="rId111" Type="http://schemas.openxmlformats.org/officeDocument/2006/relationships/externalLink" Target="externalLinks/externalLink3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6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externalLink" Target="externalLinks/externalLink6.xml"/><Relationship Id="rId94" Type="http://schemas.openxmlformats.org/officeDocument/2006/relationships/externalLink" Target="externalLinks/externalLink14.xml"/><Relationship Id="rId99" Type="http://schemas.openxmlformats.org/officeDocument/2006/relationships/externalLink" Target="externalLinks/externalLink19.xml"/><Relationship Id="rId10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7.xml"/><Relationship Id="rId104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FY17%20Composite%20Factors%20for%20Rates%20FIN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B.6B%20Acct%20252%20Advances%20in%20Aid%20of%20Construction%20201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C%20Schedules%20Income%20Statement%20Activity%20Jan17-Jun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Finrep%20I-S%202017%20-%20test%20for%20account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OM%20for%20KY-2017%20cas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Gas%20Cost%20by%20FERC-20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C%202.2%20%20Jurirep%209220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Taxes%20Other%20-%20Finrep-%202017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Ad%20Valorem%20Budget%20FY%202018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F.1%20Schedule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F.2.1%20Schedu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FY17%20Blending%20percentages%20for%20Greenville%20and%20CKV%20Center%20Effective%20Oct-16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misc%20Finrep%20retrievals-20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F.6%20Schedule%20Rate%20Case%20Expense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F.8%20Division%20009%20(Kentucky)%20Expense%20Report%20Review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F.8%20Division%20091%20(General%20Office)%20Expense%20Report%20Review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F.8%20Jan'17%20-%20Jun'17%20Co%20010%20Div%20002%20IEXP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F.8%20Jan'17%20-%20Jun'17%20Co%20010%20Div%20012%20IEXP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G.1%20Benefits%20Rates%20Calc%20as%20of%2010-18-1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G.2%20Division%20009%20labor%20analysis-%202017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G.3%20-%20Executive%20Compensation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H.1%20PSC%20Assessment%20fe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lant%20Data/KY%20Plant%20Data-2017%20case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historical%20inc%20statements-2017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Capital%20Structure%206-30-17_Consolidated%20Final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K%20Kentucky%2016-13%20schedul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B-3.1F%20Depreciation%20Cap%20Rate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misc%20jurirep%20BS%20accts-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evenues/KY%20Revenue%20%20Billing%20Unit%20Forecast%20TYE%203.31.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gas%20storage-Finrep-2017%20updat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ADIT%20for%20KY%2012-31-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Relied%20Upons/WP%20B.5F1%20-%20Deferred%20Tax%20Regulatory%20Liabili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history"/>
      <sheetName val="Composite FY17"/>
      <sheetName val="Check current to prior"/>
      <sheetName val="Mid States FY17"/>
      <sheetName val="CO KS FY17"/>
      <sheetName val="COdiv 2017"/>
      <sheetName val="West Texas FY17"/>
      <sheetName val="Div 002 Rates"/>
      <sheetName val="Div 002 Rates (Excluding APT)"/>
      <sheetName val="Div 012 Rates"/>
      <sheetName val="Sum customer count"/>
      <sheetName val="Summary WTX"/>
      <sheetName val="Summary CO-KS"/>
      <sheetName val="Summary LA"/>
      <sheetName val="Summary Kentucky-Midstates"/>
      <sheetName val="Summary MS"/>
      <sheetName val="Summary Mid Tex"/>
      <sheetName val="Summary AtmosPipeline"/>
      <sheetName val="Houston"/>
      <sheetName val="TLGP"/>
    </sheetNames>
    <sheetDataSet>
      <sheetData sheetId="0"/>
      <sheetData sheetId="1">
        <row r="16">
          <cell r="Q16">
            <v>0.10929999999999999</v>
          </cell>
        </row>
        <row r="19">
          <cell r="Q19">
            <v>0.10349999999999999</v>
          </cell>
        </row>
      </sheetData>
      <sheetData sheetId="2"/>
      <sheetData sheetId="3">
        <row r="10">
          <cell r="H10">
            <v>51.883860656465508</v>
          </cell>
          <cell r="J10">
            <v>50.251360717124555</v>
          </cell>
        </row>
      </sheetData>
      <sheetData sheetId="4"/>
      <sheetData sheetId="5"/>
      <sheetData sheetId="6"/>
      <sheetData sheetId="7"/>
      <sheetData sheetId="8">
        <row r="38">
          <cell r="J38">
            <v>6.437198999999999E-2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 09"/>
      <sheetName val="Div 91"/>
    </sheetNames>
    <sheetDataSet>
      <sheetData sheetId="0">
        <row r="13">
          <cell r="J13">
            <v>1674612.99</v>
          </cell>
          <cell r="K13">
            <v>1744326.61</v>
          </cell>
          <cell r="L13">
            <v>1740194.61</v>
          </cell>
          <cell r="M13">
            <v>1623598.93</v>
          </cell>
          <cell r="N13">
            <v>1304466.75</v>
          </cell>
          <cell r="O13">
            <v>1194206.95</v>
          </cell>
          <cell r="P13">
            <v>1018425.36</v>
          </cell>
          <cell r="Q13">
            <v>1437536.5350000001</v>
          </cell>
          <cell r="R13">
            <v>1437536.5350000001</v>
          </cell>
          <cell r="S13">
            <v>1437536.5350000001</v>
          </cell>
          <cell r="T13">
            <v>1437536.5350000001</v>
          </cell>
          <cell r="U13">
            <v>1437536.5350000001</v>
          </cell>
          <cell r="V13">
            <v>1437536.5350000001</v>
          </cell>
          <cell r="Y13">
            <v>1437536.5350000001</v>
          </cell>
          <cell r="Z13">
            <v>1437536.5350000001</v>
          </cell>
          <cell r="AA13">
            <v>1437536.5350000001</v>
          </cell>
          <cell r="AB13">
            <v>1437536.5350000001</v>
          </cell>
          <cell r="AC13">
            <v>1437536.5350000001</v>
          </cell>
          <cell r="AD13">
            <v>1437536.5350000001</v>
          </cell>
          <cell r="AE13">
            <v>1437536.5350000001</v>
          </cell>
          <cell r="AF13">
            <v>1437536.5350000001</v>
          </cell>
          <cell r="AG13">
            <v>1437536.5350000001</v>
          </cell>
          <cell r="AH13">
            <v>1437536.5350000001</v>
          </cell>
          <cell r="AI13">
            <v>1437536.5350000001</v>
          </cell>
          <cell r="AJ13">
            <v>1437536.5350000001</v>
          </cell>
          <cell r="AK13">
            <v>1437536.5350000001</v>
          </cell>
        </row>
      </sheetData>
      <sheetData sheetId="1">
        <row r="13"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 002"/>
      <sheetName val="Div 012"/>
      <sheetName val="Div 091"/>
      <sheetName val="Div 009"/>
      <sheetName val="Data"/>
      <sheetName val="Report Parameters1 - Atmos-Acc"/>
      <sheetName val="ISdiv002"/>
      <sheetName val="ISdiv012 (2)"/>
      <sheetName val="ISdiv091"/>
      <sheetName val="ISdiv009"/>
    </sheetNames>
    <sheetDataSet>
      <sheetData sheetId="0">
        <row r="47">
          <cell r="C47">
            <v>7.2759576141834259E-11</v>
          </cell>
          <cell r="D47">
            <v>8.7311491370201111E-11</v>
          </cell>
          <cell r="E47">
            <v>0</v>
          </cell>
          <cell r="F47">
            <v>-2.9103830456733704E-11</v>
          </cell>
          <cell r="G47">
            <v>4.3655745685100555E-11</v>
          </cell>
          <cell r="H47">
            <v>-2.3283064365386963E-10</v>
          </cell>
        </row>
        <row r="48">
          <cell r="C48">
            <v>2.0000000036361598E-2</v>
          </cell>
          <cell r="D48">
            <v>1.9999999945866875E-2</v>
          </cell>
          <cell r="E48">
            <v>1.0000000049330993E-2</v>
          </cell>
          <cell r="F48">
            <v>-2327847.38</v>
          </cell>
          <cell r="G48">
            <v>2327847.3600000003</v>
          </cell>
          <cell r="H48">
            <v>180543.63</v>
          </cell>
        </row>
        <row r="49">
          <cell r="C49">
            <v>-273263.57000000007</v>
          </cell>
          <cell r="D49">
            <v>-98036.37</v>
          </cell>
          <cell r="E49">
            <v>-49722986.189999998</v>
          </cell>
          <cell r="F49">
            <v>1343143.58</v>
          </cell>
          <cell r="G49">
            <v>-712768.66</v>
          </cell>
          <cell r="H49">
            <v>15370831.42</v>
          </cell>
        </row>
        <row r="50">
          <cell r="C50">
            <v>0</v>
          </cell>
          <cell r="D50">
            <v>0</v>
          </cell>
          <cell r="E50">
            <v>50542256.049999997</v>
          </cell>
          <cell r="F50">
            <v>0</v>
          </cell>
          <cell r="G50">
            <v>0</v>
          </cell>
          <cell r="H50">
            <v>-15628640.050000001</v>
          </cell>
        </row>
        <row r="62">
          <cell r="C62">
            <v>0</v>
          </cell>
          <cell r="D62">
            <v>1500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C63">
            <v>280.74</v>
          </cell>
          <cell r="D63">
            <v>365.24000000000012</v>
          </cell>
          <cell r="E63">
            <v>155.97</v>
          </cell>
          <cell r="F63">
            <v>155.97</v>
          </cell>
          <cell r="G63">
            <v>155.97</v>
          </cell>
          <cell r="H63">
            <v>616.26</v>
          </cell>
        </row>
        <row r="64">
          <cell r="C64">
            <v>1954.3399999999997</v>
          </cell>
          <cell r="D64">
            <v>-7920.6399999999994</v>
          </cell>
          <cell r="E64">
            <v>4035.44</v>
          </cell>
          <cell r="F64">
            <v>4414.1499999999996</v>
          </cell>
          <cell r="G64">
            <v>16.680000000000177</v>
          </cell>
          <cell r="H64">
            <v>10987</v>
          </cell>
        </row>
        <row r="65">
          <cell r="C65">
            <v>89.61</v>
          </cell>
          <cell r="D65">
            <v>7.39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C66">
            <v>0</v>
          </cell>
          <cell r="D66">
            <v>0</v>
          </cell>
          <cell r="E66">
            <v>248.29</v>
          </cell>
          <cell r="F66">
            <v>0</v>
          </cell>
          <cell r="G66">
            <v>0</v>
          </cell>
          <cell r="H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4879.2</v>
          </cell>
          <cell r="G67">
            <v>0</v>
          </cell>
          <cell r="H67">
            <v>0</v>
          </cell>
        </row>
        <row r="68">
          <cell r="C68">
            <v>123041.54999999999</v>
          </cell>
          <cell r="D68">
            <v>78422.819999999992</v>
          </cell>
          <cell r="E68">
            <v>-46797.619999999995</v>
          </cell>
          <cell r="F68">
            <v>5338.03</v>
          </cell>
          <cell r="G68">
            <v>4231.3500000000004</v>
          </cell>
          <cell r="H68">
            <v>5818.82</v>
          </cell>
        </row>
        <row r="69">
          <cell r="C69">
            <v>10825</v>
          </cell>
          <cell r="D69">
            <v>0</v>
          </cell>
          <cell r="E69">
            <v>143.68</v>
          </cell>
          <cell r="F69">
            <v>0</v>
          </cell>
          <cell r="G69">
            <v>0</v>
          </cell>
          <cell r="H69">
            <v>0</v>
          </cell>
        </row>
        <row r="70">
          <cell r="C70">
            <v>0</v>
          </cell>
          <cell r="D70">
            <v>0</v>
          </cell>
          <cell r="E70">
            <v>703.63</v>
          </cell>
          <cell r="F70">
            <v>0</v>
          </cell>
          <cell r="G70">
            <v>0</v>
          </cell>
          <cell r="H70">
            <v>32.42</v>
          </cell>
        </row>
        <row r="71">
          <cell r="C71">
            <v>-538447.11999999895</v>
          </cell>
          <cell r="D71">
            <v>2507033.6699999995</v>
          </cell>
          <cell r="E71">
            <v>-5517789.9199999971</v>
          </cell>
          <cell r="F71">
            <v>-564879.08999999939</v>
          </cell>
          <cell r="G71">
            <v>-1149809.3399999987</v>
          </cell>
          <cell r="H71">
            <v>-3208563.5699999994</v>
          </cell>
        </row>
        <row r="72">
          <cell r="C72">
            <v>1879091.5199999977</v>
          </cell>
          <cell r="D72">
            <v>1803283.3399999996</v>
          </cell>
          <cell r="E72">
            <v>1780993.9900000005</v>
          </cell>
          <cell r="F72">
            <v>1994425.5500000003</v>
          </cell>
          <cell r="G72">
            <v>2051435.4400000004</v>
          </cell>
          <cell r="H72">
            <v>1876271.4200000002</v>
          </cell>
        </row>
        <row r="73">
          <cell r="C73">
            <v>-9503163.1400000062</v>
          </cell>
          <cell r="D73">
            <v>-10347930.919999998</v>
          </cell>
          <cell r="E73">
            <v>-8779190.9300000053</v>
          </cell>
          <cell r="F73">
            <v>-8550668.129999999</v>
          </cell>
          <cell r="G73">
            <v>-11459070.680000009</v>
          </cell>
          <cell r="H73">
            <v>-3001889.7900000028</v>
          </cell>
        </row>
        <row r="74">
          <cell r="C74">
            <v>706893.02</v>
          </cell>
          <cell r="D74">
            <v>754577.54000000015</v>
          </cell>
          <cell r="E74">
            <v>661736.9</v>
          </cell>
          <cell r="F74">
            <v>848668.5</v>
          </cell>
          <cell r="G74">
            <v>797262.56000000017</v>
          </cell>
          <cell r="H74">
            <v>865257.68</v>
          </cell>
        </row>
        <row r="75">
          <cell r="C75">
            <v>49861.919999999998</v>
          </cell>
          <cell r="D75">
            <v>13327.54</v>
          </cell>
          <cell r="E75">
            <v>11426.37</v>
          </cell>
          <cell r="F75">
            <v>11426.37</v>
          </cell>
          <cell r="G75">
            <v>11426.37</v>
          </cell>
          <cell r="H75">
            <v>11426.37</v>
          </cell>
        </row>
        <row r="76">
          <cell r="C76">
            <v>1662084.3299999996</v>
          </cell>
          <cell r="D76">
            <v>1665651.13</v>
          </cell>
          <cell r="E76">
            <v>-465576.55000000022</v>
          </cell>
          <cell r="F76">
            <v>1612256.64</v>
          </cell>
          <cell r="G76">
            <v>1654705.59</v>
          </cell>
          <cell r="H76">
            <v>648483.03</v>
          </cell>
        </row>
        <row r="77">
          <cell r="C77">
            <v>4593478.3000000017</v>
          </cell>
          <cell r="D77">
            <v>2675101.0300000012</v>
          </cell>
          <cell r="E77">
            <v>6938585.0599999875</v>
          </cell>
          <cell r="F77">
            <v>3861946.7700000009</v>
          </cell>
          <cell r="G77">
            <v>7562267.4600000028</v>
          </cell>
          <cell r="H77">
            <v>1252928.2299999979</v>
          </cell>
        </row>
        <row r="78">
          <cell r="C78">
            <v>595052.67999999993</v>
          </cell>
          <cell r="D78">
            <v>449836.70999999996</v>
          </cell>
          <cell r="E78">
            <v>3023947.0500000012</v>
          </cell>
          <cell r="F78">
            <v>394237</v>
          </cell>
          <cell r="G78">
            <v>187444.52</v>
          </cell>
          <cell r="H78">
            <v>257864.97999999998</v>
          </cell>
        </row>
        <row r="79">
          <cell r="C79">
            <v>428689.95000000013</v>
          </cell>
          <cell r="D79">
            <v>449036.42000000004</v>
          </cell>
          <cell r="E79">
            <v>438477.07000000007</v>
          </cell>
          <cell r="F79">
            <v>474772.79000000004</v>
          </cell>
          <cell r="G79">
            <v>453249.64</v>
          </cell>
          <cell r="H79">
            <v>212237.21999999994</v>
          </cell>
        </row>
        <row r="80">
          <cell r="C80">
            <v>16630.04</v>
          </cell>
          <cell r="D80">
            <v>4065.24</v>
          </cell>
          <cell r="E80">
            <v>41241.620000000003</v>
          </cell>
          <cell r="F80">
            <v>22521.310000000005</v>
          </cell>
          <cell r="G80">
            <v>33625.659999999996</v>
          </cell>
          <cell r="H80">
            <v>28692.5</v>
          </cell>
        </row>
      </sheetData>
      <sheetData sheetId="1">
        <row r="28">
          <cell r="C28">
            <v>-1.4551915228366852E-11</v>
          </cell>
          <cell r="D28">
            <v>-2.9103830456733704E-11</v>
          </cell>
          <cell r="E28">
            <v>-1.1641532182693481E-10</v>
          </cell>
          <cell r="F28">
            <v>0</v>
          </cell>
          <cell r="G28">
            <v>3.637978807091713E-11</v>
          </cell>
          <cell r="H28">
            <v>0</v>
          </cell>
        </row>
        <row r="29">
          <cell r="C29">
            <v>-9.9999999678459517E-3</v>
          </cell>
          <cell r="D29">
            <v>1.5546675058430992E-11</v>
          </cell>
          <cell r="E29">
            <v>1.2732925824820995E-11</v>
          </cell>
          <cell r="F29">
            <v>2.9540814239226165E-11</v>
          </cell>
          <cell r="G29">
            <v>6.0196292395175988E-12</v>
          </cell>
          <cell r="H29">
            <v>1.0000000012951205E-2</v>
          </cell>
        </row>
        <row r="32">
          <cell r="C32">
            <v>2021.33</v>
          </cell>
          <cell r="D32">
            <v>1302.98</v>
          </cell>
          <cell r="E32">
            <v>1296.21</v>
          </cell>
          <cell r="F32">
            <v>1673.07</v>
          </cell>
          <cell r="G32">
            <v>1951.15</v>
          </cell>
          <cell r="H32">
            <v>1635.9399999999998</v>
          </cell>
        </row>
        <row r="33">
          <cell r="C33">
            <v>345788.8</v>
          </cell>
          <cell r="D33">
            <v>325501.09999999998</v>
          </cell>
          <cell r="E33">
            <v>371262.11</v>
          </cell>
          <cell r="F33">
            <v>315776.92000000004</v>
          </cell>
          <cell r="G33">
            <v>363030.96000000008</v>
          </cell>
          <cell r="H33">
            <v>355088.25</v>
          </cell>
        </row>
        <row r="34">
          <cell r="C34">
            <v>2827.18</v>
          </cell>
          <cell r="D34">
            <v>2492.65</v>
          </cell>
          <cell r="E34">
            <v>3252.47</v>
          </cell>
          <cell r="F34">
            <v>2426.96</v>
          </cell>
          <cell r="G34">
            <v>2434.3700000000003</v>
          </cell>
          <cell r="H34">
            <v>2598.9900000000002</v>
          </cell>
        </row>
        <row r="35">
          <cell r="C35">
            <v>1596481.55</v>
          </cell>
          <cell r="D35">
            <v>1399178.37</v>
          </cell>
          <cell r="E35">
            <v>1619284.2600000002</v>
          </cell>
          <cell r="F35">
            <v>1395506.2899999998</v>
          </cell>
          <cell r="G35">
            <v>1567812.4299999997</v>
          </cell>
          <cell r="H35">
            <v>1532666.09</v>
          </cell>
        </row>
        <row r="36">
          <cell r="C36">
            <v>445375.62000000005</v>
          </cell>
          <cell r="D36">
            <v>369782.82000000007</v>
          </cell>
          <cell r="E36">
            <v>424768.47000000009</v>
          </cell>
          <cell r="F36">
            <v>278911.63</v>
          </cell>
          <cell r="G36">
            <v>332812.16000000003</v>
          </cell>
          <cell r="H36">
            <v>307847.19</v>
          </cell>
        </row>
        <row r="37">
          <cell r="C37">
            <v>744503.11999999988</v>
          </cell>
          <cell r="D37">
            <v>642804.87</v>
          </cell>
          <cell r="E37">
            <v>706185.25</v>
          </cell>
          <cell r="F37">
            <v>673818.10999999952</v>
          </cell>
          <cell r="G37">
            <v>750436.9099999998</v>
          </cell>
          <cell r="H37">
            <v>967833.5399999998</v>
          </cell>
        </row>
        <row r="38">
          <cell r="C38">
            <v>-4104410.0699999975</v>
          </cell>
          <cell r="D38">
            <v>-3692373.38</v>
          </cell>
          <cell r="E38">
            <v>-4255879.66</v>
          </cell>
          <cell r="F38">
            <v>-3697685.17</v>
          </cell>
          <cell r="G38">
            <v>-4192143.9400000009</v>
          </cell>
          <cell r="H38">
            <v>-4117575.1800000025</v>
          </cell>
        </row>
        <row r="39">
          <cell r="C39">
            <v>1419.9699999999993</v>
          </cell>
          <cell r="D39">
            <v>69053.959999999992</v>
          </cell>
          <cell r="E39">
            <v>109043.51</v>
          </cell>
          <cell r="F39">
            <v>110711.93000000001</v>
          </cell>
          <cell r="G39">
            <v>79952.899999999994</v>
          </cell>
          <cell r="H39">
            <v>53126</v>
          </cell>
        </row>
        <row r="40">
          <cell r="C40">
            <v>9998.56</v>
          </cell>
          <cell r="D40">
            <v>9998.56</v>
          </cell>
          <cell r="E40">
            <v>8105.89</v>
          </cell>
          <cell r="F40">
            <v>8105.89</v>
          </cell>
          <cell r="G40">
            <v>8105.89</v>
          </cell>
          <cell r="H40">
            <v>8105.89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17.690000000000001</v>
          </cell>
          <cell r="G41">
            <v>17.28</v>
          </cell>
          <cell r="H41">
            <v>17.28</v>
          </cell>
        </row>
        <row r="42">
          <cell r="C42">
            <v>801817.73</v>
          </cell>
          <cell r="D42">
            <v>713976.82</v>
          </cell>
          <cell r="E42">
            <v>858462.23</v>
          </cell>
          <cell r="F42">
            <v>672241.46000000008</v>
          </cell>
          <cell r="G42">
            <v>835509.42000000027</v>
          </cell>
          <cell r="H42">
            <v>734230.03000000014</v>
          </cell>
        </row>
        <row r="43">
          <cell r="C43">
            <v>153533.72000000003</v>
          </cell>
          <cell r="D43">
            <v>154542.82</v>
          </cell>
          <cell r="E43">
            <v>153235.66</v>
          </cell>
          <cell r="F43">
            <v>153107.31</v>
          </cell>
          <cell r="G43">
            <v>153617.66</v>
          </cell>
          <cell r="H43">
            <v>154426.03</v>
          </cell>
        </row>
        <row r="44">
          <cell r="C44">
            <v>642.48</v>
          </cell>
          <cell r="D44">
            <v>3738.4300000000003</v>
          </cell>
          <cell r="E44">
            <v>983.61000000000013</v>
          </cell>
          <cell r="F44">
            <v>323.14</v>
          </cell>
          <cell r="G44">
            <v>5.41</v>
          </cell>
          <cell r="H44">
            <v>0</v>
          </cell>
        </row>
      </sheetData>
      <sheetData sheetId="2">
        <row r="55">
          <cell r="C55">
            <v>-9.0949470177292824E-13</v>
          </cell>
          <cell r="D55">
            <v>1.4210854715202004E-13</v>
          </cell>
          <cell r="E55">
            <v>0</v>
          </cell>
          <cell r="F55">
            <v>-1.7053025658242404E-13</v>
          </cell>
          <cell r="G55">
            <v>-3.1263880373444408E-13</v>
          </cell>
          <cell r="H55">
            <v>-4.1211478674085811E-13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9">
          <cell r="C59">
            <v>-1.000000002568413E-2</v>
          </cell>
          <cell r="D59">
            <v>1.9999999990268691E-2</v>
          </cell>
          <cell r="E59">
            <v>-5.9117155615240335E-12</v>
          </cell>
          <cell r="F59">
            <v>240932.20000000007</v>
          </cell>
          <cell r="G59">
            <v>-240932.21</v>
          </cell>
          <cell r="H59">
            <v>-2.9786034749790247E-12</v>
          </cell>
        </row>
        <row r="60">
          <cell r="C60">
            <v>5426768.3300000001</v>
          </cell>
          <cell r="D60">
            <v>3782311.2399999998</v>
          </cell>
          <cell r="E60">
            <v>-3422686.89</v>
          </cell>
          <cell r="F60">
            <v>1810941.75</v>
          </cell>
          <cell r="G60">
            <v>761290.12</v>
          </cell>
          <cell r="H60">
            <v>-1745373.95</v>
          </cell>
        </row>
        <row r="61">
          <cell r="C61">
            <v>0</v>
          </cell>
          <cell r="D61">
            <v>0</v>
          </cell>
          <cell r="E61">
            <v>6314666.8000000007</v>
          </cell>
          <cell r="F61">
            <v>0</v>
          </cell>
          <cell r="G61">
            <v>0</v>
          </cell>
          <cell r="H61">
            <v>3411938.1999999997</v>
          </cell>
        </row>
        <row r="66">
          <cell r="C66">
            <v>38.979999999999997</v>
          </cell>
          <cell r="D66">
            <v>41.37</v>
          </cell>
          <cell r="E66">
            <v>41.85</v>
          </cell>
          <cell r="F66">
            <v>39.78</v>
          </cell>
          <cell r="G66">
            <v>40.81</v>
          </cell>
          <cell r="H66">
            <v>46.65</v>
          </cell>
        </row>
        <row r="67">
          <cell r="C67">
            <v>40.56</v>
          </cell>
          <cell r="D67">
            <v>43.050000000000011</v>
          </cell>
          <cell r="E67">
            <v>43.849999999999994</v>
          </cell>
          <cell r="F67">
            <v>41.389999999999986</v>
          </cell>
          <cell r="G67">
            <v>42.460000000000036</v>
          </cell>
          <cell r="H67">
            <v>48.539999999999964</v>
          </cell>
        </row>
        <row r="68">
          <cell r="C68">
            <v>128.16</v>
          </cell>
          <cell r="D68">
            <v>845.37</v>
          </cell>
          <cell r="E68">
            <v>139.44999999999999</v>
          </cell>
          <cell r="F68">
            <v>9.6199999999999992</v>
          </cell>
          <cell r="G68">
            <v>12.11</v>
          </cell>
          <cell r="H68">
            <v>1762.6</v>
          </cell>
        </row>
        <row r="69">
          <cell r="C69">
            <v>541.9799999999999</v>
          </cell>
          <cell r="D69">
            <v>411.51</v>
          </cell>
          <cell r="E69">
            <v>340.43</v>
          </cell>
          <cell r="F69">
            <v>175.55</v>
          </cell>
          <cell r="G69">
            <v>119.37</v>
          </cell>
          <cell r="H69">
            <v>128.78</v>
          </cell>
        </row>
        <row r="70">
          <cell r="C70">
            <v>2034.2600000000002</v>
          </cell>
          <cell r="D70">
            <v>-180.12</v>
          </cell>
          <cell r="E70">
            <v>1203.19</v>
          </cell>
          <cell r="F70">
            <v>2816.67</v>
          </cell>
          <cell r="G70">
            <v>1847.3300000000004</v>
          </cell>
          <cell r="H70">
            <v>708.87</v>
          </cell>
        </row>
        <row r="71">
          <cell r="C71">
            <v>4.38</v>
          </cell>
          <cell r="D71">
            <v>29.66</v>
          </cell>
          <cell r="E71">
            <v>0</v>
          </cell>
          <cell r="F71">
            <v>0</v>
          </cell>
          <cell r="G71">
            <v>8377.74</v>
          </cell>
          <cell r="H71">
            <v>0</v>
          </cell>
        </row>
        <row r="72">
          <cell r="C72">
            <v>52.150000000000034</v>
          </cell>
          <cell r="D72">
            <v>55.350000000000023</v>
          </cell>
          <cell r="E72">
            <v>-5.5900000000000318</v>
          </cell>
          <cell r="F72">
            <v>115.19</v>
          </cell>
          <cell r="G72">
            <v>188.96999999999997</v>
          </cell>
          <cell r="H72">
            <v>62.399999999999977</v>
          </cell>
        </row>
        <row r="73">
          <cell r="C73">
            <v>77.97</v>
          </cell>
          <cell r="D73">
            <v>82.74</v>
          </cell>
          <cell r="E73">
            <v>83.69</v>
          </cell>
          <cell r="F73">
            <v>79.56</v>
          </cell>
          <cell r="G73">
            <v>81.62</v>
          </cell>
          <cell r="H73">
            <v>93.29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5332.5</v>
          </cell>
          <cell r="G74">
            <v>0</v>
          </cell>
          <cell r="H74">
            <v>0</v>
          </cell>
        </row>
        <row r="75">
          <cell r="C75">
            <v>284070.41000000009</v>
          </cell>
          <cell r="D75">
            <v>213573.84000000005</v>
          </cell>
          <cell r="E75">
            <v>232792.85000000003</v>
          </cell>
          <cell r="F75">
            <v>266021.45999999985</v>
          </cell>
          <cell r="G75">
            <v>223520.58</v>
          </cell>
          <cell r="H75">
            <v>229136.60999999993</v>
          </cell>
        </row>
        <row r="76">
          <cell r="C76">
            <v>11656.150000000001</v>
          </cell>
          <cell r="D76">
            <v>3070.17</v>
          </cell>
          <cell r="E76">
            <v>19229.599999999999</v>
          </cell>
          <cell r="F76">
            <v>4460.67</v>
          </cell>
          <cell r="G76">
            <v>0</v>
          </cell>
          <cell r="H76">
            <v>6557.9699999999993</v>
          </cell>
        </row>
        <row r="77">
          <cell r="C77">
            <v>10200.090000000002</v>
          </cell>
          <cell r="D77">
            <v>9564.3299999999981</v>
          </cell>
          <cell r="E77">
            <v>4077.5199999999986</v>
          </cell>
          <cell r="F77">
            <v>7526.2899999999991</v>
          </cell>
          <cell r="G77">
            <v>11353.000000000002</v>
          </cell>
          <cell r="H77">
            <v>9116.6899999999987</v>
          </cell>
        </row>
        <row r="78">
          <cell r="C78">
            <v>7224.27</v>
          </cell>
          <cell r="D78">
            <v>9359.5400000000009</v>
          </cell>
          <cell r="E78">
            <v>10704.849999999999</v>
          </cell>
          <cell r="F78">
            <v>9177.7899999999991</v>
          </cell>
          <cell r="G78">
            <v>17655.87</v>
          </cell>
          <cell r="H78">
            <v>10259</v>
          </cell>
        </row>
        <row r="79">
          <cell r="C79">
            <v>5809.56</v>
          </cell>
          <cell r="D79">
            <v>-6411.82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C80">
            <v>0</v>
          </cell>
          <cell r="D80">
            <v>0</v>
          </cell>
          <cell r="E80">
            <v>21.24</v>
          </cell>
          <cell r="F80">
            <v>154.77000000000001</v>
          </cell>
          <cell r="G80">
            <v>197.76</v>
          </cell>
          <cell r="H80">
            <v>-19.96</v>
          </cell>
        </row>
        <row r="81">
          <cell r="C81">
            <v>7.22</v>
          </cell>
          <cell r="D81">
            <v>0</v>
          </cell>
          <cell r="E81">
            <v>201.67</v>
          </cell>
          <cell r="F81">
            <v>0</v>
          </cell>
          <cell r="G81">
            <v>0</v>
          </cell>
          <cell r="H81">
            <v>0</v>
          </cell>
        </row>
        <row r="82">
          <cell r="C82">
            <v>26101.8</v>
          </cell>
          <cell r="D82">
            <v>39903.569999999992</v>
          </cell>
          <cell r="E82">
            <v>7661.8200000000015</v>
          </cell>
          <cell r="F82">
            <v>22113.65</v>
          </cell>
          <cell r="G82">
            <v>23129.929999999997</v>
          </cell>
          <cell r="H82">
            <v>22121.93</v>
          </cell>
        </row>
        <row r="83">
          <cell r="C83">
            <v>2224.7800000000002</v>
          </cell>
          <cell r="D83">
            <v>2129.21</v>
          </cell>
          <cell r="E83">
            <v>2392.91</v>
          </cell>
          <cell r="F83">
            <v>2130.86</v>
          </cell>
          <cell r="G83">
            <v>2375.35</v>
          </cell>
          <cell r="H83">
            <v>1986.12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-90</v>
          </cell>
          <cell r="H84">
            <v>0</v>
          </cell>
        </row>
        <row r="85">
          <cell r="C85">
            <v>258815.49</v>
          </cell>
          <cell r="D85">
            <v>236243.71</v>
          </cell>
          <cell r="E85">
            <v>-219998.26999999996</v>
          </cell>
          <cell r="F85">
            <v>155498.62</v>
          </cell>
          <cell r="G85">
            <v>160887.69</v>
          </cell>
          <cell r="H85">
            <v>154332.61000000002</v>
          </cell>
        </row>
        <row r="86">
          <cell r="C86">
            <v>204.4</v>
          </cell>
          <cell r="D86">
            <v>150.75</v>
          </cell>
          <cell r="E86">
            <v>130.11000000000001</v>
          </cell>
          <cell r="F86">
            <v>108.7</v>
          </cell>
          <cell r="G86">
            <v>10.050000000000001</v>
          </cell>
          <cell r="H86">
            <v>0</v>
          </cell>
        </row>
        <row r="87">
          <cell r="C87">
            <v>9137.02</v>
          </cell>
          <cell r="D87">
            <v>9790.74</v>
          </cell>
          <cell r="E87">
            <v>8775.6</v>
          </cell>
          <cell r="F87">
            <v>15140.27</v>
          </cell>
          <cell r="G87">
            <v>7192.99</v>
          </cell>
          <cell r="H87">
            <v>12703.889999999998</v>
          </cell>
        </row>
        <row r="88">
          <cell r="C88">
            <v>395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C89">
            <v>92.5</v>
          </cell>
          <cell r="D89">
            <v>0</v>
          </cell>
          <cell r="E89">
            <v>0</v>
          </cell>
          <cell r="F89">
            <v>206.34</v>
          </cell>
          <cell r="G89">
            <v>0</v>
          </cell>
          <cell r="H89">
            <v>0</v>
          </cell>
        </row>
        <row r="90">
          <cell r="C90">
            <v>-4731.29</v>
          </cell>
          <cell r="D90">
            <v>-25367.87</v>
          </cell>
          <cell r="E90">
            <v>-6325.79</v>
          </cell>
          <cell r="F90">
            <v>-4895.53</v>
          </cell>
          <cell r="G90">
            <v>-26382.78</v>
          </cell>
          <cell r="H90">
            <v>-5662.56</v>
          </cell>
        </row>
        <row r="91">
          <cell r="C91">
            <v>0</v>
          </cell>
          <cell r="D91">
            <v>1331.8400000000001</v>
          </cell>
          <cell r="E91">
            <v>7.58</v>
          </cell>
          <cell r="F91">
            <v>0</v>
          </cell>
          <cell r="G91">
            <v>9.56</v>
          </cell>
          <cell r="H91">
            <v>0</v>
          </cell>
        </row>
        <row r="92">
          <cell r="C92">
            <v>-831246.35</v>
          </cell>
          <cell r="D92">
            <v>-694191.90999999968</v>
          </cell>
          <cell r="E92">
            <v>-477225.28000000044</v>
          </cell>
          <cell r="F92">
            <v>-708629.43999999983</v>
          </cell>
          <cell r="G92">
            <v>-704519.55000000016</v>
          </cell>
          <cell r="H92">
            <v>-482659.37999999989</v>
          </cell>
        </row>
        <row r="93">
          <cell r="C93">
            <v>6769.3</v>
          </cell>
          <cell r="D93">
            <v>4064.37</v>
          </cell>
          <cell r="E93">
            <v>5669.0599999999995</v>
          </cell>
          <cell r="F93">
            <v>7466.16</v>
          </cell>
          <cell r="G93">
            <v>8921.7900000000009</v>
          </cell>
          <cell r="H93">
            <v>12968.37</v>
          </cell>
        </row>
        <row r="94">
          <cell r="C94">
            <v>-1252.8800000000001</v>
          </cell>
          <cell r="D94">
            <v>-958.93999999999994</v>
          </cell>
          <cell r="E94">
            <v>-970.97</v>
          </cell>
          <cell r="F94">
            <v>-1169.99</v>
          </cell>
          <cell r="G94">
            <v>-1134.3499999999999</v>
          </cell>
          <cell r="H94">
            <v>-1172.28</v>
          </cell>
        </row>
        <row r="95">
          <cell r="C95">
            <v>21554.92</v>
          </cell>
          <cell r="D95">
            <v>27630.63</v>
          </cell>
          <cell r="E95">
            <v>21837.949999999997</v>
          </cell>
          <cell r="F95">
            <v>21426.63</v>
          </cell>
          <cell r="G95">
            <v>21366.97</v>
          </cell>
          <cell r="H95">
            <v>5987.1699999999983</v>
          </cell>
        </row>
        <row r="96">
          <cell r="C96">
            <v>190049.16000000003</v>
          </cell>
          <cell r="D96">
            <v>168788.92</v>
          </cell>
          <cell r="E96">
            <v>389170.68000000028</v>
          </cell>
          <cell r="F96">
            <v>194652.47</v>
          </cell>
          <cell r="G96">
            <v>237294.73000000004</v>
          </cell>
          <cell r="H96">
            <v>21492.699999999946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7500</v>
          </cell>
          <cell r="H97">
            <v>0</v>
          </cell>
        </row>
      </sheetData>
      <sheetData sheetId="3">
        <row r="108">
          <cell r="C108">
            <v>1539524.1799999997</v>
          </cell>
          <cell r="D108">
            <v>1543650.84</v>
          </cell>
          <cell r="E108">
            <v>1552616.9000000004</v>
          </cell>
          <cell r="F108">
            <v>1562447.87</v>
          </cell>
          <cell r="G108">
            <v>1569259.6400000001</v>
          </cell>
          <cell r="H108">
            <v>1584165.39</v>
          </cell>
        </row>
        <row r="109">
          <cell r="C109">
            <v>4131.76</v>
          </cell>
          <cell r="D109">
            <v>4131.76</v>
          </cell>
          <cell r="E109">
            <v>4131.76</v>
          </cell>
          <cell r="F109">
            <v>4131.76</v>
          </cell>
          <cell r="G109">
            <v>4131.76</v>
          </cell>
          <cell r="H109">
            <v>4131.76</v>
          </cell>
        </row>
        <row r="112">
          <cell r="C112">
            <v>430926.30000000005</v>
          </cell>
          <cell r="D112">
            <v>346632.42000000004</v>
          </cell>
          <cell r="E112">
            <v>374616.85000000021</v>
          </cell>
          <cell r="F112">
            <v>250215.94999999992</v>
          </cell>
          <cell r="G112">
            <v>471464.82999999996</v>
          </cell>
          <cell r="H112">
            <v>389331.08</v>
          </cell>
        </row>
        <row r="127">
          <cell r="C127">
            <v>-14513202.599999998</v>
          </cell>
          <cell r="D127">
            <v>-12401756.080000002</v>
          </cell>
          <cell r="E127">
            <v>-9837265.3999999985</v>
          </cell>
          <cell r="F127">
            <v>-7970174.8899999997</v>
          </cell>
          <cell r="G127">
            <v>-5001329.6400000006</v>
          </cell>
          <cell r="H127">
            <v>-4280264.37</v>
          </cell>
        </row>
        <row r="128">
          <cell r="C128">
            <v>-469639.75</v>
          </cell>
          <cell r="D128">
            <v>1575634.25</v>
          </cell>
          <cell r="E128">
            <v>970697.5</v>
          </cell>
          <cell r="F128">
            <v>1251100.75</v>
          </cell>
          <cell r="G128">
            <v>548262.25</v>
          </cell>
          <cell r="H128">
            <v>160043.25</v>
          </cell>
        </row>
        <row r="129">
          <cell r="C129">
            <v>-6015709.9900000002</v>
          </cell>
          <cell r="D129">
            <v>-4997093.8500000006</v>
          </cell>
          <cell r="E129">
            <v>-3975390.9000000004</v>
          </cell>
          <cell r="F129">
            <v>-3087843.16</v>
          </cell>
          <cell r="G129">
            <v>-2175017.16</v>
          </cell>
          <cell r="H129">
            <v>-1875289.33</v>
          </cell>
        </row>
        <row r="130">
          <cell r="C130">
            <v>-879114.97</v>
          </cell>
          <cell r="D130">
            <v>-863109.11</v>
          </cell>
          <cell r="E130">
            <v>-978759.8899999999</v>
          </cell>
          <cell r="F130">
            <v>-585026.64</v>
          </cell>
          <cell r="G130">
            <v>-578724.99</v>
          </cell>
          <cell r="H130">
            <v>-688370.26</v>
          </cell>
        </row>
        <row r="131">
          <cell r="C131">
            <v>-312723</v>
          </cell>
          <cell r="D131">
            <v>758592.75</v>
          </cell>
          <cell r="E131">
            <v>351237.75</v>
          </cell>
          <cell r="F131">
            <v>564893.75</v>
          </cell>
          <cell r="G131">
            <v>122835.5</v>
          </cell>
          <cell r="H131">
            <v>39474</v>
          </cell>
        </row>
        <row r="132">
          <cell r="C132">
            <v>-193638.24</v>
          </cell>
          <cell r="D132">
            <v>-209627.9</v>
          </cell>
          <cell r="E132">
            <v>243164.97</v>
          </cell>
          <cell r="F132">
            <v>33559.599999999999</v>
          </cell>
          <cell r="G132">
            <v>-179297.55000000002</v>
          </cell>
          <cell r="H132">
            <v>405234.05000000005</v>
          </cell>
        </row>
        <row r="133">
          <cell r="C133">
            <v>-1046459.38</v>
          </cell>
          <cell r="D133">
            <v>-877899.77999999991</v>
          </cell>
          <cell r="E133">
            <v>-710312.75</v>
          </cell>
          <cell r="F133">
            <v>-551378.64</v>
          </cell>
          <cell r="G133">
            <v>-335450.63</v>
          </cell>
          <cell r="H133">
            <v>-257582.33</v>
          </cell>
        </row>
        <row r="134">
          <cell r="C134">
            <v>-27855</v>
          </cell>
          <cell r="D134">
            <v>138141</v>
          </cell>
          <cell r="E134">
            <v>61310</v>
          </cell>
          <cell r="F134">
            <v>110081</v>
          </cell>
          <cell r="G134">
            <v>34779</v>
          </cell>
          <cell r="H134">
            <v>12969</v>
          </cell>
        </row>
        <row r="135">
          <cell r="C135">
            <v>-164679.28</v>
          </cell>
          <cell r="D135">
            <v>-178264.2</v>
          </cell>
          <cell r="E135">
            <v>-212874.13</v>
          </cell>
          <cell r="F135">
            <v>-110474.21</v>
          </cell>
          <cell r="G135">
            <v>-89244.24</v>
          </cell>
          <cell r="H135">
            <v>-73989.83</v>
          </cell>
        </row>
        <row r="136">
          <cell r="C136">
            <v>-58143</v>
          </cell>
          <cell r="D136">
            <v>-54428</v>
          </cell>
          <cell r="E136">
            <v>-74827</v>
          </cell>
          <cell r="F136">
            <v>-49906</v>
          </cell>
          <cell r="G136">
            <v>-53615</v>
          </cell>
          <cell r="H136">
            <v>-55356</v>
          </cell>
        </row>
        <row r="137">
          <cell r="C137">
            <v>-1601632.24</v>
          </cell>
          <cell r="D137">
            <v>-1516342.71</v>
          </cell>
          <cell r="E137">
            <v>-1462848.99</v>
          </cell>
          <cell r="F137">
            <v>-1288495.24</v>
          </cell>
          <cell r="G137">
            <v>-1321434.6400000001</v>
          </cell>
          <cell r="H137">
            <v>-1287337.8499999999</v>
          </cell>
        </row>
        <row r="138">
          <cell r="C138">
            <v>5288.75</v>
          </cell>
          <cell r="D138">
            <v>4114.3100000000004</v>
          </cell>
          <cell r="E138">
            <v>3199.16</v>
          </cell>
          <cell r="F138">
            <v>3575.42</v>
          </cell>
          <cell r="G138">
            <v>6495.27</v>
          </cell>
          <cell r="H138">
            <v>4692.6899999999996</v>
          </cell>
        </row>
        <row r="139">
          <cell r="C139">
            <v>5595688.3600000003</v>
          </cell>
          <cell r="D139">
            <v>4352529.0599999996</v>
          </cell>
          <cell r="E139">
            <v>337618.93</v>
          </cell>
          <cell r="F139">
            <v>768369.22000000009</v>
          </cell>
          <cell r="G139">
            <v>5923128.8099999996</v>
          </cell>
          <cell r="H139">
            <v>4115123.04</v>
          </cell>
        </row>
        <row r="140">
          <cell r="C140">
            <v>-885.57</v>
          </cell>
          <cell r="D140">
            <v>-310.92</v>
          </cell>
          <cell r="E140">
            <v>-228.3</v>
          </cell>
          <cell r="F140">
            <v>-69.099999999999994</v>
          </cell>
          <cell r="G140">
            <v>-1817.86</v>
          </cell>
          <cell r="H140">
            <v>-783.41</v>
          </cell>
        </row>
        <row r="141">
          <cell r="C141">
            <v>8024574.0700000003</v>
          </cell>
          <cell r="D141">
            <v>6235593.46</v>
          </cell>
          <cell r="E141">
            <v>4547479.01</v>
          </cell>
          <cell r="F141">
            <v>3361821.54</v>
          </cell>
          <cell r="G141">
            <v>1534503.17</v>
          </cell>
          <cell r="H141">
            <v>1025911.25</v>
          </cell>
        </row>
        <row r="142">
          <cell r="C142">
            <v>3677985.7</v>
          </cell>
          <cell r="D142">
            <v>2844532.57</v>
          </cell>
          <cell r="E142">
            <v>2136550.7599999998</v>
          </cell>
          <cell r="F142">
            <v>1547231.7</v>
          </cell>
          <cell r="G142">
            <v>990664.23</v>
          </cell>
          <cell r="H142">
            <v>790859.4</v>
          </cell>
        </row>
        <row r="143">
          <cell r="C143">
            <v>672134.52</v>
          </cell>
          <cell r="D143">
            <v>664048.25</v>
          </cell>
          <cell r="E143">
            <v>769253.16</v>
          </cell>
          <cell r="F143">
            <v>453327.3</v>
          </cell>
          <cell r="G143">
            <v>452238.11</v>
          </cell>
          <cell r="H143">
            <v>558552.21</v>
          </cell>
        </row>
        <row r="144">
          <cell r="C144">
            <v>701686</v>
          </cell>
          <cell r="D144">
            <v>553678.14</v>
          </cell>
          <cell r="E144">
            <v>435084.35</v>
          </cell>
          <cell r="F144">
            <v>330096.84999999998</v>
          </cell>
          <cell r="G144">
            <v>195997.58</v>
          </cell>
          <cell r="H144">
            <v>141164.19</v>
          </cell>
        </row>
        <row r="145">
          <cell r="C145">
            <v>323890.83999999997</v>
          </cell>
          <cell r="D145">
            <v>-1619982.6400000001</v>
          </cell>
          <cell r="E145">
            <v>-833283.85</v>
          </cell>
          <cell r="F145">
            <v>-1158007.55</v>
          </cell>
          <cell r="G145">
            <v>-390751.61</v>
          </cell>
          <cell r="H145">
            <v>-478919.64</v>
          </cell>
        </row>
        <row r="146">
          <cell r="C146">
            <v>-11327380.869999999</v>
          </cell>
          <cell r="D146">
            <v>-12335696.460000001</v>
          </cell>
          <cell r="E146">
            <v>-8878999.3000000007</v>
          </cell>
          <cell r="F146">
            <v>-7684524.04</v>
          </cell>
          <cell r="G146">
            <v>-4221491.87</v>
          </cell>
          <cell r="H146">
            <v>-3604184.26</v>
          </cell>
        </row>
        <row r="147">
          <cell r="C147">
            <v>994734.2</v>
          </cell>
          <cell r="D147">
            <v>3043458.35</v>
          </cell>
          <cell r="E147">
            <v>3568544.23</v>
          </cell>
          <cell r="F147">
            <v>2130910.9</v>
          </cell>
          <cell r="G147">
            <v>-1903716.98</v>
          </cell>
          <cell r="H147">
            <v>-551572.89</v>
          </cell>
        </row>
        <row r="148">
          <cell r="C148">
            <v>2255744.84</v>
          </cell>
          <cell r="D148">
            <v>2376725.7999999998</v>
          </cell>
          <cell r="E148">
            <v>2699947.65</v>
          </cell>
          <cell r="F148">
            <v>2442279.3199999998</v>
          </cell>
          <cell r="G148">
            <v>9857.76</v>
          </cell>
          <cell r="H148">
            <v>10008.9</v>
          </cell>
        </row>
        <row r="149">
          <cell r="C149">
            <v>-22774.57</v>
          </cell>
          <cell r="D149">
            <v>-5573.91</v>
          </cell>
          <cell r="E149">
            <v>-10704.99</v>
          </cell>
          <cell r="F149">
            <v>-98792.27</v>
          </cell>
          <cell r="G149">
            <v>-1863094.7</v>
          </cell>
          <cell r="H149">
            <v>-1635911.13</v>
          </cell>
        </row>
        <row r="150">
          <cell r="C150">
            <v>-5262.99</v>
          </cell>
          <cell r="D150">
            <v>-1034.33</v>
          </cell>
          <cell r="E150">
            <v>1052.7700000000004</v>
          </cell>
          <cell r="F150">
            <v>-2337.79</v>
          </cell>
          <cell r="G150">
            <v>-107.31999999999971</v>
          </cell>
          <cell r="H150">
            <v>-1519.73</v>
          </cell>
        </row>
        <row r="151">
          <cell r="C151">
            <v>20628.030000000002</v>
          </cell>
          <cell r="D151">
            <v>30051.77</v>
          </cell>
          <cell r="E151">
            <v>6702.43</v>
          </cell>
          <cell r="F151">
            <v>9489.93</v>
          </cell>
          <cell r="G151">
            <v>2729.3599999999997</v>
          </cell>
          <cell r="H151">
            <v>1518.5900000000001</v>
          </cell>
        </row>
        <row r="152">
          <cell r="C152">
            <v>4629.92</v>
          </cell>
          <cell r="D152">
            <v>4715.18</v>
          </cell>
          <cell r="E152">
            <v>4104.7000000000007</v>
          </cell>
          <cell r="F152">
            <v>2532.96</v>
          </cell>
          <cell r="G152">
            <v>1936.4099999999999</v>
          </cell>
          <cell r="H152">
            <v>-163.76999999999998</v>
          </cell>
        </row>
        <row r="153">
          <cell r="C153">
            <v>4238.1900000000005</v>
          </cell>
          <cell r="D153">
            <v>2653.4</v>
          </cell>
          <cell r="E153">
            <v>292.36000000000007</v>
          </cell>
          <cell r="F153">
            <v>2998.1400000000003</v>
          </cell>
          <cell r="G153">
            <v>3432.8</v>
          </cell>
          <cell r="H153">
            <v>3947.33</v>
          </cell>
        </row>
        <row r="154">
          <cell r="C154">
            <v>104.25</v>
          </cell>
          <cell r="D154">
            <v>111.93</v>
          </cell>
          <cell r="E154">
            <v>109.46</v>
          </cell>
          <cell r="F154">
            <v>0</v>
          </cell>
          <cell r="G154">
            <v>214.73</v>
          </cell>
          <cell r="H154">
            <v>67.94</v>
          </cell>
        </row>
        <row r="155">
          <cell r="C155">
            <v>700.76</v>
          </cell>
          <cell r="D155">
            <v>-61.53</v>
          </cell>
          <cell r="E155">
            <v>540.61</v>
          </cell>
          <cell r="F155">
            <v>138.97</v>
          </cell>
          <cell r="G155">
            <v>506.53999999999996</v>
          </cell>
          <cell r="H155">
            <v>93.31</v>
          </cell>
        </row>
        <row r="156">
          <cell r="C156">
            <v>6912.96</v>
          </cell>
          <cell r="D156">
            <v>1672.1000000000001</v>
          </cell>
          <cell r="E156">
            <v>1079.7099999999996</v>
          </cell>
          <cell r="F156">
            <v>1727.2300000000002</v>
          </cell>
          <cell r="G156">
            <v>1413.6599999999999</v>
          </cell>
          <cell r="H156">
            <v>156.72999999999999</v>
          </cell>
        </row>
        <row r="157">
          <cell r="C157">
            <v>1749.6399999999999</v>
          </cell>
          <cell r="D157">
            <v>1281.54</v>
          </cell>
          <cell r="E157">
            <v>1435.3400000000001</v>
          </cell>
          <cell r="F157">
            <v>609.9</v>
          </cell>
          <cell r="G157">
            <v>379.66</v>
          </cell>
          <cell r="H157">
            <v>206.07</v>
          </cell>
        </row>
        <row r="158">
          <cell r="C158">
            <v>420.89</v>
          </cell>
          <cell r="D158">
            <v>965.79</v>
          </cell>
          <cell r="E158">
            <v>435.61</v>
          </cell>
          <cell r="F158">
            <v>1452.3</v>
          </cell>
          <cell r="G158">
            <v>2170</v>
          </cell>
          <cell r="H158">
            <v>3133</v>
          </cell>
        </row>
        <row r="159">
          <cell r="C159">
            <v>157.15</v>
          </cell>
          <cell r="D159">
            <v>6645.0599999999995</v>
          </cell>
          <cell r="E159">
            <v>-629.18999999999994</v>
          </cell>
          <cell r="F159">
            <v>0</v>
          </cell>
          <cell r="G159">
            <v>15.61</v>
          </cell>
          <cell r="H159">
            <v>0</v>
          </cell>
        </row>
        <row r="160">
          <cell r="C160">
            <v>17878.14</v>
          </cell>
          <cell r="D160">
            <v>2111.9299999999994</v>
          </cell>
          <cell r="E160">
            <v>9048.65</v>
          </cell>
          <cell r="F160">
            <v>11668.31</v>
          </cell>
          <cell r="G160">
            <v>15076.6</v>
          </cell>
          <cell r="H160">
            <v>13540.470000000003</v>
          </cell>
        </row>
        <row r="161">
          <cell r="C161">
            <v>31.3</v>
          </cell>
          <cell r="D161">
            <v>30.74</v>
          </cell>
          <cell r="E161">
            <v>30.4</v>
          </cell>
          <cell r="F161">
            <v>29.65</v>
          </cell>
          <cell r="G161">
            <v>29.54</v>
          </cell>
          <cell r="H161">
            <v>28.29</v>
          </cell>
        </row>
        <row r="162">
          <cell r="C162">
            <v>9552.4699999999993</v>
          </cell>
          <cell r="D162">
            <v>31996.649999999998</v>
          </cell>
          <cell r="E162">
            <v>28224.389999999992</v>
          </cell>
          <cell r="F162">
            <v>15085.860000000002</v>
          </cell>
          <cell r="G162">
            <v>22350.339999999997</v>
          </cell>
          <cell r="H162">
            <v>21291.460000000003</v>
          </cell>
        </row>
        <row r="163">
          <cell r="C163">
            <v>842.1</v>
          </cell>
          <cell r="D163">
            <v>707.12000000000012</v>
          </cell>
          <cell r="E163">
            <v>867.69999999999993</v>
          </cell>
          <cell r="F163">
            <v>931.88</v>
          </cell>
          <cell r="G163">
            <v>1815.2399999999998</v>
          </cell>
          <cell r="H163">
            <v>915.41</v>
          </cell>
        </row>
        <row r="164">
          <cell r="C164">
            <v>2499584.8600000003</v>
          </cell>
          <cell r="D164">
            <v>2564753.77</v>
          </cell>
          <cell r="E164">
            <v>2280622.62</v>
          </cell>
          <cell r="F164">
            <v>2438250.5500000003</v>
          </cell>
          <cell r="G164">
            <v>2050639.5699999998</v>
          </cell>
          <cell r="H164">
            <v>1662627.06</v>
          </cell>
        </row>
        <row r="165">
          <cell r="C165">
            <v>-676.01</v>
          </cell>
          <cell r="D165">
            <v>0</v>
          </cell>
          <cell r="E165">
            <v>0</v>
          </cell>
          <cell r="F165">
            <v>2122.2600000000002</v>
          </cell>
          <cell r="G165">
            <v>-144.44999999999999</v>
          </cell>
          <cell r="H165">
            <v>338.01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186.24</v>
          </cell>
          <cell r="G166">
            <v>11.17</v>
          </cell>
          <cell r="H166">
            <v>0</v>
          </cell>
        </row>
        <row r="167">
          <cell r="C167">
            <v>121488.34000000003</v>
          </cell>
          <cell r="D167">
            <v>66761.950000000186</v>
          </cell>
          <cell r="E167">
            <v>96506.540000000139</v>
          </cell>
          <cell r="F167">
            <v>95123.020000000135</v>
          </cell>
          <cell r="G167">
            <v>107405.7199999999</v>
          </cell>
          <cell r="H167">
            <v>97613.249999999825</v>
          </cell>
        </row>
        <row r="168">
          <cell r="C168">
            <v>50.39</v>
          </cell>
          <cell r="D168">
            <v>48.27</v>
          </cell>
          <cell r="E168">
            <v>58.99</v>
          </cell>
          <cell r="F168">
            <v>27.05</v>
          </cell>
          <cell r="G168">
            <v>61.11</v>
          </cell>
          <cell r="H168">
            <v>351.99</v>
          </cell>
        </row>
        <row r="169">
          <cell r="C169">
            <v>58.55</v>
          </cell>
          <cell r="D169">
            <v>0</v>
          </cell>
          <cell r="E169">
            <v>0</v>
          </cell>
          <cell r="F169">
            <v>1204.3900000000001</v>
          </cell>
          <cell r="G169">
            <v>0</v>
          </cell>
          <cell r="H169">
            <v>0</v>
          </cell>
        </row>
        <row r="170">
          <cell r="C170">
            <v>226559.30000000008</v>
          </cell>
          <cell r="D170">
            <v>356356.31999999995</v>
          </cell>
          <cell r="E170">
            <v>331226.78999999986</v>
          </cell>
          <cell r="F170">
            <v>248100.91999999972</v>
          </cell>
          <cell r="G170">
            <v>307975.7300000001</v>
          </cell>
          <cell r="H170">
            <v>220157.03999999998</v>
          </cell>
        </row>
        <row r="171">
          <cell r="C171">
            <v>61861.51</v>
          </cell>
          <cell r="D171">
            <v>19205.089999999997</v>
          </cell>
          <cell r="E171">
            <v>28782.089999999993</v>
          </cell>
          <cell r="F171">
            <v>39929.380000000005</v>
          </cell>
          <cell r="G171">
            <v>50494.560000000005</v>
          </cell>
          <cell r="H171">
            <v>41510.879999999997</v>
          </cell>
        </row>
        <row r="172">
          <cell r="C172">
            <v>2603.9899999999998</v>
          </cell>
          <cell r="D172">
            <v>3727.6899999999996</v>
          </cell>
          <cell r="E172">
            <v>2853.23</v>
          </cell>
          <cell r="F172">
            <v>3280.3199999999997</v>
          </cell>
          <cell r="G172">
            <v>2718.58</v>
          </cell>
          <cell r="H172">
            <v>-32.42999999999995</v>
          </cell>
        </row>
        <row r="173">
          <cell r="C173">
            <v>487.4</v>
          </cell>
          <cell r="D173">
            <v>1110.8999999999999</v>
          </cell>
          <cell r="E173">
            <v>1390.9699999999998</v>
          </cell>
          <cell r="F173">
            <v>96.56</v>
          </cell>
          <cell r="G173">
            <v>511.49</v>
          </cell>
          <cell r="H173">
            <v>7618.79</v>
          </cell>
        </row>
        <row r="174">
          <cell r="C174">
            <v>98617.510000000009</v>
          </cell>
          <cell r="D174">
            <v>50225.19999999999</v>
          </cell>
          <cell r="E174">
            <v>78582.409999999945</v>
          </cell>
          <cell r="F174">
            <v>75636.77</v>
          </cell>
          <cell r="G174">
            <v>88113.15</v>
          </cell>
          <cell r="H174">
            <v>80622.14</v>
          </cell>
        </row>
        <row r="175">
          <cell r="C175">
            <v>26.67</v>
          </cell>
          <cell r="D175">
            <v>1976.07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C176">
            <v>4559.17</v>
          </cell>
          <cell r="D176">
            <v>9769.4200000000019</v>
          </cell>
          <cell r="E176">
            <v>25806.979999999996</v>
          </cell>
          <cell r="F176">
            <v>9218.4900000000016</v>
          </cell>
          <cell r="G176">
            <v>12897.25</v>
          </cell>
          <cell r="H176">
            <v>11839.650000000001</v>
          </cell>
        </row>
        <row r="177">
          <cell r="C177">
            <v>37613.359999999993</v>
          </cell>
          <cell r="D177">
            <v>31576.730000000003</v>
          </cell>
          <cell r="E177">
            <v>33008.11</v>
          </cell>
          <cell r="F177">
            <v>30693.929999999989</v>
          </cell>
          <cell r="G177">
            <v>34123.14</v>
          </cell>
          <cell r="H177">
            <v>40750.900000000009</v>
          </cell>
        </row>
        <row r="178">
          <cell r="C178">
            <v>312.39</v>
          </cell>
          <cell r="D178">
            <v>168.3</v>
          </cell>
          <cell r="E178">
            <v>21.29</v>
          </cell>
          <cell r="F178">
            <v>0</v>
          </cell>
          <cell r="G178">
            <v>238.17</v>
          </cell>
          <cell r="H178">
            <v>174</v>
          </cell>
        </row>
        <row r="179">
          <cell r="C179">
            <v>0</v>
          </cell>
          <cell r="D179">
            <v>13.02</v>
          </cell>
          <cell r="E179">
            <v>47.55</v>
          </cell>
          <cell r="F179">
            <v>22.37</v>
          </cell>
          <cell r="G179">
            <v>0</v>
          </cell>
          <cell r="H179">
            <v>67.63</v>
          </cell>
        </row>
        <row r="180">
          <cell r="C180">
            <v>2051.67</v>
          </cell>
          <cell r="D180">
            <v>1614.92</v>
          </cell>
          <cell r="E180">
            <v>2274.3399999999997</v>
          </cell>
          <cell r="F180">
            <v>1692.15</v>
          </cell>
          <cell r="G180">
            <v>2720.2899999999995</v>
          </cell>
          <cell r="H180">
            <v>4890.25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18.02</v>
          </cell>
          <cell r="G181">
            <v>0</v>
          </cell>
          <cell r="H181">
            <v>0</v>
          </cell>
        </row>
        <row r="182">
          <cell r="C182">
            <v>4089.86</v>
          </cell>
          <cell r="D182">
            <v>299.19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C183">
            <v>114</v>
          </cell>
          <cell r="D183">
            <v>1284.8</v>
          </cell>
          <cell r="E183">
            <v>52.81</v>
          </cell>
          <cell r="F183">
            <v>170</v>
          </cell>
          <cell r="G183">
            <v>0</v>
          </cell>
          <cell r="H183">
            <v>583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50.87</v>
          </cell>
          <cell r="H184">
            <v>0</v>
          </cell>
        </row>
        <row r="185">
          <cell r="C185">
            <v>3597.5099999999998</v>
          </cell>
          <cell r="D185">
            <v>17018.47</v>
          </cell>
          <cell r="E185">
            <v>12171.419999999998</v>
          </cell>
          <cell r="F185">
            <v>1369.0500000000002</v>
          </cell>
          <cell r="G185">
            <v>1322.5700000000002</v>
          </cell>
          <cell r="H185">
            <v>9941.74</v>
          </cell>
        </row>
        <row r="186">
          <cell r="C186">
            <v>875.79000000000008</v>
          </cell>
          <cell r="D186">
            <v>813.25</v>
          </cell>
          <cell r="E186">
            <v>1734.98</v>
          </cell>
          <cell r="F186">
            <v>992.0100000000001</v>
          </cell>
          <cell r="G186">
            <v>525.57000000000005</v>
          </cell>
          <cell r="H186">
            <v>239.21</v>
          </cell>
        </row>
        <row r="187">
          <cell r="C187">
            <v>0</v>
          </cell>
          <cell r="D187">
            <v>48.86</v>
          </cell>
          <cell r="E187">
            <v>-18.32</v>
          </cell>
          <cell r="F187">
            <v>172.46</v>
          </cell>
          <cell r="G187">
            <v>0</v>
          </cell>
          <cell r="H187">
            <v>0</v>
          </cell>
        </row>
        <row r="188">
          <cell r="C188">
            <v>110784.90999999999</v>
          </cell>
          <cell r="D188">
            <v>105089.31999999998</v>
          </cell>
          <cell r="E188">
            <v>126664.08000000002</v>
          </cell>
          <cell r="F188">
            <v>97026.380000000019</v>
          </cell>
          <cell r="G188">
            <v>108759.08</v>
          </cell>
          <cell r="H188">
            <v>104421.48000000001</v>
          </cell>
        </row>
        <row r="189">
          <cell r="C189">
            <v>23155.33</v>
          </cell>
          <cell r="D189">
            <v>39749.359999999993</v>
          </cell>
          <cell r="E189">
            <v>501984.22000000003</v>
          </cell>
          <cell r="F189">
            <v>102686.18999999999</v>
          </cell>
          <cell r="G189">
            <v>138341.84999999998</v>
          </cell>
          <cell r="H189">
            <v>123054.95999999999</v>
          </cell>
        </row>
        <row r="190">
          <cell r="C190">
            <v>49058</v>
          </cell>
          <cell r="D190">
            <v>39838</v>
          </cell>
          <cell r="E190">
            <v>32057</v>
          </cell>
          <cell r="F190">
            <v>27877</v>
          </cell>
          <cell r="G190">
            <v>23175</v>
          </cell>
          <cell r="H190">
            <v>21912</v>
          </cell>
        </row>
        <row r="191">
          <cell r="C191">
            <v>10133.370000000001</v>
          </cell>
          <cell r="D191">
            <v>9037.86</v>
          </cell>
          <cell r="E191">
            <v>11220.49</v>
          </cell>
          <cell r="F191">
            <v>9707.85</v>
          </cell>
          <cell r="G191">
            <v>12366.190000000002</v>
          </cell>
          <cell r="H191">
            <v>12062.02</v>
          </cell>
        </row>
        <row r="192">
          <cell r="C192">
            <v>22301.33</v>
          </cell>
          <cell r="D192">
            <v>16762.810000000001</v>
          </cell>
          <cell r="E192">
            <v>23243.09</v>
          </cell>
          <cell r="F192">
            <v>19798.989999999998</v>
          </cell>
          <cell r="G192">
            <v>21407.67</v>
          </cell>
          <cell r="H192">
            <v>21584.890000000003</v>
          </cell>
        </row>
        <row r="193">
          <cell r="C193">
            <v>16390.32</v>
          </cell>
          <cell r="D193">
            <v>8111.26</v>
          </cell>
          <cell r="E193">
            <v>12044.060000000001</v>
          </cell>
          <cell r="F193">
            <v>10477.56</v>
          </cell>
          <cell r="G193">
            <v>6937.37</v>
          </cell>
          <cell r="H193">
            <v>6607.42</v>
          </cell>
        </row>
        <row r="194">
          <cell r="C194">
            <v>1111.1600000000001</v>
          </cell>
          <cell r="D194">
            <v>7084.3</v>
          </cell>
          <cell r="E194">
            <v>2365.9899999999998</v>
          </cell>
          <cell r="F194">
            <v>2627.1400000000003</v>
          </cell>
          <cell r="G194">
            <v>3104.84</v>
          </cell>
          <cell r="H194">
            <v>3025</v>
          </cell>
        </row>
        <row r="195">
          <cell r="C195">
            <v>13290.94</v>
          </cell>
          <cell r="D195">
            <v>9993.0299999999988</v>
          </cell>
          <cell r="E195">
            <v>13406.640000000001</v>
          </cell>
          <cell r="F195">
            <v>10433.07</v>
          </cell>
          <cell r="G195">
            <v>12196.779999999999</v>
          </cell>
          <cell r="H195">
            <v>12401.91</v>
          </cell>
        </row>
        <row r="196">
          <cell r="C196">
            <v>213</v>
          </cell>
          <cell r="D196">
            <v>-50</v>
          </cell>
          <cell r="E196">
            <v>141.4</v>
          </cell>
          <cell r="F196">
            <v>397.76</v>
          </cell>
          <cell r="G196">
            <v>623.2399999999999</v>
          </cell>
          <cell r="H196">
            <v>375.99</v>
          </cell>
        </row>
        <row r="197">
          <cell r="C197">
            <v>1165023.74</v>
          </cell>
          <cell r="D197">
            <v>1094816.6299999999</v>
          </cell>
          <cell r="E197">
            <v>946831.91999999993</v>
          </cell>
          <cell r="F197">
            <v>1026190.3400000001</v>
          </cell>
          <cell r="G197">
            <v>1198875.8399999999</v>
          </cell>
          <cell r="H197">
            <v>640902.33000000007</v>
          </cell>
        </row>
        <row r="198">
          <cell r="C198">
            <v>7268.05</v>
          </cell>
          <cell r="D198">
            <v>5262.9</v>
          </cell>
          <cell r="E198">
            <v>0</v>
          </cell>
          <cell r="F198">
            <v>10119.08</v>
          </cell>
          <cell r="G198">
            <v>9741.08</v>
          </cell>
          <cell r="H198">
            <v>5019.95</v>
          </cell>
        </row>
        <row r="199">
          <cell r="C199">
            <v>13990.779999999999</v>
          </cell>
          <cell r="D199">
            <v>13921.75</v>
          </cell>
          <cell r="E199">
            <v>14167.420000000002</v>
          </cell>
          <cell r="F199">
            <v>13939.490000000002</v>
          </cell>
          <cell r="G199">
            <v>14230.75</v>
          </cell>
          <cell r="H199">
            <v>13802.05</v>
          </cell>
        </row>
        <row r="200">
          <cell r="C200">
            <v>1847.5900000000001</v>
          </cell>
          <cell r="D200">
            <v>783.72</v>
          </cell>
          <cell r="E200">
            <v>2141.4499999999998</v>
          </cell>
          <cell r="F200">
            <v>5523.7</v>
          </cell>
          <cell r="G200">
            <v>488.45</v>
          </cell>
          <cell r="H200">
            <v>313.65999999999997</v>
          </cell>
        </row>
        <row r="201">
          <cell r="C201">
            <v>174539.36999999988</v>
          </cell>
          <cell r="D201">
            <v>152249.79999999996</v>
          </cell>
          <cell r="E201">
            <v>185191.22000000012</v>
          </cell>
          <cell r="F201">
            <v>160523.91999999995</v>
          </cell>
          <cell r="G201">
            <v>188456.50000000003</v>
          </cell>
          <cell r="H201">
            <v>160942.74000000005</v>
          </cell>
        </row>
        <row r="202">
          <cell r="C202">
            <v>0</v>
          </cell>
          <cell r="D202">
            <v>0</v>
          </cell>
          <cell r="E202">
            <v>842.28</v>
          </cell>
          <cell r="F202">
            <v>0</v>
          </cell>
          <cell r="G202">
            <v>14.37</v>
          </cell>
          <cell r="H202">
            <v>0</v>
          </cell>
        </row>
        <row r="203">
          <cell r="C203">
            <v>12347.07</v>
          </cell>
          <cell r="D203">
            <v>7382.07</v>
          </cell>
          <cell r="E203">
            <v>8449.07</v>
          </cell>
          <cell r="F203">
            <v>4277.07</v>
          </cell>
          <cell r="G203">
            <v>14490.15</v>
          </cell>
          <cell r="H203">
            <v>4482.07</v>
          </cell>
        </row>
        <row r="204">
          <cell r="C204">
            <v>1283.2</v>
          </cell>
          <cell r="D204">
            <v>1283.2</v>
          </cell>
          <cell r="E204">
            <v>1283.2</v>
          </cell>
          <cell r="F204">
            <v>1283.2</v>
          </cell>
          <cell r="G204">
            <v>1304.52</v>
          </cell>
          <cell r="H204">
            <v>1304.52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 9 (3)"/>
      <sheetName val="Div 9 (2)"/>
      <sheetName val="Div 9"/>
      <sheetName val="Div 91"/>
      <sheetName val="Div 2"/>
      <sheetName val="Div 12"/>
      <sheetName val="Div 9 expanded"/>
      <sheetName val="Div 9 gas cost"/>
      <sheetName val="Div 9 Allocations"/>
      <sheetName val="FY2017"/>
      <sheetName val="FY2018"/>
    </sheetNames>
    <sheetDataSet>
      <sheetData sheetId="0"/>
      <sheetData sheetId="1"/>
      <sheetData sheetId="2">
        <row r="29">
          <cell r="I29">
            <v>1559465.0197916699</v>
          </cell>
          <cell r="J29">
            <v>1604120.31979167</v>
          </cell>
          <cell r="K29">
            <v>1642423.8447916401</v>
          </cell>
          <cell r="L29">
            <v>1557417.4893696301</v>
          </cell>
          <cell r="M29">
            <v>1565605.12936963</v>
          </cell>
          <cell r="N29">
            <v>1569037.90936963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O&amp;M Comparison"/>
      <sheetName val="Div 2 forecast"/>
      <sheetName val="Div 12 forecast"/>
      <sheetName val="Div 9 forecast"/>
      <sheetName val="Div 91 forecast"/>
      <sheetName val="Div 2 history"/>
      <sheetName val="Div 12 history "/>
      <sheetName val="Div 9 history "/>
      <sheetName val="Div 91 history"/>
      <sheetName val="Div 002 FY18 Budget "/>
      <sheetName val="Div 012 FY18 Budget"/>
      <sheetName val="Div 009 FY18 Budget"/>
      <sheetName val="Div 091 FY18 Budget"/>
      <sheetName val="incent comp w cap credits"/>
      <sheetName val="final summary"/>
      <sheetName val="adjustment"/>
      <sheetName val="CPI Index"/>
      <sheetName val="Escalation"/>
      <sheetName val="SS Controller 1903"/>
    </sheetNames>
    <sheetDataSet>
      <sheetData sheetId="0"/>
      <sheetData sheetId="1">
        <row r="6">
          <cell r="C6">
            <v>4988281.5248999996</v>
          </cell>
          <cell r="D6">
            <v>5015768.4274629997</v>
          </cell>
        </row>
        <row r="7">
          <cell r="C7">
            <v>1816657.5751999998</v>
          </cell>
          <cell r="D7">
            <v>1741158.0604214496</v>
          </cell>
        </row>
        <row r="10">
          <cell r="C10">
            <v>586727.88</v>
          </cell>
          <cell r="D10">
            <v>524452.03</v>
          </cell>
        </row>
        <row r="22">
          <cell r="C22">
            <v>369911.19170000002</v>
          </cell>
          <cell r="D22">
            <v>362112.25893361459</v>
          </cell>
        </row>
        <row r="25">
          <cell r="C25">
            <v>13435811.581799999</v>
          </cell>
          <cell r="D25">
            <v>13551832.796818065</v>
          </cell>
          <cell r="G25">
            <v>8760738.5941787995</v>
          </cell>
          <cell r="H25">
            <v>8279037.1186742</v>
          </cell>
          <cell r="K25">
            <v>4765341.2198996777</v>
          </cell>
          <cell r="L25">
            <v>5733363.7124051219</v>
          </cell>
        </row>
      </sheetData>
      <sheetData sheetId="2"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2050.2399999999998</v>
          </cell>
          <cell r="L64">
            <v>387.44232493898841</v>
          </cell>
          <cell r="M64">
            <v>160.14539653598621</v>
          </cell>
          <cell r="N64">
            <v>155.54652823536208</v>
          </cell>
          <cell r="O64">
            <v>218.06589217852598</v>
          </cell>
          <cell r="P64">
            <v>271.23202058901813</v>
          </cell>
          <cell r="Q64">
            <v>252.58126355773558</v>
          </cell>
          <cell r="U64">
            <v>221.11013525573136</v>
          </cell>
          <cell r="V64">
            <v>628.7099639014757</v>
          </cell>
          <cell r="W64">
            <v>227.47659072511064</v>
          </cell>
          <cell r="X64">
            <v>396.99378918591907</v>
          </cell>
          <cell r="Y64">
            <v>153.05577965464718</v>
          </cell>
          <cell r="Z64">
            <v>153.49045968446919</v>
          </cell>
          <cell r="AA64">
            <v>218.06589217852598</v>
          </cell>
          <cell r="AB64">
            <v>271.23202058901813</v>
          </cell>
          <cell r="AC64">
            <v>252.58126355773558</v>
          </cell>
          <cell r="AD64">
            <v>272.40278448265957</v>
          </cell>
          <cell r="AE64">
            <v>261.83693084704555</v>
          </cell>
          <cell r="AF64">
            <v>260.33382355097314</v>
          </cell>
        </row>
        <row r="65">
          <cell r="F65">
            <v>8615.93</v>
          </cell>
          <cell r="G65">
            <v>10668.560000000001</v>
          </cell>
          <cell r="H65">
            <v>5145.13</v>
          </cell>
          <cell r="I65">
            <v>4348.24</v>
          </cell>
          <cell r="J65">
            <v>1238.05</v>
          </cell>
          <cell r="K65">
            <v>4018.47</v>
          </cell>
          <cell r="L65">
            <v>6431.6174277435848</v>
          </cell>
          <cell r="M65">
            <v>2658.4445142795175</v>
          </cell>
          <cell r="N65">
            <v>2582.1024122263943</v>
          </cell>
          <cell r="O65">
            <v>3619.9359291804767</v>
          </cell>
          <cell r="P65">
            <v>4502.5039297323565</v>
          </cell>
          <cell r="Q65">
            <v>4192.8977606544231</v>
          </cell>
          <cell r="U65">
            <v>3670.4709522519111</v>
          </cell>
          <cell r="V65">
            <v>10436.706834911574</v>
          </cell>
          <cell r="W65">
            <v>3776.1553427125073</v>
          </cell>
          <cell r="X65">
            <v>6590.1735790899902</v>
          </cell>
          <cell r="Y65">
            <v>2540.7555047031228</v>
          </cell>
          <cell r="Z65">
            <v>2547.9712771557988</v>
          </cell>
          <cell r="AA65">
            <v>3619.9359291804767</v>
          </cell>
          <cell r="AB65">
            <v>4502.5039297323565</v>
          </cell>
          <cell r="AC65">
            <v>4192.8977606544231</v>
          </cell>
          <cell r="AD65">
            <v>4521.9388364976485</v>
          </cell>
          <cell r="AE65">
            <v>4346.5436253716989</v>
          </cell>
          <cell r="AF65">
            <v>4321.5917539345492</v>
          </cell>
        </row>
        <row r="265">
          <cell r="F265">
            <v>688472.95000000007</v>
          </cell>
          <cell r="G265">
            <v>745112.52000000014</v>
          </cell>
          <cell r="H265">
            <v>660499</v>
          </cell>
          <cell r="I265">
            <v>744760.69000000006</v>
          </cell>
          <cell r="J265">
            <v>703836.10000000021</v>
          </cell>
          <cell r="K265">
            <v>854798.40999999992</v>
          </cell>
          <cell r="L265">
            <v>832723.84053338866</v>
          </cell>
          <cell r="M265">
            <v>790593.91488608147</v>
          </cell>
          <cell r="N265">
            <v>10704332.96341585</v>
          </cell>
          <cell r="O265">
            <v>851643.93513839738</v>
          </cell>
          <cell r="P265">
            <v>854980.9546290827</v>
          </cell>
          <cell r="Q265">
            <v>897211.2720592143</v>
          </cell>
          <cell r="U265">
            <v>959128.20668556285</v>
          </cell>
          <cell r="V265">
            <v>823566.05553143891</v>
          </cell>
          <cell r="W265">
            <v>850361.14784231526</v>
          </cell>
          <cell r="X265">
            <v>863682.78353172343</v>
          </cell>
          <cell r="Y265">
            <v>824747.83824577823</v>
          </cell>
          <cell r="Z265">
            <v>937544.7301850043</v>
          </cell>
          <cell r="AA265">
            <v>851643.93513839738</v>
          </cell>
          <cell r="AB265">
            <v>854980.9546290827</v>
          </cell>
          <cell r="AC265">
            <v>897211.2720592143</v>
          </cell>
          <cell r="AD265">
            <v>877675.70726861374</v>
          </cell>
          <cell r="AE265">
            <v>826778.81985361513</v>
          </cell>
          <cell r="AF265">
            <v>853059.93473158078</v>
          </cell>
        </row>
        <row r="271">
          <cell r="F271">
            <v>724</v>
          </cell>
          <cell r="G271">
            <v>9465.02</v>
          </cell>
          <cell r="H271">
            <v>1237.9000000000001</v>
          </cell>
          <cell r="I271">
            <v>14317.5</v>
          </cell>
          <cell r="J271">
            <v>3471.8</v>
          </cell>
          <cell r="K271">
            <v>17956.509999999998</v>
          </cell>
          <cell r="L271">
            <v>8932.8114833660147</v>
          </cell>
          <cell r="M271">
            <v>8480.8745202372011</v>
          </cell>
          <cell r="N271">
            <v>114827.73011053301</v>
          </cell>
          <cell r="O271">
            <v>9135.7714925879627</v>
          </cell>
          <cell r="P271">
            <v>9171.5684333931131</v>
          </cell>
          <cell r="Q271">
            <v>9624.5823212198848</v>
          </cell>
          <cell r="U271">
            <v>10288.778874414273</v>
          </cell>
          <cell r="V271">
            <v>8834.5739128225614</v>
          </cell>
          <cell r="W271">
            <v>9122.0107515939035</v>
          </cell>
          <cell r="X271">
            <v>9264.9148627423729</v>
          </cell>
          <cell r="Y271">
            <v>8847.2511554901102</v>
          </cell>
          <cell r="Z271">
            <v>10057.248182784675</v>
          </cell>
          <cell r="AA271">
            <v>9135.7714925879627</v>
          </cell>
          <cell r="AB271">
            <v>9171.5684333931131</v>
          </cell>
          <cell r="AC271">
            <v>9624.5823212198848</v>
          </cell>
          <cell r="AD271">
            <v>9415.0200281747639</v>
          </cell>
          <cell r="AE271">
            <v>8869.0379411516915</v>
          </cell>
          <cell r="AF271">
            <v>9150.9612311432193</v>
          </cell>
        </row>
        <row r="290">
          <cell r="D290">
            <v>8140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D291">
            <v>8150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D292">
            <v>8160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D293">
            <v>8170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D294">
            <v>8180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D295">
            <v>8190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D296">
            <v>8200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D297">
            <v>8210</v>
          </cell>
          <cell r="F297">
            <v>0</v>
          </cell>
          <cell r="G297">
            <v>1500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423.5462956128523</v>
          </cell>
          <cell r="M297">
            <v>411.62308828801838</v>
          </cell>
          <cell r="N297">
            <v>476.62346960814978</v>
          </cell>
          <cell r="O297">
            <v>470.91723151957916</v>
          </cell>
          <cell r="P297">
            <v>414.64895633508735</v>
          </cell>
          <cell r="Q297">
            <v>452.31893526110503</v>
          </cell>
          <cell r="R297">
            <v>409.06367783959246</v>
          </cell>
          <cell r="S297">
            <v>415.07466353748788</v>
          </cell>
          <cell r="T297">
            <v>464.99309009097345</v>
          </cell>
          <cell r="U297">
            <v>417.46373235735962</v>
          </cell>
          <cell r="V297">
            <v>436.57968857395281</v>
          </cell>
          <cell r="W297">
            <v>470.88487777219672</v>
          </cell>
          <cell r="X297">
            <v>448.43989123283143</v>
          </cell>
          <cell r="Y297">
            <v>416.30580876683024</v>
          </cell>
          <cell r="Z297">
            <v>517.84719351221304</v>
          </cell>
          <cell r="AA297">
            <v>470.91723151957916</v>
          </cell>
          <cell r="AB297">
            <v>414.64895633508735</v>
          </cell>
          <cell r="AC297">
            <v>452.31893526110503</v>
          </cell>
          <cell r="AD297">
            <v>409.06367783959246</v>
          </cell>
          <cell r="AE297">
            <v>415.07466353748788</v>
          </cell>
          <cell r="AF297">
            <v>464.99309009097345</v>
          </cell>
        </row>
        <row r="298">
          <cell r="D298">
            <v>8240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D299">
            <v>8250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D300">
            <v>8310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D301">
            <v>8320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D302">
            <v>8340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D303">
            <v>8350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D304">
            <v>8360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D305">
            <v>8400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D306">
            <v>8410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D307">
            <v>8470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D308">
            <v>8500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D309">
            <v>8560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D310">
            <v>8570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D311">
            <v>8580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D312">
            <v>8590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D313">
            <v>8600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D314">
            <v>8620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D315">
            <v>8630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D316">
            <v>8640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D317">
            <v>8650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D318">
            <v>8670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D319">
            <v>8700</v>
          </cell>
          <cell r="F319">
            <v>280.74</v>
          </cell>
          <cell r="G319">
            <v>365.24</v>
          </cell>
          <cell r="H319">
            <v>155.97</v>
          </cell>
          <cell r="I319">
            <v>155.97</v>
          </cell>
          <cell r="J319">
            <v>155.97</v>
          </cell>
          <cell r="K319">
            <v>616.26</v>
          </cell>
          <cell r="L319">
            <v>516.82248540474279</v>
          </cell>
          <cell r="M319">
            <v>506.5946760659059</v>
          </cell>
          <cell r="N319">
            <v>509.09226698556967</v>
          </cell>
          <cell r="O319">
            <v>513.81746954601999</v>
          </cell>
          <cell r="P319">
            <v>506.57359624599889</v>
          </cell>
          <cell r="Q319">
            <v>507.23532928866837</v>
          </cell>
          <cell r="R319">
            <v>511.7668619178765</v>
          </cell>
          <cell r="S319">
            <v>501.10443827344449</v>
          </cell>
          <cell r="T319">
            <v>512.9291669434059</v>
          </cell>
          <cell r="U319">
            <v>508.90621179521736</v>
          </cell>
          <cell r="V319">
            <v>540.06035883715663</v>
          </cell>
          <cell r="W319">
            <v>513.81428516460392</v>
          </cell>
          <cell r="X319">
            <v>527.34126942515866</v>
          </cell>
          <cell r="Y319">
            <v>508.29090289009031</v>
          </cell>
          <cell r="Z319">
            <v>518.66000878530724</v>
          </cell>
          <cell r="AA319">
            <v>515.94392051725686</v>
          </cell>
          <cell r="AB319">
            <v>508.70830816446272</v>
          </cell>
          <cell r="AC319">
            <v>509.26962536070243</v>
          </cell>
          <cell r="AD319">
            <v>513.99497939214859</v>
          </cell>
          <cell r="AE319">
            <v>503.04711720972074</v>
          </cell>
          <cell r="AF319">
            <v>515.06840441550742</v>
          </cell>
        </row>
        <row r="320">
          <cell r="D320">
            <v>8710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D321">
            <v>8711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D322">
            <v>8720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D323">
            <v>8740</v>
          </cell>
          <cell r="F323">
            <v>1954.3399999999992</v>
          </cell>
          <cell r="G323">
            <v>-7920.6399999999994</v>
          </cell>
          <cell r="H323">
            <v>4035.4399999999996</v>
          </cell>
          <cell r="I323">
            <v>4414.1500000000005</v>
          </cell>
          <cell r="J323">
            <v>16.679999999999893</v>
          </cell>
          <cell r="K323">
            <v>10987</v>
          </cell>
          <cell r="L323">
            <v>5378.8344939404551</v>
          </cell>
          <cell r="M323">
            <v>5377.8217065185236</v>
          </cell>
          <cell r="N323">
            <v>5384.124898112741</v>
          </cell>
          <cell r="O323">
            <v>4744.3711112690626</v>
          </cell>
          <cell r="P323">
            <v>4744.1859430476197</v>
          </cell>
          <cell r="Q323">
            <v>4744.2454274134461</v>
          </cell>
          <cell r="R323">
            <v>4744.3474497102125</v>
          </cell>
          <cell r="S323">
            <v>4744.1872583130416</v>
          </cell>
          <cell r="T323">
            <v>4744.3220564953781</v>
          </cell>
          <cell r="U323">
            <v>4744.4151891841402</v>
          </cell>
          <cell r="V323">
            <v>4744.2715873156612</v>
          </cell>
          <cell r="W323">
            <v>4744.2889501411091</v>
          </cell>
          <cell r="X323">
            <v>4744.3413690861498</v>
          </cell>
          <cell r="Y323">
            <v>4744.1763462365998</v>
          </cell>
          <cell r="Z323">
            <v>4748.2941069315812</v>
          </cell>
          <cell r="AA323">
            <v>4744.3711112690626</v>
          </cell>
          <cell r="AB323">
            <v>4744.1859430476197</v>
          </cell>
          <cell r="AC323">
            <v>4744.2454274134461</v>
          </cell>
          <cell r="AD323">
            <v>4744.3474497102125</v>
          </cell>
          <cell r="AE323">
            <v>4744.1872583130416</v>
          </cell>
          <cell r="AF323">
            <v>4744.3220564953781</v>
          </cell>
        </row>
        <row r="324">
          <cell r="D324">
            <v>8750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D325">
            <v>8760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D326">
            <v>8770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D327">
            <v>8780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D328">
            <v>8790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D329">
            <v>8800</v>
          </cell>
          <cell r="F329">
            <v>89.61</v>
          </cell>
          <cell r="G329">
            <v>7.39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18.36829697765009</v>
          </cell>
          <cell r="M329">
            <v>17.438991308389586</v>
          </cell>
          <cell r="N329">
            <v>236.1171342155034</v>
          </cell>
          <cell r="O329">
            <v>18.78563811721375</v>
          </cell>
          <cell r="P329">
            <v>18.85924639169987</v>
          </cell>
          <cell r="Q329">
            <v>19.790766511887888</v>
          </cell>
          <cell r="R329">
            <v>19.359849275904793</v>
          </cell>
          <cell r="S329">
            <v>18.237161179599195</v>
          </cell>
          <cell r="T329">
            <v>18.816872362928592</v>
          </cell>
          <cell r="U329">
            <v>21.15653579553663</v>
          </cell>
          <cell r="V329">
            <v>18.166293736737067</v>
          </cell>
          <cell r="W329">
            <v>18.757342280266776</v>
          </cell>
          <cell r="X329">
            <v>19.051192112180289</v>
          </cell>
          <cell r="Y329">
            <v>18.192361605583159</v>
          </cell>
          <cell r="Z329">
            <v>20.680445539830188</v>
          </cell>
          <cell r="AA329">
            <v>18.78563811721375</v>
          </cell>
          <cell r="AB329">
            <v>18.85924639169987</v>
          </cell>
          <cell r="AC329">
            <v>19.790766511887888</v>
          </cell>
          <cell r="AD329">
            <v>19.359849275904793</v>
          </cell>
          <cell r="AE329">
            <v>18.237161179599195</v>
          </cell>
          <cell r="AF329">
            <v>18.816872362928592</v>
          </cell>
        </row>
        <row r="330">
          <cell r="D330">
            <v>8810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D331">
            <v>8850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D332">
            <v>8860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D333">
            <v>8870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D334">
            <v>8890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D335">
            <v>8900</v>
          </cell>
          <cell r="F335">
            <v>0</v>
          </cell>
          <cell r="G335">
            <v>0</v>
          </cell>
          <cell r="H335">
            <v>248.29</v>
          </cell>
          <cell r="I335">
            <v>0</v>
          </cell>
          <cell r="J335">
            <v>0</v>
          </cell>
          <cell r="K335">
            <v>0</v>
          </cell>
          <cell r="L335">
            <v>50.602862814680002</v>
          </cell>
          <cell r="M335">
            <v>50.952118959891742</v>
          </cell>
          <cell r="N335">
            <v>50.324503923571136</v>
          </cell>
          <cell r="O335">
            <v>52.488036317314069</v>
          </cell>
          <cell r="P335">
            <v>52.053354792158686</v>
          </cell>
          <cell r="Q335">
            <v>51.845893155152702</v>
          </cell>
          <cell r="R335">
            <v>52.44154631462365</v>
          </cell>
          <cell r="S335">
            <v>51.774414776016194</v>
          </cell>
          <cell r="T335">
            <v>51.658189769290153</v>
          </cell>
          <cell r="U335">
            <v>51.8900586577086</v>
          </cell>
          <cell r="V335">
            <v>51.774414776016194</v>
          </cell>
          <cell r="W335">
            <v>51.65760864425652</v>
          </cell>
          <cell r="X335">
            <v>51.889477532674967</v>
          </cell>
          <cell r="Y335">
            <v>52.180621174523694</v>
          </cell>
          <cell r="Z335">
            <v>51.566953139010209</v>
          </cell>
          <cell r="AA335">
            <v>52.488036317314069</v>
          </cell>
          <cell r="AB335">
            <v>52.053354792158686</v>
          </cell>
          <cell r="AC335">
            <v>51.845893155152702</v>
          </cell>
          <cell r="AD335">
            <v>52.44154631462365</v>
          </cell>
          <cell r="AE335">
            <v>51.774414776016194</v>
          </cell>
          <cell r="AF335">
            <v>51.658189769290153</v>
          </cell>
        </row>
        <row r="336">
          <cell r="D336">
            <v>8910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D337">
            <v>8920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D338">
            <v>8930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D339">
            <v>8940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D340">
            <v>8950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D341">
            <v>9010</v>
          </cell>
          <cell r="F341">
            <v>0</v>
          </cell>
          <cell r="G341">
            <v>0</v>
          </cell>
          <cell r="H341">
            <v>0</v>
          </cell>
          <cell r="I341">
            <v>4879.2</v>
          </cell>
          <cell r="J341">
            <v>0</v>
          </cell>
          <cell r="K341">
            <v>0</v>
          </cell>
          <cell r="L341">
            <v>1356.7392632040005</v>
          </cell>
          <cell r="M341">
            <v>1300.0119606804649</v>
          </cell>
          <cell r="N341">
            <v>1500.8050317341265</v>
          </cell>
          <cell r="O341">
            <v>1489.0660069452254</v>
          </cell>
          <cell r="P341">
            <v>1319.3353415886788</v>
          </cell>
          <cell r="Q341">
            <v>1434.3382072361674</v>
          </cell>
          <cell r="R341">
            <v>1302.2221565150094</v>
          </cell>
          <cell r="S341">
            <v>1319.7720001331138</v>
          </cell>
          <cell r="T341">
            <v>1474.2320374641797</v>
          </cell>
          <cell r="U341">
            <v>1323.6362661933515</v>
          </cell>
          <cell r="V341">
            <v>1418.4566428797943</v>
          </cell>
          <cell r="W341">
            <v>1489.608387917503</v>
          </cell>
          <cell r="X341">
            <v>1434.9585764327373</v>
          </cell>
          <cell r="Y341">
            <v>1314.1628608343522</v>
          </cell>
          <cell r="Z341">
            <v>1628.5806517155875</v>
          </cell>
          <cell r="AA341">
            <v>1489.0660069452254</v>
          </cell>
          <cell r="AB341">
            <v>1319.3353415886788</v>
          </cell>
          <cell r="AC341">
            <v>1434.3382072361674</v>
          </cell>
          <cell r="AD341">
            <v>1302.2221565150094</v>
          </cell>
          <cell r="AE341">
            <v>1319.7720001331138</v>
          </cell>
          <cell r="AF341">
            <v>1474.2320374641797</v>
          </cell>
        </row>
        <row r="342">
          <cell r="D342">
            <v>9020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D343">
            <v>9030</v>
          </cell>
          <cell r="F343">
            <v>123041.55</v>
          </cell>
          <cell r="G343">
            <v>78422.819999999992</v>
          </cell>
          <cell r="H343">
            <v>-46797.619999999995</v>
          </cell>
          <cell r="I343">
            <v>5338.03</v>
          </cell>
          <cell r="J343">
            <v>4231.3500000000004</v>
          </cell>
          <cell r="K343">
            <v>5818.82</v>
          </cell>
          <cell r="L343">
            <v>24390.307286407624</v>
          </cell>
          <cell r="M343">
            <v>26731.579064976118</v>
          </cell>
          <cell r="N343">
            <v>24568.037129409451</v>
          </cell>
          <cell r="O343">
            <v>26940.267740942043</v>
          </cell>
          <cell r="P343">
            <v>26811.203770539381</v>
          </cell>
          <cell r="Q343">
            <v>25705.083707587506</v>
          </cell>
          <cell r="R343">
            <v>27902.919592231829</v>
          </cell>
          <cell r="S343">
            <v>24476.190644808226</v>
          </cell>
          <cell r="T343">
            <v>26977.502460212974</v>
          </cell>
          <cell r="U343">
            <v>25696.228821413784</v>
          </cell>
          <cell r="V343">
            <v>28212.10507232797</v>
          </cell>
          <cell r="W343">
            <v>25797.908135714308</v>
          </cell>
          <cell r="X343">
            <v>26904.603336032284</v>
          </cell>
          <cell r="Y343">
            <v>28276.764910942598</v>
          </cell>
          <cell r="Z343">
            <v>24783.296081379282</v>
          </cell>
          <cell r="AA343">
            <v>27702.095076540092</v>
          </cell>
          <cell r="AB343">
            <v>27575.990692556479</v>
          </cell>
          <cell r="AC343">
            <v>26433.895411848811</v>
          </cell>
          <cell r="AD343">
            <v>28701.170208768079</v>
          </cell>
          <cell r="AE343">
            <v>25172.179378131699</v>
          </cell>
          <cell r="AF343">
            <v>27743.910717740171</v>
          </cell>
        </row>
        <row r="344">
          <cell r="D344">
            <v>9040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D345">
            <v>9070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D346">
            <v>9080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D347">
            <v>9090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D348">
            <v>9100</v>
          </cell>
          <cell r="F348">
            <v>10825</v>
          </cell>
          <cell r="G348">
            <v>0</v>
          </cell>
          <cell r="H348">
            <v>143.68</v>
          </cell>
          <cell r="I348">
            <v>0</v>
          </cell>
          <cell r="J348">
            <v>0</v>
          </cell>
          <cell r="K348">
            <v>0</v>
          </cell>
          <cell r="L348">
            <v>2090.4341577642463</v>
          </cell>
          <cell r="M348">
            <v>1985.5834768833161</v>
          </cell>
          <cell r="N348">
            <v>26395.839512407056</v>
          </cell>
          <cell r="O348">
            <v>2141.5460724897412</v>
          </cell>
          <cell r="P348">
            <v>2144.370853633749</v>
          </cell>
          <cell r="Q348">
            <v>2251.9348601014171</v>
          </cell>
          <cell r="R348">
            <v>2199.7021081306343</v>
          </cell>
          <cell r="S348">
            <v>2074.9882036871295</v>
          </cell>
          <cell r="T348">
            <v>2144.4642961507034</v>
          </cell>
          <cell r="U348">
            <v>2401.0132324353349</v>
          </cell>
          <cell r="V348">
            <v>2069.1394378469809</v>
          </cell>
          <cell r="W348">
            <v>2138.3852163707752</v>
          </cell>
          <cell r="X348">
            <v>2169.0283212923969</v>
          </cell>
          <cell r="Y348">
            <v>2070.1065908948967</v>
          </cell>
          <cell r="Z348">
            <v>2357.4979386603754</v>
          </cell>
          <cell r="AA348">
            <v>2141.5460724897412</v>
          </cell>
          <cell r="AB348">
            <v>2144.370853633749</v>
          </cell>
          <cell r="AC348">
            <v>2251.9348601014171</v>
          </cell>
          <cell r="AD348">
            <v>2199.7021081306343</v>
          </cell>
          <cell r="AE348">
            <v>2074.9882036871295</v>
          </cell>
          <cell r="AF348">
            <v>2144.4642961507034</v>
          </cell>
        </row>
        <row r="349">
          <cell r="D349">
            <v>9110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D350">
            <v>9120</v>
          </cell>
          <cell r="F350">
            <v>0</v>
          </cell>
          <cell r="G350">
            <v>0</v>
          </cell>
          <cell r="H350">
            <v>703.63</v>
          </cell>
          <cell r="I350">
            <v>0</v>
          </cell>
          <cell r="J350">
            <v>0</v>
          </cell>
          <cell r="K350">
            <v>32.42</v>
          </cell>
          <cell r="L350">
            <v>172.51999925168758</v>
          </cell>
          <cell r="M350">
            <v>172.56560271629655</v>
          </cell>
          <cell r="N350">
            <v>194.62620494801794</v>
          </cell>
          <cell r="O350">
            <v>213.95393476260338</v>
          </cell>
          <cell r="P350">
            <v>172.70939451492757</v>
          </cell>
          <cell r="Q350">
            <v>220.04825550504253</v>
          </cell>
          <cell r="R350">
            <v>211.47659746641662</v>
          </cell>
          <cell r="S350">
            <v>188.7362076313081</v>
          </cell>
          <cell r="T350">
            <v>207.2555339056421</v>
          </cell>
          <cell r="U350">
            <v>172.68807242914534</v>
          </cell>
          <cell r="V350">
            <v>193.26686370902161</v>
          </cell>
          <cell r="W350">
            <v>180.89527721054554</v>
          </cell>
          <cell r="X350">
            <v>172.6879965498365</v>
          </cell>
          <cell r="Y350">
            <v>172.72601208356213</v>
          </cell>
          <cell r="Z350">
            <v>203.02599192362919</v>
          </cell>
          <cell r="AA350">
            <v>213.95393476260338</v>
          </cell>
          <cell r="AB350">
            <v>172.70939451492757</v>
          </cell>
          <cell r="AC350">
            <v>220.04825550504253</v>
          </cell>
          <cell r="AD350">
            <v>211.47659746641662</v>
          </cell>
          <cell r="AE350">
            <v>188.7362076313081</v>
          </cell>
          <cell r="AF350">
            <v>207.2555339056421</v>
          </cell>
        </row>
        <row r="351">
          <cell r="D351">
            <v>9130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D352">
            <v>9160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D353">
            <v>9200</v>
          </cell>
          <cell r="F353">
            <v>-538447.11999999871</v>
          </cell>
          <cell r="G353">
            <v>2507033.6700000009</v>
          </cell>
          <cell r="H353">
            <v>-5517789.9199999999</v>
          </cell>
          <cell r="I353">
            <v>-564879.08999999939</v>
          </cell>
          <cell r="J353">
            <v>-1149809.3399999994</v>
          </cell>
          <cell r="K353">
            <v>-3208563.57</v>
          </cell>
          <cell r="L353">
            <v>-1639618.9076122977</v>
          </cell>
          <cell r="M353">
            <v>-705125.68388575269</v>
          </cell>
          <cell r="N353">
            <v>-663097.88509027148</v>
          </cell>
          <cell r="O353">
            <v>-1269481.9665148593</v>
          </cell>
          <cell r="P353">
            <v>-1302282.727746618</v>
          </cell>
          <cell r="Q353">
            <v>-1431636.133695106</v>
          </cell>
          <cell r="R353">
            <v>-1342790.8721368657</v>
          </cell>
          <cell r="S353">
            <v>-1508566.431684413</v>
          </cell>
          <cell r="T353">
            <v>-2033684.3441278469</v>
          </cell>
          <cell r="U353">
            <v>-1510951.8448527134</v>
          </cell>
          <cell r="V353">
            <v>-2048872.4094489198</v>
          </cell>
          <cell r="W353">
            <v>-1401000.2014029068</v>
          </cell>
          <cell r="X353">
            <v>-1599328.7463470688</v>
          </cell>
          <cell r="Y353">
            <v>-963122.90090656653</v>
          </cell>
          <cell r="Z353">
            <v>-1370313.2275293521</v>
          </cell>
          <cell r="AA353">
            <v>-1148299.2070958791</v>
          </cell>
          <cell r="AB353">
            <v>-1180629.1912470041</v>
          </cell>
          <cell r="AC353">
            <v>-1315705.1224379386</v>
          </cell>
          <cell r="AD353">
            <v>-1215814.3147207061</v>
          </cell>
          <cell r="AE353">
            <v>-1397856.5223813434</v>
          </cell>
          <cell r="AF353">
            <v>-1911772.9041612968</v>
          </cell>
        </row>
        <row r="354">
          <cell r="D354">
            <v>9210</v>
          </cell>
          <cell r="F354">
            <v>1879091.5200000005</v>
          </cell>
          <cell r="G354">
            <v>1803283.34</v>
          </cell>
          <cell r="H354">
            <v>1780993.9899999998</v>
          </cell>
          <cell r="I354">
            <v>1994425.55</v>
          </cell>
          <cell r="J354">
            <v>2051435.44</v>
          </cell>
          <cell r="K354">
            <v>1876271.4200000004</v>
          </cell>
          <cell r="L354">
            <v>2607273.6526799188</v>
          </cell>
          <cell r="M354">
            <v>2449387.6504938374</v>
          </cell>
          <cell r="N354">
            <v>4656066.7460692907</v>
          </cell>
          <cell r="O354">
            <v>2947347.0606119558</v>
          </cell>
          <cell r="P354">
            <v>2478371.1901257671</v>
          </cell>
          <cell r="Q354">
            <v>2661407.3268217808</v>
          </cell>
          <cell r="R354">
            <v>2572877.7591287256</v>
          </cell>
          <cell r="S354">
            <v>2472793.6948613296</v>
          </cell>
          <cell r="T354">
            <v>2635976.8364414549</v>
          </cell>
          <cell r="U354">
            <v>2668114.0041461242</v>
          </cell>
          <cell r="V354">
            <v>2624703.2944104914</v>
          </cell>
          <cell r="W354">
            <v>2585457.7481587417</v>
          </cell>
          <cell r="X354">
            <v>2639147.9396634516</v>
          </cell>
          <cell r="Y354">
            <v>2596631.7574786907</v>
          </cell>
          <cell r="Z354">
            <v>2789719.5015507694</v>
          </cell>
          <cell r="AA354">
            <v>2947347.0606119558</v>
          </cell>
          <cell r="AB354">
            <v>2478371.1901257671</v>
          </cell>
          <cell r="AC354">
            <v>2661407.3268217808</v>
          </cell>
          <cell r="AD354">
            <v>2572877.7591287256</v>
          </cell>
          <cell r="AE354">
            <v>2472793.6948613296</v>
          </cell>
          <cell r="AF354">
            <v>2635976.8364414549</v>
          </cell>
        </row>
        <row r="355">
          <cell r="D355">
            <v>9220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D356">
            <v>9230</v>
          </cell>
          <cell r="F356">
            <v>706893.02</v>
          </cell>
          <cell r="G356">
            <v>754577.54000000015</v>
          </cell>
          <cell r="H356">
            <v>661736.9</v>
          </cell>
          <cell r="I356">
            <v>848668.5</v>
          </cell>
          <cell r="J356">
            <v>797262.56000000029</v>
          </cell>
          <cell r="K356">
            <v>865257.67999999993</v>
          </cell>
          <cell r="L356">
            <v>881857.94378112059</v>
          </cell>
          <cell r="M356">
            <v>835742.85722650134</v>
          </cell>
          <cell r="N356">
            <v>11036675.926387258</v>
          </cell>
          <cell r="O356">
            <v>904989.26648231968</v>
          </cell>
          <cell r="P356">
            <v>902452.16740749427</v>
          </cell>
          <cell r="Q356">
            <v>947969.71947690879</v>
          </cell>
          <cell r="R356">
            <v>927072.06836201495</v>
          </cell>
          <cell r="S356">
            <v>873525.90986351634</v>
          </cell>
          <cell r="T356">
            <v>901082.54023610323</v>
          </cell>
          <cell r="U356">
            <v>1011978.358727075</v>
          </cell>
          <cell r="V356">
            <v>870890.81186934386</v>
          </cell>
          <cell r="W356">
            <v>898792.34168862773</v>
          </cell>
          <cell r="X356">
            <v>913195.17386625218</v>
          </cell>
          <cell r="Y356">
            <v>872293.79998339224</v>
          </cell>
          <cell r="Z356">
            <v>991299.4412941332</v>
          </cell>
          <cell r="AA356">
            <v>904989.26648231968</v>
          </cell>
          <cell r="AB356">
            <v>902452.16740749427</v>
          </cell>
          <cell r="AC356">
            <v>947969.71947690879</v>
          </cell>
          <cell r="AD356">
            <v>927072.06836201495</v>
          </cell>
          <cell r="AE356">
            <v>873525.90986351634</v>
          </cell>
          <cell r="AF356">
            <v>901082.54023610323</v>
          </cell>
        </row>
        <row r="357">
          <cell r="D357">
            <v>9240</v>
          </cell>
          <cell r="F357">
            <v>49861.919999999998</v>
          </cell>
          <cell r="G357">
            <v>13327.54</v>
          </cell>
          <cell r="H357">
            <v>11426.37</v>
          </cell>
          <cell r="I357">
            <v>11426.37</v>
          </cell>
          <cell r="J357">
            <v>11426.37</v>
          </cell>
          <cell r="K357">
            <v>11426.37</v>
          </cell>
          <cell r="L357">
            <v>20336.04277788911</v>
          </cell>
          <cell r="M357">
            <v>20274.640560847598</v>
          </cell>
          <cell r="N357">
            <v>20366.041226602123</v>
          </cell>
          <cell r="O357">
            <v>22658.948268776498</v>
          </cell>
          <cell r="P357">
            <v>20756.558708245342</v>
          </cell>
          <cell r="Q357">
            <v>21456.099886766111</v>
          </cell>
          <cell r="R357">
            <v>21070.048212049205</v>
          </cell>
          <cell r="S357">
            <v>20788.827818773883</v>
          </cell>
          <cell r="T357">
            <v>20853.019654988144</v>
          </cell>
          <cell r="U357">
            <v>21412.89676616382</v>
          </cell>
          <cell r="V357">
            <v>20958.717229047084</v>
          </cell>
          <cell r="W357">
            <v>21062.299903714676</v>
          </cell>
          <cell r="X357">
            <v>21269.158136648184</v>
          </cell>
          <cell r="Y357">
            <v>21117.760476401767</v>
          </cell>
          <cell r="Z357">
            <v>21241.418265050321</v>
          </cell>
          <cell r="AA357">
            <v>22658.948268776498</v>
          </cell>
          <cell r="AB357">
            <v>20756.558708245342</v>
          </cell>
          <cell r="AC357">
            <v>21456.099886766111</v>
          </cell>
          <cell r="AD357">
            <v>21070.048212049205</v>
          </cell>
          <cell r="AE357">
            <v>20788.827818773883</v>
          </cell>
          <cell r="AF357">
            <v>20853.019654988144</v>
          </cell>
        </row>
        <row r="358">
          <cell r="D358">
            <v>9250</v>
          </cell>
          <cell r="F358">
            <v>1662084.3299999998</v>
          </cell>
          <cell r="G358">
            <v>1665651.13</v>
          </cell>
          <cell r="H358">
            <v>-465576.55000000005</v>
          </cell>
          <cell r="I358">
            <v>1612256.6400000001</v>
          </cell>
          <cell r="J358">
            <v>1654705.59</v>
          </cell>
          <cell r="K358">
            <v>648483.03</v>
          </cell>
          <cell r="L358">
            <v>1715472.7612450174</v>
          </cell>
          <cell r="M358">
            <v>1716520.9233456436</v>
          </cell>
          <cell r="N358">
            <v>1715472.7273707348</v>
          </cell>
          <cell r="O358">
            <v>1729364.9426112939</v>
          </cell>
          <cell r="P358">
            <v>1744076.5826708793</v>
          </cell>
          <cell r="Q358">
            <v>1743542.5242013182</v>
          </cell>
          <cell r="R358">
            <v>1744573.3571251417</v>
          </cell>
          <cell r="S358">
            <v>1743055.2614050815</v>
          </cell>
          <cell r="T358">
            <v>1744681.3248328059</v>
          </cell>
          <cell r="U358">
            <v>1744153.8208850448</v>
          </cell>
          <cell r="V358">
            <v>1745185.0711671284</v>
          </cell>
          <cell r="W358">
            <v>1744152.787552597</v>
          </cell>
          <cell r="X358">
            <v>1744669.7043513651</v>
          </cell>
          <cell r="Y358">
            <v>1745185.0711671284</v>
          </cell>
          <cell r="Z358">
            <v>1743636.8787508537</v>
          </cell>
          <cell r="AA358">
            <v>1728868.7379848175</v>
          </cell>
          <cell r="AB358">
            <v>1743578.9110492105</v>
          </cell>
          <cell r="AC358">
            <v>1743062.6846219201</v>
          </cell>
          <cell r="AD358">
            <v>1744059.0983710168</v>
          </cell>
          <cell r="AE358">
            <v>1742591.6913638581</v>
          </cell>
          <cell r="AF358">
            <v>1744182.849553619</v>
          </cell>
        </row>
        <row r="359">
          <cell r="D359">
            <v>9260</v>
          </cell>
          <cell r="F359">
            <v>4593478.3000000007</v>
          </cell>
          <cell r="G359">
            <v>2675101.0299999998</v>
          </cell>
          <cell r="H359">
            <v>6938585.0599999996</v>
          </cell>
          <cell r="I359">
            <v>3861946.7699999996</v>
          </cell>
          <cell r="J359">
            <v>7562267.4600000009</v>
          </cell>
          <cell r="K359">
            <v>1252928.2300000004</v>
          </cell>
          <cell r="L359">
            <v>4909090.1976788631</v>
          </cell>
          <cell r="M359">
            <v>2916522.0053443448</v>
          </cell>
          <cell r="N359">
            <v>2750996.9645346291</v>
          </cell>
          <cell r="O359">
            <v>3367421.9795244248</v>
          </cell>
          <cell r="P359">
            <v>3867345.4674175465</v>
          </cell>
          <cell r="Q359">
            <v>3631246.6032994143</v>
          </cell>
          <cell r="R359">
            <v>3936405.1165316189</v>
          </cell>
          <cell r="S359">
            <v>3660331.9943812336</v>
          </cell>
          <cell r="T359">
            <v>3768741.7865337511</v>
          </cell>
          <cell r="U359">
            <v>3340906.7499115812</v>
          </cell>
          <cell r="V359">
            <v>7254891.0700546764</v>
          </cell>
          <cell r="W359">
            <v>3400033.837087071</v>
          </cell>
          <cell r="X359">
            <v>5038132.3728565508</v>
          </cell>
          <cell r="Y359">
            <v>2828315.8391657374</v>
          </cell>
          <cell r="Z359">
            <v>2651093.0287964768</v>
          </cell>
          <cell r="AA359">
            <v>3309324.5149138803</v>
          </cell>
          <cell r="AB359">
            <v>3809076.2416086351</v>
          </cell>
          <cell r="AC359">
            <v>3575065.2186541674</v>
          </cell>
          <cell r="AD359">
            <v>3876193.8081836943</v>
          </cell>
          <cell r="AE359">
            <v>3606055.5071672285</v>
          </cell>
          <cell r="AF359">
            <v>3710378.4655436999</v>
          </cell>
        </row>
        <row r="360">
          <cell r="D360">
            <v>9270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D361">
            <v>9280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2">
          <cell r="D362">
            <v>9290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D363">
            <v>9301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D364">
            <v>9302</v>
          </cell>
          <cell r="F364">
            <v>595052.68000000005</v>
          </cell>
          <cell r="G364">
            <v>449836.71</v>
          </cell>
          <cell r="H364">
            <v>3023947.0500000003</v>
          </cell>
          <cell r="I364">
            <v>394237.00000000006</v>
          </cell>
          <cell r="J364">
            <v>187444.51999999996</v>
          </cell>
          <cell r="K364">
            <v>257864.97999999995</v>
          </cell>
          <cell r="L364">
            <v>259225.88167530487</v>
          </cell>
          <cell r="M364">
            <v>255562.14422099316</v>
          </cell>
          <cell r="N364">
            <v>595798.88770096307</v>
          </cell>
          <cell r="O364">
            <v>256849.68235021725</v>
          </cell>
          <cell r="P364">
            <v>236088.82688873549</v>
          </cell>
          <cell r="Q364">
            <v>475499.21606570622</v>
          </cell>
          <cell r="R364">
            <v>362896.88558530266</v>
          </cell>
          <cell r="S364">
            <v>356861.98855914682</v>
          </cell>
          <cell r="T364">
            <v>3185191.5625060443</v>
          </cell>
          <cell r="U364">
            <v>319096.14360692439</v>
          </cell>
          <cell r="V364">
            <v>268389.20282109</v>
          </cell>
          <cell r="W364">
            <v>544004.01733116969</v>
          </cell>
          <cell r="X364">
            <v>271141.85482186795</v>
          </cell>
          <cell r="Y364">
            <v>274702.21475933818</v>
          </cell>
          <cell r="Z364">
            <v>462706.62925572234</v>
          </cell>
          <cell r="AA364">
            <v>256849.68235021725</v>
          </cell>
          <cell r="AB364">
            <v>236088.82688873549</v>
          </cell>
          <cell r="AC364">
            <v>475499.21606570622</v>
          </cell>
          <cell r="AD364">
            <v>362896.88558530266</v>
          </cell>
          <cell r="AE364">
            <v>356861.98855914682</v>
          </cell>
          <cell r="AF364">
            <v>3185191.5625060443</v>
          </cell>
        </row>
        <row r="365">
          <cell r="D365">
            <v>9310</v>
          </cell>
          <cell r="F365">
            <v>428689.95000000007</v>
          </cell>
          <cell r="G365">
            <v>449036.42</v>
          </cell>
          <cell r="H365">
            <v>438477.06999999995</v>
          </cell>
          <cell r="I365">
            <v>474772.79</v>
          </cell>
          <cell r="J365">
            <v>453249.6399999999</v>
          </cell>
          <cell r="K365">
            <v>212237.21999999983</v>
          </cell>
          <cell r="L365">
            <v>436383.90940761549</v>
          </cell>
          <cell r="M365">
            <v>436006.92762932001</v>
          </cell>
          <cell r="N365">
            <v>520140.70334291004</v>
          </cell>
          <cell r="O365">
            <v>516849.59033918037</v>
          </cell>
          <cell r="P365">
            <v>516228.91780010139</v>
          </cell>
          <cell r="Q365">
            <v>485351.08633891132</v>
          </cell>
          <cell r="R365">
            <v>485061.3100018471</v>
          </cell>
          <cell r="S365">
            <v>484538.29619715386</v>
          </cell>
          <cell r="T365">
            <v>484780.49106873869</v>
          </cell>
          <cell r="U365">
            <v>485861.10153526528</v>
          </cell>
          <cell r="V365">
            <v>484564.40095544909</v>
          </cell>
          <cell r="W365">
            <v>484825.0526888899</v>
          </cell>
          <cell r="X365">
            <v>485004.95491631149</v>
          </cell>
          <cell r="Y365">
            <v>484626.01813811035</v>
          </cell>
          <cell r="Z365">
            <v>485628.05937894864</v>
          </cell>
          <cell r="AA365">
            <v>516849.59033918037</v>
          </cell>
          <cell r="AB365">
            <v>516228.91780010139</v>
          </cell>
          <cell r="AC365">
            <v>485351.08633891132</v>
          </cell>
          <cell r="AD365">
            <v>485061.3100018471</v>
          </cell>
          <cell r="AE365">
            <v>484538.29619715386</v>
          </cell>
          <cell r="AF365">
            <v>484780.49106873869</v>
          </cell>
        </row>
        <row r="366">
          <cell r="D366">
            <v>9320</v>
          </cell>
          <cell r="F366">
            <v>16630.04</v>
          </cell>
          <cell r="G366">
            <v>4065.24</v>
          </cell>
          <cell r="H366">
            <v>41241.620000000003</v>
          </cell>
          <cell r="I366">
            <v>22521.31</v>
          </cell>
          <cell r="J366">
            <v>33625.659999999996</v>
          </cell>
          <cell r="K366">
            <v>28692.5</v>
          </cell>
          <cell r="L366">
            <v>30132.423225189512</v>
          </cell>
          <cell r="M366">
            <v>29950.384377867791</v>
          </cell>
          <cell r="N366">
            <v>21278.608306535567</v>
          </cell>
          <cell r="O366">
            <v>38736.636357422547</v>
          </cell>
          <cell r="P366">
            <v>31516.567761880207</v>
          </cell>
          <cell r="Q366">
            <v>33730.41225034363</v>
          </cell>
          <cell r="R366">
            <v>32363.163267866981</v>
          </cell>
          <cell r="S366">
            <v>31400.472290608275</v>
          </cell>
          <cell r="T366">
            <v>31591.383661638134</v>
          </cell>
          <cell r="U366">
            <v>33503.449108866414</v>
          </cell>
          <cell r="V366">
            <v>31997.115478500029</v>
          </cell>
          <cell r="W366">
            <v>32344.400063343295</v>
          </cell>
          <cell r="X366">
            <v>33074.422930050569</v>
          </cell>
          <cell r="Y366">
            <v>32566.61972528421</v>
          </cell>
          <cell r="Z366">
            <v>32907.899138181725</v>
          </cell>
          <cell r="AA366">
            <v>38736.636357422547</v>
          </cell>
          <cell r="AB366">
            <v>31516.567761880207</v>
          </cell>
          <cell r="AC366">
            <v>33730.41225034363</v>
          </cell>
          <cell r="AD366">
            <v>32363.163267866981</v>
          </cell>
          <cell r="AE366">
            <v>31400.472290608275</v>
          </cell>
          <cell r="AF366">
            <v>31591.383661638134</v>
          </cell>
        </row>
      </sheetData>
      <sheetData sheetId="3">
        <row r="34">
          <cell r="F34">
            <v>1380.74</v>
          </cell>
          <cell r="G34">
            <v>1276.1500000000001</v>
          </cell>
          <cell r="H34">
            <v>3422.68</v>
          </cell>
          <cell r="I34">
            <v>1632.12</v>
          </cell>
          <cell r="J34">
            <v>1656.52</v>
          </cell>
          <cell r="K34">
            <v>6500.21</v>
          </cell>
          <cell r="L34">
            <v>2174.3068229612809</v>
          </cell>
          <cell r="M34">
            <v>1899.1597579398449</v>
          </cell>
          <cell r="N34">
            <v>2322.7937830762967</v>
          </cell>
          <cell r="O34">
            <v>2023.8883530977589</v>
          </cell>
          <cell r="P34">
            <v>2770.424173324031</v>
          </cell>
          <cell r="Q34">
            <v>2480.516047221804</v>
          </cell>
          <cell r="U34">
            <v>1985.4507235194594</v>
          </cell>
          <cell r="V34">
            <v>5118.4752750405441</v>
          </cell>
          <cell r="W34">
            <v>2234.9177391315802</v>
          </cell>
          <cell r="X34">
            <v>2280.6527632405705</v>
          </cell>
          <cell r="Y34">
            <v>2280.6527632405705</v>
          </cell>
          <cell r="Z34">
            <v>3211.8586553494442</v>
          </cell>
          <cell r="AA34">
            <v>2023.8883530977589</v>
          </cell>
          <cell r="AB34">
            <v>2770.424173324031</v>
          </cell>
          <cell r="AC34">
            <v>2480.516047221804</v>
          </cell>
          <cell r="AD34">
            <v>2022.8701792840998</v>
          </cell>
          <cell r="AE34">
            <v>1910.6118062037849</v>
          </cell>
          <cell r="AF34">
            <v>2022.8701792840998</v>
          </cell>
        </row>
        <row r="153">
          <cell r="F153">
            <v>576.80999999999949</v>
          </cell>
          <cell r="G153">
            <v>69053.959999999992</v>
          </cell>
          <cell r="H153">
            <v>105542.55</v>
          </cell>
          <cell r="I153">
            <v>108805.26</v>
          </cell>
          <cell r="J153">
            <v>77654.710000000006</v>
          </cell>
          <cell r="K153">
            <v>53126</v>
          </cell>
          <cell r="L153">
            <v>30207.96465106239</v>
          </cell>
          <cell r="M153">
            <v>32276.051994387337</v>
          </cell>
          <cell r="N153">
            <v>23498.802761440529</v>
          </cell>
          <cell r="O153">
            <v>34885.639744805841</v>
          </cell>
          <cell r="P153">
            <v>35645.492135811175</v>
          </cell>
          <cell r="Q153">
            <v>34885.639744805841</v>
          </cell>
          <cell r="U153">
            <v>41533.175071633115</v>
          </cell>
          <cell r="V153">
            <v>40382.604016006255</v>
          </cell>
          <cell r="W153">
            <v>58412.596773512931</v>
          </cell>
          <cell r="X153">
            <v>38217.228038015746</v>
          </cell>
          <cell r="Y153">
            <v>36739.129006521209</v>
          </cell>
          <cell r="Z153">
            <v>34884.388444038435</v>
          </cell>
          <cell r="AA153">
            <v>34885.639744805841</v>
          </cell>
          <cell r="AB153">
            <v>35645.492135811175</v>
          </cell>
          <cell r="AC153">
            <v>34885.639744805841</v>
          </cell>
          <cell r="AD153">
            <v>34885.639744805841</v>
          </cell>
          <cell r="AE153">
            <v>36449.765704059311</v>
          </cell>
          <cell r="AF153">
            <v>44070.18737754225</v>
          </cell>
        </row>
        <row r="169">
          <cell r="D169">
            <v>8140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D170">
            <v>8150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D171">
            <v>8160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D172">
            <v>8170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D173">
            <v>8180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</row>
        <row r="174">
          <cell r="D174">
            <v>8190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D175">
            <v>8200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D176">
            <v>8210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</row>
        <row r="177">
          <cell r="D177">
            <v>8240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D178">
            <v>8250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D179">
            <v>8310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D180">
            <v>8320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D181">
            <v>8340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D182">
            <v>8350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D183">
            <v>8360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D184">
            <v>8400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D185">
            <v>8410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D186">
            <v>8470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D187">
            <v>8500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D188">
            <v>8560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D189">
            <v>8570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D190">
            <v>8580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D191">
            <v>8590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D192">
            <v>8600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D193">
            <v>8620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D194">
            <v>8630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D195">
            <v>8640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D196">
            <v>8650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D197">
            <v>8670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D198">
            <v>8700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D199">
            <v>8710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D200">
            <v>8711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D201">
            <v>8720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D202">
            <v>8740</v>
          </cell>
          <cell r="F202">
            <v>2021.33</v>
          </cell>
          <cell r="G202">
            <v>1302.9799999999998</v>
          </cell>
          <cell r="H202">
            <v>1296.21</v>
          </cell>
          <cell r="I202">
            <v>1673.07</v>
          </cell>
          <cell r="J202">
            <v>1951.15</v>
          </cell>
          <cell r="K202">
            <v>1635.94</v>
          </cell>
          <cell r="L202">
            <v>2108.5062218842036</v>
          </cell>
          <cell r="M202">
            <v>2108.5062218842036</v>
          </cell>
          <cell r="N202">
            <v>2104.5090536910579</v>
          </cell>
          <cell r="O202">
            <v>1699.7957741350851</v>
          </cell>
          <cell r="P202">
            <v>1699.7957741350851</v>
          </cell>
          <cell r="Q202">
            <v>1699.7957741350851</v>
          </cell>
          <cell r="R202">
            <v>1699.7957741350851</v>
          </cell>
          <cell r="S202">
            <v>1699.7957741350851</v>
          </cell>
          <cell r="T202">
            <v>1699.7957741350851</v>
          </cell>
          <cell r="U202">
            <v>1699.7957741350851</v>
          </cell>
          <cell r="V202">
            <v>1699.7957741350851</v>
          </cell>
          <cell r="W202">
            <v>1699.7957741350851</v>
          </cell>
          <cell r="X202">
            <v>1699.7957741350851</v>
          </cell>
          <cell r="Y202">
            <v>1699.7957741350851</v>
          </cell>
          <cell r="Z202">
            <v>1699.7957741350851</v>
          </cell>
          <cell r="AA202">
            <v>1699.7957741350851</v>
          </cell>
          <cell r="AB202">
            <v>1699.7957741350851</v>
          </cell>
          <cell r="AC202">
            <v>1699.7957741350851</v>
          </cell>
          <cell r="AD202">
            <v>1699.7957741350851</v>
          </cell>
          <cell r="AE202">
            <v>1699.7957741350851</v>
          </cell>
          <cell r="AF202">
            <v>1699.7957741350851</v>
          </cell>
        </row>
        <row r="203">
          <cell r="D203">
            <v>8750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D204">
            <v>8760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D205">
            <v>8770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D206">
            <v>8780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</row>
        <row r="207">
          <cell r="D207">
            <v>8790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D208">
            <v>8800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D209">
            <v>8810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D210">
            <v>8850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D211">
            <v>8860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D212">
            <v>8870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D213">
            <v>8890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</row>
        <row r="214">
          <cell r="D214">
            <v>8900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D215">
            <v>8910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</row>
        <row r="216">
          <cell r="D216">
            <v>8920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D217">
            <v>8930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D218">
            <v>8940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D219">
            <v>8950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D220">
            <v>9010</v>
          </cell>
          <cell r="F220">
            <v>345788.8</v>
          </cell>
          <cell r="G220">
            <v>325501.10000000015</v>
          </cell>
          <cell r="H220">
            <v>371262.11</v>
          </cell>
          <cell r="I220">
            <v>315776.92000000004</v>
          </cell>
          <cell r="J220">
            <v>363030.96000000008</v>
          </cell>
          <cell r="K220">
            <v>355088.25000000006</v>
          </cell>
          <cell r="L220">
            <v>408249.24118259293</v>
          </cell>
          <cell r="M220">
            <v>439921.88623749086</v>
          </cell>
          <cell r="N220">
            <v>403566.09011453734</v>
          </cell>
          <cell r="O220">
            <v>414715.10003821598</v>
          </cell>
          <cell r="P220">
            <v>409418.25585608825</v>
          </cell>
          <cell r="Q220">
            <v>393911.68921853218</v>
          </cell>
          <cell r="R220">
            <v>440177.68323616061</v>
          </cell>
          <cell r="S220">
            <v>386549.20728392591</v>
          </cell>
          <cell r="T220">
            <v>420165.30129265878</v>
          </cell>
          <cell r="U220">
            <v>407599.36327151145</v>
          </cell>
          <cell r="V220">
            <v>436719.28370387777</v>
          </cell>
          <cell r="W220">
            <v>402897.05270495708</v>
          </cell>
          <cell r="X220">
            <v>418719.15317620337</v>
          </cell>
          <cell r="Y220">
            <v>432868.3221602572</v>
          </cell>
          <cell r="Z220">
            <v>380184.34138356434</v>
          </cell>
          <cell r="AA220">
            <v>426374.65589182265</v>
          </cell>
          <cell r="AB220">
            <v>421077.81170969491</v>
          </cell>
          <cell r="AC220">
            <v>405044.69080865697</v>
          </cell>
          <cell r="AD220">
            <v>452625.47371053754</v>
          </cell>
          <cell r="AE220">
            <v>397417.33528187376</v>
          </cell>
          <cell r="AF220">
            <v>432086.5376381324</v>
          </cell>
        </row>
        <row r="221">
          <cell r="D221">
            <v>9020</v>
          </cell>
          <cell r="F221">
            <v>2827.18</v>
          </cell>
          <cell r="G221">
            <v>2492.65</v>
          </cell>
          <cell r="H221">
            <v>3252.47</v>
          </cell>
          <cell r="I221">
            <v>2426.96</v>
          </cell>
          <cell r="J221">
            <v>2434.3700000000003</v>
          </cell>
          <cell r="K221">
            <v>2598.9900000000002</v>
          </cell>
          <cell r="L221">
            <v>3129.6704196327341</v>
          </cell>
          <cell r="M221">
            <v>3419.9887260877772</v>
          </cell>
          <cell r="N221">
            <v>3129.6704196327341</v>
          </cell>
          <cell r="O221">
            <v>3206.8122757935935</v>
          </cell>
          <cell r="P221">
            <v>3206.8122757935935</v>
          </cell>
          <cell r="Q221">
            <v>3061.9902347822399</v>
          </cell>
          <cell r="R221">
            <v>3423.60616484294</v>
          </cell>
          <cell r="S221">
            <v>2989.1401281751469</v>
          </cell>
          <cell r="T221">
            <v>3278.7841608457011</v>
          </cell>
          <cell r="U221">
            <v>3133.9621198343475</v>
          </cell>
          <cell r="V221">
            <v>3417.4371457716729</v>
          </cell>
          <cell r="W221">
            <v>3127.79310076308</v>
          </cell>
          <cell r="X221">
            <v>3200.6432567223255</v>
          </cell>
          <cell r="Y221">
            <v>3345.4652483815262</v>
          </cell>
          <cell r="Z221">
            <v>2910.9992240517713</v>
          </cell>
          <cell r="AA221">
            <v>3303.0166440674016</v>
          </cell>
          <cell r="AB221">
            <v>3303.0166440674016</v>
          </cell>
          <cell r="AC221">
            <v>3153.8499418257074</v>
          </cell>
          <cell r="AD221">
            <v>3526.3143497882279</v>
          </cell>
          <cell r="AE221">
            <v>3078.8143320204013</v>
          </cell>
          <cell r="AF221">
            <v>3377.1476856710724</v>
          </cell>
        </row>
        <row r="222">
          <cell r="D222">
            <v>9030</v>
          </cell>
          <cell r="F222">
            <v>1596481.5499999998</v>
          </cell>
          <cell r="G222">
            <v>1399178.37</v>
          </cell>
          <cell r="H222">
            <v>1619284.2600000002</v>
          </cell>
          <cell r="I222">
            <v>1395506.29</v>
          </cell>
          <cell r="J222">
            <v>1567812.4299999997</v>
          </cell>
          <cell r="K222">
            <v>1532666.09</v>
          </cell>
          <cell r="L222">
            <v>1809832.3744862846</v>
          </cell>
          <cell r="M222">
            <v>1919968.318625456</v>
          </cell>
          <cell r="N222">
            <v>1758653.9188195765</v>
          </cell>
          <cell r="O222">
            <v>1850067.2927439839</v>
          </cell>
          <cell r="P222">
            <v>1798551.2873285485</v>
          </cell>
          <cell r="Q222">
            <v>1719696.3008250946</v>
          </cell>
          <cell r="R222">
            <v>1969841.9259543815</v>
          </cell>
          <cell r="S222">
            <v>1679673.3679453146</v>
          </cell>
          <cell r="T222">
            <v>1839320.0702984647</v>
          </cell>
          <cell r="U222">
            <v>1810743.5387934013</v>
          </cell>
          <cell r="V222">
            <v>1916149.9811762383</v>
          </cell>
          <cell r="W222">
            <v>1756419.3714492139</v>
          </cell>
          <cell r="X222">
            <v>1848983.6486440636</v>
          </cell>
          <cell r="Y222">
            <v>1878423.3582467132</v>
          </cell>
          <cell r="Z222">
            <v>1638038.4648303357</v>
          </cell>
          <cell r="AA222">
            <v>1903327.1774114186</v>
          </cell>
          <cell r="AB222">
            <v>1851811.1719959832</v>
          </cell>
          <cell r="AC222">
            <v>1770550.9292635352</v>
          </cell>
          <cell r="AD222">
            <v>2026702.4010319656</v>
          </cell>
          <cell r="AE222">
            <v>1729318.0757703185</v>
          </cell>
          <cell r="AF222">
            <v>1893775.2897617989</v>
          </cell>
        </row>
        <row r="223">
          <cell r="D223">
            <v>9040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D224">
            <v>9070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D225">
            <v>9080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D226">
            <v>9090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D227">
            <v>9100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D228">
            <v>9110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D229">
            <v>9120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D230">
            <v>9130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D231">
            <v>9160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D232">
            <v>9200</v>
          </cell>
          <cell r="F232">
            <v>445375.62000000005</v>
          </cell>
          <cell r="G232">
            <v>369782.82</v>
          </cell>
          <cell r="H232">
            <v>424768.47000000009</v>
          </cell>
          <cell r="I232">
            <v>278911.63000000006</v>
          </cell>
          <cell r="J232">
            <v>332812.16000000009</v>
          </cell>
          <cell r="K232">
            <v>307847.19000000006</v>
          </cell>
          <cell r="L232">
            <v>421547.86102285853</v>
          </cell>
          <cell r="M232">
            <v>460651.99810201593</v>
          </cell>
          <cell r="N232">
            <v>421547.86102285853</v>
          </cell>
          <cell r="O232">
            <v>431938.40702282987</v>
          </cell>
          <cell r="P232">
            <v>431938.40702282987</v>
          </cell>
          <cell r="Q232">
            <v>412431.7454797065</v>
          </cell>
          <cell r="R232">
            <v>461139.24543644901</v>
          </cell>
          <cell r="S232">
            <v>402619.27244009759</v>
          </cell>
          <cell r="T232">
            <v>441632.58887890511</v>
          </cell>
          <cell r="U232">
            <v>422125.92733578169</v>
          </cell>
          <cell r="V232">
            <v>460308.31551558943</v>
          </cell>
          <cell r="W232">
            <v>421294.99741492211</v>
          </cell>
          <cell r="X232">
            <v>431107.47710197023</v>
          </cell>
          <cell r="Y232">
            <v>450614.13199765427</v>
          </cell>
          <cell r="Z232">
            <v>392094.16066316282</v>
          </cell>
          <cell r="AA232">
            <v>444896.55923351471</v>
          </cell>
          <cell r="AB232">
            <v>444896.55923351471</v>
          </cell>
          <cell r="AC232">
            <v>424804.69784409774</v>
          </cell>
          <cell r="AD232">
            <v>474973.42279954249</v>
          </cell>
          <cell r="AE232">
            <v>414697.85061330057</v>
          </cell>
          <cell r="AF232">
            <v>454881.56654527225</v>
          </cell>
        </row>
        <row r="233">
          <cell r="D233">
            <v>9210</v>
          </cell>
          <cell r="F233">
            <v>744503.12</v>
          </cell>
          <cell r="G233">
            <v>642804.86999999976</v>
          </cell>
          <cell r="H233">
            <v>706185.24999999988</v>
          </cell>
          <cell r="I233">
            <v>673835.8</v>
          </cell>
          <cell r="J233">
            <v>750454.19000000006</v>
          </cell>
          <cell r="K233">
            <v>967850.82000000007</v>
          </cell>
          <cell r="L233">
            <v>189091.6804483103</v>
          </cell>
          <cell r="M233">
            <v>187377.3056777684</v>
          </cell>
          <cell r="N233">
            <v>168380.20103660104</v>
          </cell>
          <cell r="O233">
            <v>206587.02536539073</v>
          </cell>
          <cell r="P233">
            <v>197708.2494321322</v>
          </cell>
          <cell r="Q233">
            <v>202317.90444773136</v>
          </cell>
          <cell r="R233">
            <v>204424.76377439094</v>
          </cell>
          <cell r="S233">
            <v>204475.14723120874</v>
          </cell>
          <cell r="T233">
            <v>221037.62208828915</v>
          </cell>
          <cell r="U233">
            <v>220901.63119032327</v>
          </cell>
          <cell r="V233">
            <v>217062.7867699824</v>
          </cell>
          <cell r="W233">
            <v>251609.24847679827</v>
          </cell>
          <cell r="X233">
            <v>214350.12512404061</v>
          </cell>
          <cell r="Y233">
            <v>204019.953695089</v>
          </cell>
          <cell r="Z233">
            <v>204958.40533856474</v>
          </cell>
          <cell r="AA233">
            <v>206587.02536539073</v>
          </cell>
          <cell r="AB233">
            <v>197708.2494321322</v>
          </cell>
          <cell r="AC233">
            <v>202317.90444773136</v>
          </cell>
          <cell r="AD233">
            <v>204424.76377439094</v>
          </cell>
          <cell r="AE233">
            <v>204475.14723120874</v>
          </cell>
          <cell r="AF233">
            <v>221037.62208828915</v>
          </cell>
        </row>
        <row r="234">
          <cell r="D234">
            <v>9220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D235">
            <v>9230</v>
          </cell>
          <cell r="F235">
            <v>1419.9699999999993</v>
          </cell>
          <cell r="G235">
            <v>69053.959999999992</v>
          </cell>
          <cell r="H235">
            <v>109043.51000000001</v>
          </cell>
          <cell r="I235">
            <v>110711.93</v>
          </cell>
          <cell r="J235">
            <v>79952.900000000009</v>
          </cell>
          <cell r="K235">
            <v>53126</v>
          </cell>
          <cell r="L235">
            <v>32097.622490204551</v>
          </cell>
          <cell r="M235">
            <v>33982.839720064127</v>
          </cell>
          <cell r="N235">
            <v>25102.908918406512</v>
          </cell>
          <cell r="O235">
            <v>36385.509937096562</v>
          </cell>
          <cell r="P235">
            <v>37067.551094822382</v>
          </cell>
          <cell r="Q235">
            <v>36457.316934983966</v>
          </cell>
          <cell r="R235">
            <v>36245.12664665965</v>
          </cell>
          <cell r="S235">
            <v>38130.220133397088</v>
          </cell>
          <cell r="T235">
            <v>45641.956002777108</v>
          </cell>
          <cell r="U235">
            <v>43139.719496778634</v>
          </cell>
          <cell r="V235">
            <v>41899.389693792524</v>
          </cell>
          <cell r="W235">
            <v>60005.30402673957</v>
          </cell>
          <cell r="X235">
            <v>40016.182300879082</v>
          </cell>
          <cell r="Y235">
            <v>38645.519461045449</v>
          </cell>
          <cell r="Z235">
            <v>36784.469879648124</v>
          </cell>
          <cell r="AA235">
            <v>36385.509937096562</v>
          </cell>
          <cell r="AB235">
            <v>37067.551094822382</v>
          </cell>
          <cell r="AC235">
            <v>36457.316934983966</v>
          </cell>
          <cell r="AD235">
            <v>36245.12664665965</v>
          </cell>
          <cell r="AE235">
            <v>38130.220133397088</v>
          </cell>
          <cell r="AF235">
            <v>45641.956002777108</v>
          </cell>
        </row>
        <row r="236">
          <cell r="D236">
            <v>9240</v>
          </cell>
          <cell r="F236">
            <v>9998.56</v>
          </cell>
          <cell r="G236">
            <v>9998.56</v>
          </cell>
          <cell r="H236">
            <v>8105.89</v>
          </cell>
          <cell r="I236">
            <v>8105.89</v>
          </cell>
          <cell r="J236">
            <v>8105.89</v>
          </cell>
          <cell r="K236">
            <v>8105.89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D237">
            <v>9250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</row>
        <row r="238">
          <cell r="D238">
            <v>9260</v>
          </cell>
          <cell r="F238">
            <v>801817.73</v>
          </cell>
          <cell r="G238">
            <v>713976.82</v>
          </cell>
          <cell r="H238">
            <v>858462.2300000001</v>
          </cell>
          <cell r="I238">
            <v>672241.45999999985</v>
          </cell>
          <cell r="J238">
            <v>835509.42000000016</v>
          </cell>
          <cell r="K238">
            <v>734230.03000000014</v>
          </cell>
          <cell r="L238">
            <v>925073.20376203989</v>
          </cell>
          <cell r="M238">
            <v>1004151.5709340967</v>
          </cell>
          <cell r="N238">
            <v>927170.27475365496</v>
          </cell>
          <cell r="O238">
            <v>882489.88069282833</v>
          </cell>
          <cell r="P238">
            <v>893033.15406569128</v>
          </cell>
          <cell r="Q238">
            <v>850375.73900060658</v>
          </cell>
          <cell r="R238">
            <v>940203.1531950013</v>
          </cell>
          <cell r="S238">
            <v>822928.57071378676</v>
          </cell>
          <cell r="T238">
            <v>901640.10009500117</v>
          </cell>
          <cell r="U238">
            <v>862548.56502850319</v>
          </cell>
          <cell r="V238">
            <v>982279.48827065399</v>
          </cell>
          <cell r="W238">
            <v>864429.09030794143</v>
          </cell>
          <cell r="X238">
            <v>884473.46656676452</v>
          </cell>
          <cell r="Y238">
            <v>923036.5164667645</v>
          </cell>
          <cell r="Z238">
            <v>820498.7102976141</v>
          </cell>
          <cell r="AA238">
            <v>933443.17078285641</v>
          </cell>
          <cell r="AB238">
            <v>943986.44415571936</v>
          </cell>
          <cell r="AC238">
            <v>899027.9403356635</v>
          </cell>
          <cell r="AD238">
            <v>994601.09808277304</v>
          </cell>
          <cell r="AE238">
            <v>870423.25060644536</v>
          </cell>
          <cell r="AF238">
            <v>953736.95697200217</v>
          </cell>
        </row>
        <row r="239">
          <cell r="D239">
            <v>9270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D240">
            <v>9280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  <row r="241">
          <cell r="D241">
            <v>9290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D242">
            <v>9301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D243">
            <v>9302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D244">
            <v>9310</v>
          </cell>
          <cell r="F244">
            <v>153533.71999999997</v>
          </cell>
          <cell r="G244">
            <v>154542.81999999998</v>
          </cell>
          <cell r="H244">
            <v>153235.66</v>
          </cell>
          <cell r="I244">
            <v>153107.31</v>
          </cell>
          <cell r="J244">
            <v>153617.66</v>
          </cell>
          <cell r="K244">
            <v>154426.03</v>
          </cell>
          <cell r="L244">
            <v>133002.55921508768</v>
          </cell>
          <cell r="M244">
            <v>129406.30500403115</v>
          </cell>
          <cell r="N244">
            <v>129406.30500403115</v>
          </cell>
          <cell r="O244">
            <v>135098.72117732372</v>
          </cell>
          <cell r="P244">
            <v>134643.15597206212</v>
          </cell>
          <cell r="Q244">
            <v>140991.97614756582</v>
          </cell>
          <cell r="R244">
            <v>135794.96234008204</v>
          </cell>
          <cell r="S244">
            <v>134643.15597206212</v>
          </cell>
          <cell r="T244">
            <v>134643.15597206212</v>
          </cell>
          <cell r="U244">
            <v>135774.46521183368</v>
          </cell>
          <cell r="V244">
            <v>134643.15597206212</v>
          </cell>
          <cell r="W244">
            <v>132033.4087076679</v>
          </cell>
          <cell r="X244">
            <v>135098.72117732372</v>
          </cell>
          <cell r="Y244">
            <v>134643.15597206212</v>
          </cell>
          <cell r="Z244">
            <v>134643.15597206212</v>
          </cell>
          <cell r="AA244">
            <v>135098.72117732372</v>
          </cell>
          <cell r="AB244">
            <v>134643.15597206212</v>
          </cell>
          <cell r="AC244">
            <v>140991.97614756582</v>
          </cell>
          <cell r="AD244">
            <v>135794.96234008204</v>
          </cell>
          <cell r="AE244">
            <v>134643.15597206212</v>
          </cell>
          <cell r="AF244">
            <v>134643.15597206212</v>
          </cell>
        </row>
        <row r="245">
          <cell r="D245">
            <v>9320</v>
          </cell>
          <cell r="F245">
            <v>642.48</v>
          </cell>
          <cell r="G245">
            <v>3738.4300000000003</v>
          </cell>
          <cell r="H245">
            <v>983.61</v>
          </cell>
          <cell r="I245">
            <v>323.14</v>
          </cell>
          <cell r="J245">
            <v>5.41</v>
          </cell>
          <cell r="K245">
            <v>0</v>
          </cell>
          <cell r="L245">
            <v>4.170751105494154</v>
          </cell>
          <cell r="M245">
            <v>4.170751105494154</v>
          </cell>
          <cell r="N245">
            <v>4.5508570114880023</v>
          </cell>
          <cell r="O245">
            <v>14.930872403251541</v>
          </cell>
          <cell r="P245">
            <v>3.5146778978883315</v>
          </cell>
          <cell r="Q245">
            <v>8.3675368620837762</v>
          </cell>
          <cell r="R245">
            <v>3.5146778978883315</v>
          </cell>
          <cell r="S245">
            <v>3.5146778978883315</v>
          </cell>
          <cell r="T245">
            <v>8.3675368620837762</v>
          </cell>
          <cell r="U245">
            <v>3.5146778978883315</v>
          </cell>
          <cell r="V245">
            <v>3.5146778978883315</v>
          </cell>
          <cell r="W245">
            <v>8.3675368620837762</v>
          </cell>
          <cell r="X245">
            <v>3.5146778978883315</v>
          </cell>
          <cell r="Y245">
            <v>3.5146778978883315</v>
          </cell>
          <cell r="Z245">
            <v>8.3675368620837762</v>
          </cell>
          <cell r="AA245">
            <v>14.930872403251541</v>
          </cell>
          <cell r="AB245">
            <v>3.5146778978883315</v>
          </cell>
          <cell r="AC245">
            <v>8.3675368620837762</v>
          </cell>
          <cell r="AD245">
            <v>3.5146778978883315</v>
          </cell>
          <cell r="AE245">
            <v>3.5146778978883315</v>
          </cell>
          <cell r="AF245">
            <v>8.3675368620837762</v>
          </cell>
        </row>
      </sheetData>
      <sheetData sheetId="4">
        <row r="9">
          <cell r="C9" t="str">
            <v>8870</v>
          </cell>
          <cell r="AL9">
            <v>128.19508590310579</v>
          </cell>
        </row>
        <row r="10">
          <cell r="C10" t="str">
            <v>8920</v>
          </cell>
          <cell r="AL10">
            <v>0</v>
          </cell>
        </row>
        <row r="11">
          <cell r="C11" t="str">
            <v>8930</v>
          </cell>
          <cell r="AL11">
            <v>473.83279175199277</v>
          </cell>
        </row>
        <row r="12">
          <cell r="C12" t="str">
            <v>9010</v>
          </cell>
          <cell r="AL12">
            <v>0.33314425101310263</v>
          </cell>
        </row>
        <row r="13">
          <cell r="C13" t="str">
            <v>9020</v>
          </cell>
          <cell r="AL13">
            <v>2194.3010793210706</v>
          </cell>
        </row>
        <row r="14">
          <cell r="C14" t="str">
            <v>9030</v>
          </cell>
          <cell r="AL14">
            <v>2073.587558072817</v>
          </cell>
        </row>
        <row r="15">
          <cell r="C15" t="str">
            <v>9090</v>
          </cell>
          <cell r="AL15">
            <v>582.97069566549908</v>
          </cell>
        </row>
        <row r="16">
          <cell r="C16" t="str">
            <v>9110</v>
          </cell>
          <cell r="AL16">
            <v>1038.3784504621872</v>
          </cell>
        </row>
        <row r="17">
          <cell r="C17" t="str">
            <v>9200</v>
          </cell>
          <cell r="AL17">
            <v>779.81455059768632</v>
          </cell>
        </row>
        <row r="18">
          <cell r="C18" t="str">
            <v>8160</v>
          </cell>
          <cell r="AL18">
            <v>218.82984831517388</v>
          </cell>
        </row>
        <row r="19">
          <cell r="C19" t="str">
            <v>8170</v>
          </cell>
          <cell r="AL19">
            <v>184.77244826507376</v>
          </cell>
        </row>
        <row r="20">
          <cell r="C20" t="str">
            <v>8180</v>
          </cell>
          <cell r="AL20">
            <v>95.867876083935698</v>
          </cell>
        </row>
        <row r="21">
          <cell r="C21" t="str">
            <v>8200</v>
          </cell>
          <cell r="AL21">
            <v>10.635199329575244</v>
          </cell>
        </row>
        <row r="22">
          <cell r="C22" t="str">
            <v>8210</v>
          </cell>
          <cell r="AL22">
            <v>65.35365167794771</v>
          </cell>
        </row>
        <row r="23">
          <cell r="C23" t="str">
            <v>8340</v>
          </cell>
          <cell r="AL23">
            <v>13.343659908620339</v>
          </cell>
        </row>
        <row r="24">
          <cell r="C24" t="str">
            <v>8350</v>
          </cell>
          <cell r="AL24">
            <v>0</v>
          </cell>
        </row>
        <row r="25">
          <cell r="C25" t="str">
            <v>8360</v>
          </cell>
          <cell r="AL25">
            <v>0</v>
          </cell>
        </row>
        <row r="26">
          <cell r="C26" t="str">
            <v>8410</v>
          </cell>
          <cell r="AL26">
            <v>711.6644070995244</v>
          </cell>
        </row>
        <row r="27">
          <cell r="C27" t="str">
            <v>8560</v>
          </cell>
          <cell r="AL27">
            <v>985.8864140152873</v>
          </cell>
        </row>
        <row r="28">
          <cell r="C28" t="str">
            <v>8570</v>
          </cell>
          <cell r="AL28">
            <v>17.822017499023332</v>
          </cell>
        </row>
        <row r="29">
          <cell r="C29" t="str">
            <v>8630</v>
          </cell>
          <cell r="AL29">
            <v>8.7611265619248115</v>
          </cell>
        </row>
        <row r="30">
          <cell r="C30" t="str">
            <v>8650</v>
          </cell>
          <cell r="AL30">
            <v>0</v>
          </cell>
        </row>
        <row r="31">
          <cell r="C31" t="str">
            <v>8700</v>
          </cell>
          <cell r="AL31">
            <v>2835.7642259111744</v>
          </cell>
        </row>
        <row r="32">
          <cell r="C32" t="str">
            <v>8740</v>
          </cell>
          <cell r="AL32">
            <v>7217.3133040561806</v>
          </cell>
        </row>
        <row r="33">
          <cell r="C33" t="str">
            <v>8750</v>
          </cell>
          <cell r="AL33">
            <v>2220.4783197283396</v>
          </cell>
        </row>
        <row r="34">
          <cell r="C34" t="str">
            <v>8760</v>
          </cell>
          <cell r="AL34">
            <v>112.91353875832283</v>
          </cell>
        </row>
        <row r="35">
          <cell r="C35" t="str">
            <v>8770</v>
          </cell>
          <cell r="AL35">
            <v>0</v>
          </cell>
        </row>
        <row r="36">
          <cell r="C36" t="str">
            <v>8780</v>
          </cell>
          <cell r="AL36">
            <v>5089.2956041316502</v>
          </cell>
        </row>
        <row r="37">
          <cell r="C37" t="str">
            <v>8800</v>
          </cell>
          <cell r="AL37">
            <v>736.87843082830659</v>
          </cell>
        </row>
        <row r="38">
          <cell r="C38" t="str">
            <v>8700</v>
          </cell>
          <cell r="AL38">
            <v>39082.378633156419</v>
          </cell>
        </row>
        <row r="39">
          <cell r="C39" t="str">
            <v>8700</v>
          </cell>
          <cell r="AL39">
            <v>-38693.828151633963</v>
          </cell>
        </row>
        <row r="40">
          <cell r="C40" t="str">
            <v>8560</v>
          </cell>
          <cell r="AL40">
            <v>11.589143820442587</v>
          </cell>
        </row>
        <row r="41">
          <cell r="C41" t="str">
            <v>8700</v>
          </cell>
          <cell r="AL41">
            <v>0</v>
          </cell>
        </row>
        <row r="42">
          <cell r="C42" t="str">
            <v>8870</v>
          </cell>
          <cell r="AL42">
            <v>0.60214677982720843</v>
          </cell>
        </row>
        <row r="43">
          <cell r="C43" t="str">
            <v>8920</v>
          </cell>
          <cell r="AL43">
            <v>0</v>
          </cell>
        </row>
        <row r="44">
          <cell r="C44" t="str">
            <v>8930</v>
          </cell>
          <cell r="AL44">
            <v>21.637577293370668</v>
          </cell>
        </row>
        <row r="45">
          <cell r="C45" t="str">
            <v>9020</v>
          </cell>
          <cell r="AL45">
            <v>-15.190134282195231</v>
          </cell>
        </row>
        <row r="46">
          <cell r="C46" t="str">
            <v>9030</v>
          </cell>
          <cell r="AL46">
            <v>64.48337504580013</v>
          </cell>
        </row>
        <row r="47">
          <cell r="C47" t="str">
            <v>9090</v>
          </cell>
          <cell r="AL47">
            <v>0</v>
          </cell>
        </row>
        <row r="48">
          <cell r="C48" t="str">
            <v>9110</v>
          </cell>
          <cell r="AL48">
            <v>0.4353564851975591</v>
          </cell>
        </row>
        <row r="49">
          <cell r="C49" t="str">
            <v>9200</v>
          </cell>
          <cell r="AL49">
            <v>2.565777972520948</v>
          </cell>
        </row>
        <row r="50">
          <cell r="C50" t="str">
            <v>8160</v>
          </cell>
          <cell r="AL50">
            <v>-3.4902696317666368</v>
          </cell>
        </row>
        <row r="51">
          <cell r="C51" t="str">
            <v>8170</v>
          </cell>
          <cell r="AL51">
            <v>-9.0580547384986403</v>
          </cell>
        </row>
        <row r="52">
          <cell r="C52" t="str">
            <v>8180</v>
          </cell>
          <cell r="AL52">
            <v>-3.7113840380545753</v>
          </cell>
        </row>
        <row r="53">
          <cell r="C53" t="str">
            <v>8200</v>
          </cell>
          <cell r="AL53">
            <v>-0.39510428198083503</v>
          </cell>
        </row>
        <row r="54">
          <cell r="C54" t="str">
            <v>8210</v>
          </cell>
          <cell r="AL54">
            <v>-10.159590641161003</v>
          </cell>
        </row>
        <row r="55">
          <cell r="C55" t="str">
            <v>8340</v>
          </cell>
          <cell r="AL55">
            <v>0</v>
          </cell>
        </row>
        <row r="56">
          <cell r="C56" t="str">
            <v>8350</v>
          </cell>
          <cell r="AL56">
            <v>0</v>
          </cell>
        </row>
        <row r="57">
          <cell r="C57" t="str">
            <v>8360</v>
          </cell>
          <cell r="AL57">
            <v>0</v>
          </cell>
        </row>
        <row r="58">
          <cell r="C58" t="str">
            <v>8410</v>
          </cell>
          <cell r="AL58">
            <v>-4.4119250924115931</v>
          </cell>
        </row>
        <row r="59">
          <cell r="C59" t="str">
            <v>8560</v>
          </cell>
          <cell r="AL59">
            <v>-16.593179913018048</v>
          </cell>
        </row>
        <row r="60">
          <cell r="C60" t="str">
            <v>8570</v>
          </cell>
          <cell r="AL60">
            <v>8.1486167487485162E-2</v>
          </cell>
        </row>
        <row r="61">
          <cell r="C61" t="str">
            <v>8630</v>
          </cell>
          <cell r="AL61">
            <v>-6.1451696910844475</v>
          </cell>
        </row>
        <row r="62">
          <cell r="C62" t="str">
            <v>8650</v>
          </cell>
          <cell r="AL62">
            <v>0</v>
          </cell>
        </row>
        <row r="63">
          <cell r="C63" t="str">
            <v>8700</v>
          </cell>
          <cell r="AL63">
            <v>-99.315711821254808</v>
          </cell>
        </row>
        <row r="64">
          <cell r="C64" t="str">
            <v>8740</v>
          </cell>
          <cell r="AL64">
            <v>-28.343114377204074</v>
          </cell>
        </row>
        <row r="65">
          <cell r="C65" t="str">
            <v>8750</v>
          </cell>
          <cell r="AL65">
            <v>-9.9664018826322263</v>
          </cell>
        </row>
        <row r="66">
          <cell r="C66" t="str">
            <v>8760</v>
          </cell>
          <cell r="AL66">
            <v>-14.804738526194342</v>
          </cell>
        </row>
        <row r="67">
          <cell r="C67" t="str">
            <v>8770</v>
          </cell>
          <cell r="AL67">
            <v>0</v>
          </cell>
        </row>
        <row r="68">
          <cell r="C68" t="str">
            <v>8780</v>
          </cell>
          <cell r="AL68">
            <v>-203.49550424260815</v>
          </cell>
        </row>
        <row r="69">
          <cell r="C69" t="str">
            <v>8800</v>
          </cell>
          <cell r="AL69">
            <v>16.156514413080458</v>
          </cell>
        </row>
        <row r="70">
          <cell r="C70" t="str">
            <v>9010</v>
          </cell>
          <cell r="AL70">
            <v>0</v>
          </cell>
        </row>
        <row r="71">
          <cell r="C71" t="str">
            <v>8700</v>
          </cell>
          <cell r="AL71">
            <v>22967.00960768247</v>
          </cell>
        </row>
        <row r="72">
          <cell r="C72" t="str">
            <v>8700</v>
          </cell>
          <cell r="AL72">
            <v>-23356.383677643724</v>
          </cell>
        </row>
        <row r="73">
          <cell r="C73" t="str">
            <v>8700</v>
          </cell>
          <cell r="AL73">
            <v>9.8507722473761987</v>
          </cell>
        </row>
        <row r="74">
          <cell r="C74" t="str">
            <v>8560</v>
          </cell>
          <cell r="AL74">
            <v>0</v>
          </cell>
        </row>
        <row r="75">
          <cell r="C75" t="str">
            <v>8700</v>
          </cell>
          <cell r="AL75">
            <v>0</v>
          </cell>
        </row>
        <row r="76">
          <cell r="C76" t="str">
            <v>8560</v>
          </cell>
          <cell r="AL76">
            <v>-11.589143820442587</v>
          </cell>
        </row>
        <row r="79">
          <cell r="C79" t="str">
            <v>9260</v>
          </cell>
          <cell r="AL79">
            <v>-15248.427707140101</v>
          </cell>
        </row>
        <row r="80">
          <cell r="C80" t="str">
            <v>9260</v>
          </cell>
          <cell r="AL80">
            <v>-10040.29245578518</v>
          </cell>
        </row>
        <row r="81">
          <cell r="C81" t="str">
            <v>9260</v>
          </cell>
          <cell r="AL81">
            <v>-38684.875712131616</v>
          </cell>
        </row>
        <row r="82">
          <cell r="C82" t="str">
            <v>9260</v>
          </cell>
          <cell r="AL82">
            <v>-13.896361265681776</v>
          </cell>
        </row>
        <row r="83">
          <cell r="C83" t="str">
            <v>9260</v>
          </cell>
          <cell r="AL83">
            <v>-8246.1845730140922</v>
          </cell>
        </row>
        <row r="84">
          <cell r="C84" t="str">
            <v>9260</v>
          </cell>
          <cell r="AL84">
            <v>-2.9505533576332112</v>
          </cell>
        </row>
        <row r="85">
          <cell r="C85" t="str">
            <v>9260</v>
          </cell>
          <cell r="AL85">
            <v>-201.79686011609829</v>
          </cell>
        </row>
        <row r="86">
          <cell r="C86" t="str">
            <v>9260</v>
          </cell>
          <cell r="AL86">
            <v>-8.7322920440408236E-2</v>
          </cell>
        </row>
        <row r="87">
          <cell r="C87" t="str">
            <v>9260</v>
          </cell>
          <cell r="AL87">
            <v>-1232.8938877607761</v>
          </cell>
        </row>
        <row r="88">
          <cell r="C88" t="str">
            <v>9260</v>
          </cell>
          <cell r="AL88">
            <v>0.1778503517226655</v>
          </cell>
        </row>
        <row r="89">
          <cell r="C89" t="str">
            <v>9260</v>
          </cell>
          <cell r="AL89">
            <v>-807.20186076317987</v>
          </cell>
        </row>
        <row r="90">
          <cell r="C90" t="str">
            <v>9260</v>
          </cell>
          <cell r="AL90">
            <v>-5.3675556600984775E-2</v>
          </cell>
        </row>
        <row r="91">
          <cell r="C91" t="str">
            <v>9260</v>
          </cell>
          <cell r="AL91">
            <v>-1008.9995220069977</v>
          </cell>
        </row>
        <row r="92">
          <cell r="C92" t="str">
            <v>9260</v>
          </cell>
          <cell r="AL92">
            <v>-0.39014919499521739</v>
          </cell>
        </row>
        <row r="93">
          <cell r="C93" t="str">
            <v>9260</v>
          </cell>
          <cell r="AL93">
            <v>-5.470100007037658</v>
          </cell>
        </row>
        <row r="94">
          <cell r="C94" t="str">
            <v>9260</v>
          </cell>
          <cell r="AL94">
            <v>-4.3781629376773594</v>
          </cell>
        </row>
        <row r="95">
          <cell r="C95" t="str">
            <v>9250</v>
          </cell>
          <cell r="AL95">
            <v>-1.7937249437254295</v>
          </cell>
        </row>
        <row r="98">
          <cell r="C98" t="str">
            <v>8560</v>
          </cell>
          <cell r="AN98">
            <v>-476.23626007361895</v>
          </cell>
        </row>
        <row r="99">
          <cell r="C99" t="str">
            <v>8700</v>
          </cell>
          <cell r="AN99">
            <v>-180.57283704120084</v>
          </cell>
        </row>
        <row r="100">
          <cell r="C100" t="str">
            <v>8740</v>
          </cell>
          <cell r="AN100">
            <v>-1958.3800893390471</v>
          </cell>
        </row>
        <row r="101">
          <cell r="C101" t="str">
            <v>8750</v>
          </cell>
          <cell r="AN101">
            <v>-96.099719238922091</v>
          </cell>
        </row>
        <row r="102">
          <cell r="C102" t="str">
            <v>8780</v>
          </cell>
          <cell r="AN102">
            <v>-291.01428460264913</v>
          </cell>
        </row>
        <row r="103">
          <cell r="C103" t="str">
            <v>9020</v>
          </cell>
          <cell r="AN103">
            <v>-696.46572217003722</v>
          </cell>
        </row>
        <row r="104">
          <cell r="C104" t="str">
            <v>9030</v>
          </cell>
          <cell r="AN104">
            <v>0</v>
          </cell>
        </row>
        <row r="105">
          <cell r="C105" t="str">
            <v>9260</v>
          </cell>
          <cell r="AN105">
            <v>-6790.9529421616317</v>
          </cell>
        </row>
        <row r="106">
          <cell r="C106" t="str">
            <v>9030</v>
          </cell>
          <cell r="AN106">
            <v>0</v>
          </cell>
        </row>
        <row r="107">
          <cell r="C107" t="str">
            <v>9260</v>
          </cell>
          <cell r="AN107">
            <v>4119.0390093574788</v>
          </cell>
        </row>
        <row r="108">
          <cell r="C108" t="str">
            <v>8560</v>
          </cell>
          <cell r="AN108">
            <v>63.63085747496271</v>
          </cell>
        </row>
        <row r="109">
          <cell r="C109" t="str">
            <v>8700</v>
          </cell>
          <cell r="AN109">
            <v>98.533193958219613</v>
          </cell>
        </row>
        <row r="110">
          <cell r="C110" t="str">
            <v>8740</v>
          </cell>
          <cell r="AN110">
            <v>1166.745977760932</v>
          </cell>
        </row>
        <row r="111">
          <cell r="C111" t="str">
            <v>8750</v>
          </cell>
          <cell r="AN111">
            <v>53.513911651216887</v>
          </cell>
        </row>
        <row r="112">
          <cell r="C112" t="str">
            <v>8780</v>
          </cell>
          <cell r="AN112">
            <v>188.06478467237116</v>
          </cell>
        </row>
        <row r="113">
          <cell r="C113" t="str">
            <v>9020</v>
          </cell>
          <cell r="AN113">
            <v>451.32318709858941</v>
          </cell>
        </row>
        <row r="114">
          <cell r="C114" t="str">
            <v>9260</v>
          </cell>
          <cell r="AN114">
            <v>-3448.879599546508</v>
          </cell>
        </row>
        <row r="115">
          <cell r="C115" t="str">
            <v>9260</v>
          </cell>
          <cell r="AN115">
            <v>-10093.673844061457</v>
          </cell>
        </row>
        <row r="116">
          <cell r="C116" t="str">
            <v>9260</v>
          </cell>
          <cell r="AN116">
            <v>-639.09880887993268</v>
          </cell>
        </row>
        <row r="117">
          <cell r="C117" t="str">
            <v>9020</v>
          </cell>
          <cell r="AN117">
            <v>0</v>
          </cell>
        </row>
        <row r="118">
          <cell r="C118" t="str">
            <v>9030</v>
          </cell>
          <cell r="AN118">
            <v>-24.034318215283363</v>
          </cell>
        </row>
        <row r="119">
          <cell r="C119" t="str">
            <v>9250</v>
          </cell>
          <cell r="AN119">
            <v>-1444.3986835807718</v>
          </cell>
        </row>
        <row r="120">
          <cell r="C120" t="str">
            <v>9260</v>
          </cell>
          <cell r="AN120">
            <v>-12410.86377218135</v>
          </cell>
        </row>
        <row r="121">
          <cell r="C121" t="str">
            <v>9270</v>
          </cell>
          <cell r="AN121">
            <v>-5.3964555117753434</v>
          </cell>
        </row>
        <row r="122">
          <cell r="C122" t="str">
            <v>8560</v>
          </cell>
          <cell r="AN122">
            <v>0</v>
          </cell>
        </row>
        <row r="123">
          <cell r="C123" t="str">
            <v>8700</v>
          </cell>
          <cell r="AN123">
            <v>-815.78860138447726</v>
          </cell>
        </row>
        <row r="124">
          <cell r="C124" t="str">
            <v>8740</v>
          </cell>
          <cell r="AN124">
            <v>-33.23871101929268</v>
          </cell>
        </row>
        <row r="125">
          <cell r="C125" t="str">
            <v>8750</v>
          </cell>
          <cell r="AN125">
            <v>0</v>
          </cell>
        </row>
        <row r="126">
          <cell r="C126" t="str">
            <v>8800</v>
          </cell>
          <cell r="AN126">
            <v>-168.9912999512112</v>
          </cell>
        </row>
        <row r="127">
          <cell r="C127" t="str">
            <v>9230</v>
          </cell>
          <cell r="AN127">
            <v>0</v>
          </cell>
        </row>
        <row r="128">
          <cell r="C128" t="str">
            <v>8810</v>
          </cell>
          <cell r="AN128">
            <v>-257.35497301458906</v>
          </cell>
        </row>
        <row r="129">
          <cell r="AN129">
            <v>-33690.589999999967</v>
          </cell>
        </row>
        <row r="130">
          <cell r="AN130">
            <v>0</v>
          </cell>
        </row>
        <row r="131">
          <cell r="C131" t="str">
            <v>9240</v>
          </cell>
          <cell r="AN131">
            <v>-192641.62862081197</v>
          </cell>
        </row>
        <row r="132">
          <cell r="C132" t="str">
            <v>9210</v>
          </cell>
          <cell r="AN132">
            <v>-442.54050287579111</v>
          </cell>
        </row>
        <row r="133">
          <cell r="C133" t="str">
            <v>9240</v>
          </cell>
          <cell r="AN133">
            <v>109218.91273887809</v>
          </cell>
        </row>
        <row r="134">
          <cell r="C134" t="str">
            <v>8700</v>
          </cell>
          <cell r="AN134">
            <v>0</v>
          </cell>
        </row>
        <row r="135">
          <cell r="C135" t="str">
            <v>9250</v>
          </cell>
          <cell r="AN135">
            <v>-256.44481728951035</v>
          </cell>
        </row>
        <row r="136">
          <cell r="C136" t="str">
            <v>8740</v>
          </cell>
          <cell r="AN136">
            <v>-499.74879790082156</v>
          </cell>
        </row>
        <row r="137">
          <cell r="C137" t="str">
            <v>8410</v>
          </cell>
          <cell r="AN137">
            <v>0</v>
          </cell>
        </row>
        <row r="138">
          <cell r="C138" t="str">
            <v>8700</v>
          </cell>
          <cell r="AN138">
            <v>0</v>
          </cell>
        </row>
        <row r="141">
          <cell r="C141" t="str">
            <v>8250</v>
          </cell>
          <cell r="AM141">
            <v>46.254988078012445</v>
          </cell>
        </row>
        <row r="142">
          <cell r="C142" t="str">
            <v>8700</v>
          </cell>
        </row>
        <row r="143">
          <cell r="C143" t="str">
            <v>8810</v>
          </cell>
          <cell r="AM143">
            <v>42250.531140927575</v>
          </cell>
        </row>
        <row r="144">
          <cell r="C144" t="str">
            <v>8250</v>
          </cell>
          <cell r="AM144">
            <v>-231.96051868375639</v>
          </cell>
        </row>
        <row r="145">
          <cell r="C145" t="str">
            <v>8700</v>
          </cell>
          <cell r="AM145">
            <v>-70.569511962672664</v>
          </cell>
        </row>
        <row r="146">
          <cell r="C146" t="str">
            <v>8810</v>
          </cell>
          <cell r="AM146">
            <v>-71117.38891788607</v>
          </cell>
        </row>
        <row r="147">
          <cell r="C147" t="str">
            <v>9310</v>
          </cell>
          <cell r="AM147">
            <v>-1516.4678449304647</v>
          </cell>
        </row>
        <row r="148">
          <cell r="C148" t="str">
            <v>8700</v>
          </cell>
          <cell r="AM148">
            <v>-8241.3778032004484</v>
          </cell>
        </row>
        <row r="149">
          <cell r="C149" t="str">
            <v>8710</v>
          </cell>
          <cell r="AM149">
            <v>0</v>
          </cell>
        </row>
        <row r="150">
          <cell r="C150" t="str">
            <v>8780</v>
          </cell>
          <cell r="AM150">
            <v>-10.581411264394987</v>
          </cell>
        </row>
        <row r="151">
          <cell r="C151" t="str">
            <v>8740</v>
          </cell>
          <cell r="AM151">
            <v>-3846.7856823057809</v>
          </cell>
        </row>
        <row r="152">
          <cell r="C152" t="str">
            <v>8750</v>
          </cell>
          <cell r="AM152">
            <v>-76.259811800337729</v>
          </cell>
        </row>
        <row r="153">
          <cell r="C153" t="str">
            <v>8800</v>
          </cell>
          <cell r="AM153">
            <v>-10.783167162253676</v>
          </cell>
        </row>
        <row r="154">
          <cell r="C154" t="str">
            <v>8810</v>
          </cell>
          <cell r="AM154">
            <v>-27122.967941648472</v>
          </cell>
        </row>
        <row r="155">
          <cell r="C155" t="str">
            <v>9120</v>
          </cell>
          <cell r="AM155">
            <v>-148.45512371662926</v>
          </cell>
        </row>
        <row r="156">
          <cell r="C156" t="str">
            <v>8860</v>
          </cell>
          <cell r="AM156">
            <v>-2.5503512525439156</v>
          </cell>
        </row>
        <row r="157">
          <cell r="C157" t="str">
            <v>8910</v>
          </cell>
          <cell r="AM157">
            <v>-169.82753732377705</v>
          </cell>
        </row>
        <row r="158">
          <cell r="C158" t="str">
            <v>8810</v>
          </cell>
          <cell r="AM158">
            <v>-2.3505541498100619</v>
          </cell>
        </row>
        <row r="159">
          <cell r="C159" t="str">
            <v>8740</v>
          </cell>
          <cell r="AM159">
            <v>-24.876698085489892</v>
          </cell>
        </row>
        <row r="160">
          <cell r="C160" t="str">
            <v>8810</v>
          </cell>
          <cell r="AM160">
            <v>-895.56896625813442</v>
          </cell>
        </row>
        <row r="161">
          <cell r="C161" t="str">
            <v>8700</v>
          </cell>
          <cell r="AM161">
            <v>-8217.9662838683435</v>
          </cell>
        </row>
        <row r="162">
          <cell r="C162" t="str">
            <v>8710</v>
          </cell>
          <cell r="AM162">
            <v>-117.09677256303803</v>
          </cell>
        </row>
        <row r="163">
          <cell r="C163" t="str">
            <v>8740</v>
          </cell>
          <cell r="AM163">
            <v>-4710.6300027219841</v>
          </cell>
        </row>
        <row r="164">
          <cell r="C164" t="str">
            <v>8750</v>
          </cell>
          <cell r="AM164">
            <v>-224.49163287273495</v>
          </cell>
        </row>
        <row r="165">
          <cell r="C165" t="str">
            <v>8770</v>
          </cell>
          <cell r="AM165">
            <v>-499.31254768315193</v>
          </cell>
        </row>
        <row r="166">
          <cell r="C166" t="str">
            <v>8780</v>
          </cell>
          <cell r="AM166">
            <v>-1277.3087541629138</v>
          </cell>
        </row>
        <row r="167">
          <cell r="C167" t="str">
            <v>8800</v>
          </cell>
          <cell r="AM167">
            <v>0</v>
          </cell>
        </row>
        <row r="168">
          <cell r="C168" t="str">
            <v>8240</v>
          </cell>
          <cell r="AM168">
            <v>0</v>
          </cell>
        </row>
        <row r="169">
          <cell r="C169" t="str">
            <v>8250</v>
          </cell>
          <cell r="AM169">
            <v>-818.86842555470685</v>
          </cell>
        </row>
        <row r="170">
          <cell r="C170" t="str">
            <v>9020</v>
          </cell>
          <cell r="AM170">
            <v>-257.27598687721093</v>
          </cell>
        </row>
        <row r="171">
          <cell r="C171" t="str">
            <v>8560</v>
          </cell>
          <cell r="AM171">
            <v>-2000.0003390878919</v>
          </cell>
        </row>
        <row r="172">
          <cell r="C172" t="str">
            <v>8570</v>
          </cell>
          <cell r="AM172">
            <v>-649.34646027040435</v>
          </cell>
        </row>
        <row r="173">
          <cell r="C173" t="str">
            <v>8170</v>
          </cell>
          <cell r="AM173">
            <v>-218.95803664505729</v>
          </cell>
        </row>
        <row r="174">
          <cell r="C174" t="str">
            <v>8180</v>
          </cell>
          <cell r="AM174">
            <v>-430.2121320641113</v>
          </cell>
        </row>
        <row r="175">
          <cell r="C175" t="str">
            <v>8190</v>
          </cell>
          <cell r="AM175">
            <v>-119.15546623924695</v>
          </cell>
        </row>
        <row r="176">
          <cell r="C176" t="str">
            <v>8200</v>
          </cell>
          <cell r="AM176">
            <v>-191.94821066861482</v>
          </cell>
        </row>
        <row r="177">
          <cell r="C177" t="str">
            <v>8210</v>
          </cell>
          <cell r="AM177">
            <v>-273.13830979817931</v>
          </cell>
        </row>
        <row r="178">
          <cell r="C178" t="str">
            <v>8860</v>
          </cell>
          <cell r="AM178">
            <v>0</v>
          </cell>
        </row>
        <row r="179">
          <cell r="C179" t="str">
            <v>8180</v>
          </cell>
          <cell r="AM179">
            <v>366.18107822816091</v>
          </cell>
        </row>
        <row r="180">
          <cell r="C180" t="str">
            <v>8810</v>
          </cell>
          <cell r="AM180">
            <v>17298.515424092475</v>
          </cell>
        </row>
        <row r="181">
          <cell r="C181" t="str">
            <v>8700</v>
          </cell>
          <cell r="AM181">
            <v>10212.742516358267</v>
          </cell>
        </row>
        <row r="182">
          <cell r="C182" t="str">
            <v>8800</v>
          </cell>
          <cell r="AM182">
            <v>7.6451773722572511</v>
          </cell>
        </row>
        <row r="183">
          <cell r="C183" t="str">
            <v>8560</v>
          </cell>
          <cell r="AM183">
            <v>1059.0402134018004</v>
          </cell>
        </row>
        <row r="184">
          <cell r="C184" t="str">
            <v>8550</v>
          </cell>
          <cell r="AM184">
            <v>-35.242641886152228</v>
          </cell>
        </row>
        <row r="185">
          <cell r="C185" t="str">
            <v>8810</v>
          </cell>
          <cell r="AM185">
            <v>-29.381926872625826</v>
          </cell>
        </row>
        <row r="188">
          <cell r="C188" t="str">
            <v>8740</v>
          </cell>
          <cell r="AN188">
            <v>88887.912082019262</v>
          </cell>
        </row>
        <row r="189">
          <cell r="C189" t="str">
            <v>7560</v>
          </cell>
          <cell r="AN189">
            <v>0</v>
          </cell>
        </row>
        <row r="190">
          <cell r="C190" t="str">
            <v>8160</v>
          </cell>
          <cell r="AN190">
            <v>-5.2320049083912039</v>
          </cell>
        </row>
        <row r="191">
          <cell r="C191" t="str">
            <v>8760</v>
          </cell>
          <cell r="AN191">
            <v>-27.262750497831519</v>
          </cell>
        </row>
        <row r="192">
          <cell r="C192" t="str">
            <v>8210</v>
          </cell>
          <cell r="AN192">
            <v>-1.2161073974415082</v>
          </cell>
        </row>
        <row r="193">
          <cell r="C193" t="str">
            <v>8560</v>
          </cell>
          <cell r="AN193">
            <v>-845.88590226881388</v>
          </cell>
        </row>
        <row r="194">
          <cell r="C194" t="str">
            <v>8650</v>
          </cell>
          <cell r="AN194">
            <v>0</v>
          </cell>
        </row>
        <row r="195">
          <cell r="C195" t="str">
            <v>8700</v>
          </cell>
          <cell r="AN195">
            <v>-412.78159661728841</v>
          </cell>
        </row>
        <row r="196">
          <cell r="C196" t="str">
            <v>8740</v>
          </cell>
          <cell r="AN196">
            <v>-110288.88776921295</v>
          </cell>
        </row>
        <row r="197">
          <cell r="C197" t="str">
            <v>8750</v>
          </cell>
          <cell r="AN197">
            <v>-9.7069143843902737</v>
          </cell>
        </row>
        <row r="198">
          <cell r="C198" t="str">
            <v>8780</v>
          </cell>
          <cell r="AN198">
            <v>-426.64887841397922</v>
          </cell>
        </row>
        <row r="199">
          <cell r="C199" t="str">
            <v>8800</v>
          </cell>
          <cell r="AN199">
            <v>-22.358088783638863</v>
          </cell>
        </row>
        <row r="200">
          <cell r="C200" t="str">
            <v>9020</v>
          </cell>
          <cell r="AN200">
            <v>-57.325291109171303</v>
          </cell>
        </row>
        <row r="201">
          <cell r="C201" t="str">
            <v>8160</v>
          </cell>
        </row>
        <row r="202">
          <cell r="C202" t="str">
            <v>9020</v>
          </cell>
          <cell r="AN202">
            <v>101.94454583123957</v>
          </cell>
        </row>
        <row r="203">
          <cell r="C203" t="str">
            <v>7560</v>
          </cell>
          <cell r="AN203">
            <v>0</v>
          </cell>
        </row>
        <row r="204">
          <cell r="C204" t="str">
            <v>8210</v>
          </cell>
          <cell r="AN204">
            <v>6.7827704317451918</v>
          </cell>
        </row>
        <row r="205">
          <cell r="C205" t="str">
            <v>8800</v>
          </cell>
          <cell r="AN205">
            <v>32.754435482067436</v>
          </cell>
        </row>
        <row r="206">
          <cell r="C206" t="str">
            <v>8560</v>
          </cell>
          <cell r="AN206">
            <v>2565.3648394058946</v>
          </cell>
        </row>
        <row r="207">
          <cell r="C207" t="str">
            <v>8650</v>
          </cell>
          <cell r="AN207">
            <v>0</v>
          </cell>
        </row>
        <row r="208">
          <cell r="C208" t="str">
            <v>8760</v>
          </cell>
          <cell r="AN208">
            <v>59.057101192445202</v>
          </cell>
        </row>
        <row r="209">
          <cell r="C209" t="str">
            <v>8700</v>
          </cell>
          <cell r="AN209">
            <v>663.89771615785321</v>
          </cell>
        </row>
        <row r="210">
          <cell r="C210" t="str">
            <v>8740</v>
          </cell>
          <cell r="AN210">
            <v>100997.92600433854</v>
          </cell>
        </row>
        <row r="211">
          <cell r="C211" t="str">
            <v>8750</v>
          </cell>
          <cell r="AN211">
            <v>18.547009360679368</v>
          </cell>
        </row>
        <row r="212">
          <cell r="C212" t="str">
            <v>8780</v>
          </cell>
          <cell r="AN212">
            <v>658.38042891262012</v>
          </cell>
        </row>
        <row r="213">
          <cell r="C213" t="str">
            <v>8740</v>
          </cell>
          <cell r="AN213">
            <v>46109.97928591416</v>
          </cell>
        </row>
        <row r="214">
          <cell r="C214" t="str">
            <v>8740</v>
          </cell>
          <cell r="AN214">
            <v>20156.297995210654</v>
          </cell>
        </row>
        <row r="215">
          <cell r="C215" t="str">
            <v>8560</v>
          </cell>
          <cell r="AN215">
            <v>314.38113520145043</v>
          </cell>
        </row>
        <row r="216">
          <cell r="C216" t="str">
            <v>8780</v>
          </cell>
          <cell r="AN216">
            <v>92.146194800425292</v>
          </cell>
        </row>
        <row r="217">
          <cell r="C217" t="str">
            <v>8810</v>
          </cell>
          <cell r="AN217">
            <v>158.36644287373952</v>
          </cell>
        </row>
        <row r="218">
          <cell r="C218" t="str">
            <v>8700</v>
          </cell>
          <cell r="AN218">
            <v>0</v>
          </cell>
        </row>
        <row r="219">
          <cell r="C219" t="str">
            <v>8560</v>
          </cell>
          <cell r="AN219">
            <v>-308.09395139332401</v>
          </cell>
        </row>
        <row r="220">
          <cell r="C220" t="str">
            <v>8780</v>
          </cell>
          <cell r="AN220">
            <v>-90.304660741442262</v>
          </cell>
        </row>
        <row r="221">
          <cell r="C221" t="str">
            <v>8810</v>
          </cell>
          <cell r="AN221">
            <v>-155.19907744160673</v>
          </cell>
        </row>
        <row r="222">
          <cell r="C222" t="str">
            <v>8700</v>
          </cell>
          <cell r="AN222">
            <v>0</v>
          </cell>
        </row>
        <row r="223">
          <cell r="C223" t="str">
            <v>8740</v>
          </cell>
          <cell r="AN223">
            <v>-64940.956124461605</v>
          </cell>
        </row>
        <row r="226">
          <cell r="C226" t="str">
            <v>8900</v>
          </cell>
          <cell r="AN226">
            <v>0</v>
          </cell>
        </row>
        <row r="227">
          <cell r="C227" t="str">
            <v>8740</v>
          </cell>
          <cell r="AN227">
            <v>6516.2275638580322</v>
          </cell>
        </row>
        <row r="228">
          <cell r="C228" t="str">
            <v>8750</v>
          </cell>
          <cell r="AN228">
            <v>312.85491241869477</v>
          </cell>
        </row>
        <row r="229">
          <cell r="C229" t="str">
            <v>8760</v>
          </cell>
          <cell r="AN229">
            <v>233.38711304123171</v>
          </cell>
        </row>
        <row r="230">
          <cell r="C230" t="str">
            <v>8940</v>
          </cell>
          <cell r="AN230">
            <v>7.8722722233555942</v>
          </cell>
        </row>
        <row r="231">
          <cell r="C231" t="str">
            <v>8890</v>
          </cell>
          <cell r="AN231">
            <v>1.407557164435552</v>
          </cell>
        </row>
        <row r="232">
          <cell r="C232" t="str">
            <v>8770</v>
          </cell>
          <cell r="AN232">
            <v>0</v>
          </cell>
        </row>
        <row r="233">
          <cell r="C233" t="str">
            <v>8560</v>
          </cell>
          <cell r="AN233">
            <v>0</v>
          </cell>
        </row>
        <row r="234">
          <cell r="C234" t="str">
            <v>8900</v>
          </cell>
          <cell r="AN234">
            <v>0</v>
          </cell>
        </row>
        <row r="235">
          <cell r="C235" t="str">
            <v>8740</v>
          </cell>
          <cell r="AN235">
            <v>553.18955050810291</v>
          </cell>
        </row>
        <row r="236">
          <cell r="C236" t="str">
            <v>8750</v>
          </cell>
          <cell r="AN236">
            <v>22.173495802723551</v>
          </cell>
        </row>
        <row r="237">
          <cell r="C237" t="str">
            <v>8940</v>
          </cell>
          <cell r="AN237">
            <v>0.7084619242652046</v>
          </cell>
        </row>
        <row r="238">
          <cell r="C238" t="str">
            <v>8890</v>
          </cell>
          <cell r="AN238">
            <v>0.12687599364845603</v>
          </cell>
        </row>
        <row r="239">
          <cell r="C239" t="str">
            <v>8760</v>
          </cell>
          <cell r="AN239">
            <v>16.337200094894513</v>
          </cell>
        </row>
        <row r="240">
          <cell r="C240" t="str">
            <v>8770</v>
          </cell>
          <cell r="AN240">
            <v>0</v>
          </cell>
        </row>
        <row r="241">
          <cell r="C241" t="str">
            <v>8560</v>
          </cell>
          <cell r="AN241">
            <v>0</v>
          </cell>
        </row>
        <row r="242">
          <cell r="C242" t="str">
            <v>8210</v>
          </cell>
          <cell r="AN242">
            <v>551.59380814503311</v>
          </cell>
        </row>
        <row r="243">
          <cell r="C243" t="str">
            <v>8310</v>
          </cell>
          <cell r="AN243">
            <v>89.374345082875152</v>
          </cell>
        </row>
        <row r="244">
          <cell r="C244" t="str">
            <v>8240</v>
          </cell>
          <cell r="AN244">
            <v>0</v>
          </cell>
        </row>
        <row r="245">
          <cell r="C245" t="str">
            <v>8340</v>
          </cell>
          <cell r="AN245">
            <v>70.252685261601073</v>
          </cell>
        </row>
        <row r="246">
          <cell r="C246" t="str">
            <v>8350</v>
          </cell>
          <cell r="AN246">
            <v>0</v>
          </cell>
        </row>
        <row r="247">
          <cell r="C247" t="str">
            <v>8160</v>
          </cell>
          <cell r="AN247">
            <v>272.02638796596966</v>
          </cell>
        </row>
        <row r="248">
          <cell r="C248" t="str">
            <v>8170</v>
          </cell>
          <cell r="AN248">
            <v>45.086959648940365</v>
          </cell>
        </row>
        <row r="249">
          <cell r="C249" t="str">
            <v>8180</v>
          </cell>
          <cell r="AN249">
            <v>716.73526087116988</v>
          </cell>
        </row>
        <row r="250">
          <cell r="C250" t="str">
            <v>8860</v>
          </cell>
          <cell r="AN250">
            <v>11.712612702245167</v>
          </cell>
        </row>
        <row r="251">
          <cell r="C251" t="str">
            <v>8870</v>
          </cell>
          <cell r="AN251">
            <v>39.89526211018449</v>
          </cell>
        </row>
        <row r="252">
          <cell r="C252" t="str">
            <v>8890</v>
          </cell>
          <cell r="AN252">
            <v>0</v>
          </cell>
        </row>
        <row r="253">
          <cell r="C253" t="str">
            <v>8900</v>
          </cell>
          <cell r="AN253">
            <v>373.73495296829242</v>
          </cell>
        </row>
        <row r="254">
          <cell r="C254" t="str">
            <v>8910</v>
          </cell>
          <cell r="AN254">
            <v>113.89973011014263</v>
          </cell>
        </row>
        <row r="255">
          <cell r="C255" t="str">
            <v>8920</v>
          </cell>
          <cell r="AN255">
            <v>4.3316656355013237</v>
          </cell>
        </row>
        <row r="256">
          <cell r="C256" t="str">
            <v>8930</v>
          </cell>
          <cell r="AN256">
            <v>0</v>
          </cell>
        </row>
        <row r="257">
          <cell r="C257" t="str">
            <v>8940</v>
          </cell>
          <cell r="AN257">
            <v>420.66714938392215</v>
          </cell>
        </row>
        <row r="258">
          <cell r="C258" t="str">
            <v>9020</v>
          </cell>
          <cell r="AN258">
            <v>75.059497235732579</v>
          </cell>
        </row>
        <row r="259">
          <cell r="C259" t="str">
            <v>9030</v>
          </cell>
          <cell r="AN259">
            <v>12.427035243661521</v>
          </cell>
        </row>
        <row r="260">
          <cell r="C260" t="str">
            <v>9110</v>
          </cell>
          <cell r="AN260">
            <v>1.9295369235396151</v>
          </cell>
        </row>
        <row r="261">
          <cell r="C261" t="str">
            <v>8711</v>
          </cell>
          <cell r="AN261">
            <v>102.55582415454001</v>
          </cell>
        </row>
        <row r="262">
          <cell r="C262" t="str">
            <v>8740</v>
          </cell>
          <cell r="AN262">
            <v>9755.6220276234963</v>
          </cell>
        </row>
        <row r="263">
          <cell r="C263" t="str">
            <v>8750</v>
          </cell>
          <cell r="AN263">
            <v>1877.3747113321078</v>
          </cell>
        </row>
        <row r="264">
          <cell r="C264" t="str">
            <v>8760</v>
          </cell>
          <cell r="AN264">
            <v>259.79690460503753</v>
          </cell>
        </row>
        <row r="265">
          <cell r="C265" t="str">
            <v>8770</v>
          </cell>
          <cell r="AN265">
            <v>738.01210955099668</v>
          </cell>
        </row>
        <row r="266">
          <cell r="C266" t="str">
            <v>8780</v>
          </cell>
          <cell r="AN266">
            <v>461.1005700711903</v>
          </cell>
        </row>
        <row r="267">
          <cell r="C267" t="str">
            <v>8790</v>
          </cell>
          <cell r="AN267">
            <v>170.53666276477179</v>
          </cell>
        </row>
        <row r="268">
          <cell r="C268" t="str">
            <v>8800</v>
          </cell>
          <cell r="AN268">
            <v>146.17391743406006</v>
          </cell>
        </row>
        <row r="269">
          <cell r="C269" t="str">
            <v>8810</v>
          </cell>
          <cell r="AN269">
            <v>0</v>
          </cell>
        </row>
        <row r="270">
          <cell r="C270" t="str">
            <v>8560</v>
          </cell>
          <cell r="AN270">
            <v>1393.8724389729832</v>
          </cell>
        </row>
        <row r="271">
          <cell r="C271" t="str">
            <v>8570</v>
          </cell>
          <cell r="AN271">
            <v>95.63980522559541</v>
          </cell>
        </row>
        <row r="272">
          <cell r="C272" t="str">
            <v>8650</v>
          </cell>
          <cell r="AN272">
            <v>16.80979188331662</v>
          </cell>
        </row>
        <row r="273">
          <cell r="C273" t="str">
            <v>8410</v>
          </cell>
          <cell r="AN273">
            <v>5.0588609279562462</v>
          </cell>
        </row>
        <row r="274">
          <cell r="C274" t="str">
            <v>8700</v>
          </cell>
          <cell r="AN274">
            <v>656.7220643587134</v>
          </cell>
        </row>
        <row r="275">
          <cell r="C275" t="str">
            <v>8780</v>
          </cell>
          <cell r="AN275">
            <v>1.1725385453283508</v>
          </cell>
        </row>
        <row r="276">
          <cell r="C276" t="str">
            <v>8740</v>
          </cell>
          <cell r="AN276">
            <v>0</v>
          </cell>
        </row>
        <row r="277">
          <cell r="C277" t="str">
            <v>8940</v>
          </cell>
          <cell r="AN277">
            <v>0</v>
          </cell>
        </row>
        <row r="278">
          <cell r="C278" t="str">
            <v>9020</v>
          </cell>
          <cell r="AN278">
            <v>4.1085682506966492</v>
          </cell>
        </row>
        <row r="279">
          <cell r="C279" t="str">
            <v>9030</v>
          </cell>
          <cell r="AN279">
            <v>397.32622413628451</v>
          </cell>
        </row>
        <row r="280">
          <cell r="C280" t="str">
            <v>9090</v>
          </cell>
          <cell r="AN280">
            <v>0</v>
          </cell>
        </row>
        <row r="281">
          <cell r="C281" t="str">
            <v>9110</v>
          </cell>
          <cell r="AN281">
            <v>10.503458937273194</v>
          </cell>
        </row>
        <row r="282">
          <cell r="C282" t="str">
            <v>8560</v>
          </cell>
          <cell r="AN282">
            <v>20.299307467017059</v>
          </cell>
        </row>
        <row r="283">
          <cell r="C283" t="str">
            <v>8700</v>
          </cell>
          <cell r="AN283">
            <v>2939.4528026466141</v>
          </cell>
        </row>
        <row r="284">
          <cell r="C284" t="str">
            <v>9010</v>
          </cell>
          <cell r="AN284">
            <v>14.685257627256874</v>
          </cell>
        </row>
        <row r="285">
          <cell r="C285" t="str">
            <v>8740</v>
          </cell>
          <cell r="AN285">
            <v>458.99221463311369</v>
          </cell>
        </row>
        <row r="286">
          <cell r="C286" t="str">
            <v>8750</v>
          </cell>
          <cell r="AN286">
            <v>15.642362438403609</v>
          </cell>
        </row>
        <row r="287">
          <cell r="C287" t="str">
            <v>8780</v>
          </cell>
          <cell r="AN287">
            <v>537.0396840951089</v>
          </cell>
        </row>
        <row r="288">
          <cell r="C288" t="str">
            <v>8800</v>
          </cell>
          <cell r="AN288">
            <v>0</v>
          </cell>
        </row>
        <row r="289">
          <cell r="C289" t="str">
            <v>8810</v>
          </cell>
          <cell r="AN289">
            <v>0</v>
          </cell>
        </row>
        <row r="292">
          <cell r="C292" t="str">
            <v>8140</v>
          </cell>
          <cell r="AN292">
            <v>0</v>
          </cell>
        </row>
        <row r="293">
          <cell r="C293" t="str">
            <v>8700</v>
          </cell>
          <cell r="AN293">
            <v>-4557.8599999999997</v>
          </cell>
        </row>
        <row r="294">
          <cell r="C294" t="str">
            <v>8700</v>
          </cell>
          <cell r="AN294">
            <v>-247.5</v>
          </cell>
        </row>
        <row r="295">
          <cell r="C295" t="str">
            <v>0000</v>
          </cell>
          <cell r="AN295">
            <v>0</v>
          </cell>
        </row>
        <row r="298">
          <cell r="C298" t="str">
            <v>8700</v>
          </cell>
          <cell r="AN298">
            <v>9426.1715385476418</v>
          </cell>
        </row>
        <row r="299">
          <cell r="C299" t="str">
            <v>8700</v>
          </cell>
          <cell r="AN299">
            <v>648.08375185240584</v>
          </cell>
        </row>
        <row r="300">
          <cell r="C300" t="str">
            <v>8700</v>
          </cell>
          <cell r="AN300">
            <v>6190.3575676793262</v>
          </cell>
        </row>
        <row r="301">
          <cell r="C301" t="str">
            <v>8700</v>
          </cell>
          <cell r="AN301">
            <v>11.122199068423953</v>
          </cell>
        </row>
        <row r="302">
          <cell r="C302" t="str">
            <v>8700</v>
          </cell>
          <cell r="AN302">
            <v>4749.6244558351391</v>
          </cell>
        </row>
        <row r="303">
          <cell r="C303" t="str">
            <v>9020</v>
          </cell>
          <cell r="AN303">
            <v>6332.0277273008833</v>
          </cell>
        </row>
        <row r="304">
          <cell r="C304" t="str">
            <v>9020</v>
          </cell>
          <cell r="AN304">
            <v>34.066595748039788</v>
          </cell>
        </row>
        <row r="305">
          <cell r="C305" t="str">
            <v>8700</v>
          </cell>
          <cell r="AN305">
            <v>10210.47394621883</v>
          </cell>
        </row>
        <row r="306">
          <cell r="C306" t="str">
            <v>8740</v>
          </cell>
          <cell r="AN306">
            <v>24.673180959482067</v>
          </cell>
        </row>
        <row r="307">
          <cell r="C307" t="str">
            <v>8750</v>
          </cell>
          <cell r="AN307">
            <v>0</v>
          </cell>
        </row>
        <row r="308">
          <cell r="C308" t="str">
            <v>8940</v>
          </cell>
          <cell r="AN308">
            <v>5.6212004191970948</v>
          </cell>
        </row>
        <row r="309">
          <cell r="C309" t="str">
            <v>8700</v>
          </cell>
          <cell r="AN309">
            <v>3947.5816810548131</v>
          </cell>
        </row>
        <row r="310">
          <cell r="C310" t="str">
            <v>8750</v>
          </cell>
          <cell r="AN310">
            <v>0</v>
          </cell>
        </row>
        <row r="311">
          <cell r="C311" t="str">
            <v>8780</v>
          </cell>
          <cell r="AN311">
            <v>22.481266330612755</v>
          </cell>
        </row>
        <row r="312">
          <cell r="C312" t="str">
            <v>8560</v>
          </cell>
          <cell r="AN312">
            <v>0</v>
          </cell>
        </row>
        <row r="313">
          <cell r="C313" t="str">
            <v>8700</v>
          </cell>
          <cell r="AN313">
            <v>742.74971639632895</v>
          </cell>
        </row>
        <row r="314">
          <cell r="C314" t="str">
            <v>8740</v>
          </cell>
          <cell r="AN314">
            <v>137.36764332585722</v>
          </cell>
        </row>
        <row r="315">
          <cell r="C315" t="str">
            <v>8940</v>
          </cell>
          <cell r="AN315">
            <v>-3.2348417506700216</v>
          </cell>
        </row>
        <row r="316">
          <cell r="C316" t="str">
            <v>8750</v>
          </cell>
          <cell r="AN316">
            <v>0</v>
          </cell>
        </row>
        <row r="317">
          <cell r="C317" t="str">
            <v>8780</v>
          </cell>
          <cell r="AN317">
            <v>-12.672448366422628</v>
          </cell>
        </row>
        <row r="318">
          <cell r="C318" t="str">
            <v>8700</v>
          </cell>
          <cell r="AN318">
            <v>-16173.287795671378</v>
          </cell>
        </row>
        <row r="319">
          <cell r="C319" t="str">
            <v>8740</v>
          </cell>
          <cell r="AN319">
            <v>-91.657384948492904</v>
          </cell>
        </row>
        <row r="320">
          <cell r="C320" t="str">
            <v>9020</v>
          </cell>
          <cell r="AN320">
            <v>0</v>
          </cell>
        </row>
        <row r="321">
          <cell r="C321" t="str">
            <v>9020</v>
          </cell>
          <cell r="AN321">
            <v>0</v>
          </cell>
        </row>
        <row r="324">
          <cell r="C324" t="str">
            <v>8740</v>
          </cell>
          <cell r="AN324">
            <v>227.90399413275691</v>
          </cell>
        </row>
        <row r="325">
          <cell r="C325" t="str">
            <v>9120</v>
          </cell>
          <cell r="AN325">
            <v>350.33276965247614</v>
          </cell>
        </row>
        <row r="326">
          <cell r="C326" t="str">
            <v>8740</v>
          </cell>
          <cell r="AN326">
            <v>852.3396369860393</v>
          </cell>
        </row>
        <row r="327">
          <cell r="C327" t="str">
            <v>9030</v>
          </cell>
          <cell r="AN327">
            <v>4.9516258895311367</v>
          </cell>
        </row>
        <row r="328">
          <cell r="C328" t="str">
            <v>8700</v>
          </cell>
          <cell r="AN328">
            <v>52.379681483051513</v>
          </cell>
        </row>
        <row r="329">
          <cell r="C329" t="str">
            <v>9250</v>
          </cell>
          <cell r="AN329">
            <v>14.009818807333502</v>
          </cell>
        </row>
        <row r="330">
          <cell r="C330" t="str">
            <v>9130</v>
          </cell>
          <cell r="AN330">
            <v>349.19787655367645</v>
          </cell>
        </row>
        <row r="331">
          <cell r="C331" t="str">
            <v>9250</v>
          </cell>
          <cell r="AN331">
            <v>82.721484976800639</v>
          </cell>
        </row>
        <row r="332">
          <cell r="C332" t="str">
            <v>8810</v>
          </cell>
          <cell r="AN332">
            <v>329.88374200149315</v>
          </cell>
        </row>
        <row r="333">
          <cell r="C333" t="str">
            <v>8740</v>
          </cell>
          <cell r="AN333">
            <v>577.1193305802617</v>
          </cell>
        </row>
        <row r="334">
          <cell r="C334" t="str">
            <v>8800</v>
          </cell>
          <cell r="AN334">
            <v>81.013907360453004</v>
          </cell>
        </row>
        <row r="335">
          <cell r="C335" t="str">
            <v>9110</v>
          </cell>
          <cell r="AN335">
            <v>41.086622155305605</v>
          </cell>
        </row>
        <row r="336">
          <cell r="C336" t="str">
            <v>9120</v>
          </cell>
          <cell r="AN336">
            <v>0</v>
          </cell>
        </row>
        <row r="337">
          <cell r="C337" t="str">
            <v>9130</v>
          </cell>
          <cell r="AN337">
            <v>1690.1107385622654</v>
          </cell>
        </row>
        <row r="338">
          <cell r="C338" t="str">
            <v>8700</v>
          </cell>
          <cell r="AN338">
            <v>565.64119637794192</v>
          </cell>
        </row>
        <row r="339">
          <cell r="C339" t="str">
            <v>9302</v>
          </cell>
          <cell r="AN339">
            <v>0</v>
          </cell>
        </row>
        <row r="340">
          <cell r="C340" t="str">
            <v>9130</v>
          </cell>
          <cell r="AN340">
            <v>110.34303701219631</v>
          </cell>
        </row>
        <row r="341">
          <cell r="C341" t="str">
            <v>9110</v>
          </cell>
          <cell r="AN341">
            <v>0</v>
          </cell>
        </row>
        <row r="342">
          <cell r="C342" t="str">
            <v>9120</v>
          </cell>
          <cell r="AN342">
            <v>5383.2798606754368</v>
          </cell>
        </row>
        <row r="343">
          <cell r="C343" t="str">
            <v>9130</v>
          </cell>
          <cell r="AN343">
            <v>4309.4370266338628</v>
          </cell>
        </row>
        <row r="344">
          <cell r="C344" t="str">
            <v>9110</v>
          </cell>
          <cell r="AN344">
            <v>-40.580285234302835</v>
          </cell>
        </row>
        <row r="345">
          <cell r="C345" t="str">
            <v>9120</v>
          </cell>
          <cell r="AN345">
            <v>12265.791916631351</v>
          </cell>
        </row>
        <row r="346">
          <cell r="C346" t="str">
            <v>9130</v>
          </cell>
          <cell r="AN346">
            <v>286.86605558884571</v>
          </cell>
        </row>
        <row r="347">
          <cell r="C347" t="str">
            <v>8700</v>
          </cell>
          <cell r="AN347">
            <v>438.18047945708486</v>
          </cell>
        </row>
        <row r="348">
          <cell r="C348" t="str">
            <v>9210</v>
          </cell>
          <cell r="AN348">
            <v>413.79948371610772</v>
          </cell>
        </row>
        <row r="349">
          <cell r="C349" t="str">
            <v>9260</v>
          </cell>
          <cell r="AN349">
            <v>0</v>
          </cell>
        </row>
        <row r="350">
          <cell r="C350" t="str">
            <v>9100</v>
          </cell>
          <cell r="AN350">
            <v>0</v>
          </cell>
        </row>
        <row r="352">
          <cell r="AN352">
            <v>0</v>
          </cell>
        </row>
        <row r="353">
          <cell r="C353" t="str">
            <v>8700</v>
          </cell>
        </row>
        <row r="356">
          <cell r="C356" t="str">
            <v>9090</v>
          </cell>
          <cell r="AN356">
            <v>0</v>
          </cell>
        </row>
        <row r="357">
          <cell r="C357" t="str">
            <v>9110</v>
          </cell>
          <cell r="AN357">
            <v>0</v>
          </cell>
        </row>
        <row r="358">
          <cell r="C358" t="str">
            <v>8700</v>
          </cell>
          <cell r="AN358">
            <v>-1533.9213090851749</v>
          </cell>
        </row>
        <row r="359">
          <cell r="C359" t="str">
            <v>8700</v>
          </cell>
          <cell r="AN359">
            <v>-92.962765848278281</v>
          </cell>
        </row>
        <row r="360">
          <cell r="C360" t="str">
            <v>9090</v>
          </cell>
          <cell r="AN360">
            <v>-59.454314305626923</v>
          </cell>
        </row>
        <row r="361">
          <cell r="C361" t="str">
            <v>9302</v>
          </cell>
          <cell r="AN361">
            <v>-470.87816930056511</v>
          </cell>
        </row>
        <row r="362">
          <cell r="C362" t="str">
            <v>9302</v>
          </cell>
          <cell r="AN362">
            <v>-23870.907193709216</v>
          </cell>
        </row>
        <row r="363">
          <cell r="C363" t="str">
            <v>9320</v>
          </cell>
          <cell r="AN363">
            <v>0</v>
          </cell>
        </row>
        <row r="364">
          <cell r="C364" t="str">
            <v>9110</v>
          </cell>
          <cell r="AN364">
            <v>-166.4720800557555</v>
          </cell>
        </row>
        <row r="365">
          <cell r="C365" t="str">
            <v>9120</v>
          </cell>
          <cell r="AN365">
            <v>-3344.1862710629048</v>
          </cell>
        </row>
        <row r="366">
          <cell r="C366" t="str">
            <v>8800</v>
          </cell>
          <cell r="AN366">
            <v>-83.236040027877749</v>
          </cell>
        </row>
        <row r="367">
          <cell r="C367" t="str">
            <v>9302</v>
          </cell>
          <cell r="AN367">
            <v>-118.90862861125385</v>
          </cell>
        </row>
        <row r="368">
          <cell r="C368" t="str">
            <v>8700</v>
          </cell>
          <cell r="AN368">
            <v>-35.468065742164825</v>
          </cell>
        </row>
        <row r="369">
          <cell r="C369" t="str">
            <v>9110</v>
          </cell>
          <cell r="AN369">
            <v>-26.545162251176322</v>
          </cell>
        </row>
        <row r="370">
          <cell r="C370" t="str">
            <v>9302</v>
          </cell>
          <cell r="AN370">
            <v>0</v>
          </cell>
        </row>
        <row r="371">
          <cell r="C371" t="str">
            <v>8740</v>
          </cell>
          <cell r="AN371">
            <v>0</v>
          </cell>
        </row>
        <row r="372">
          <cell r="C372" t="str">
            <v>8700</v>
          </cell>
          <cell r="AN372">
            <v>0</v>
          </cell>
        </row>
        <row r="375">
          <cell r="C375" t="str">
            <v>8700</v>
          </cell>
          <cell r="AN375">
            <v>-816.59104168797057</v>
          </cell>
        </row>
        <row r="376">
          <cell r="C376" t="str">
            <v>8740</v>
          </cell>
          <cell r="AN376">
            <v>-237.74695011759468</v>
          </cell>
        </row>
        <row r="377">
          <cell r="C377" t="str">
            <v>8780</v>
          </cell>
          <cell r="AN377">
            <v>0</v>
          </cell>
        </row>
        <row r="378">
          <cell r="C378" t="str">
            <v>8800</v>
          </cell>
          <cell r="AN378">
            <v>0</v>
          </cell>
        </row>
        <row r="379">
          <cell r="C379" t="str">
            <v>8560</v>
          </cell>
          <cell r="AN379">
            <v>-414.37833922080881</v>
          </cell>
        </row>
        <row r="380">
          <cell r="C380" t="str">
            <v>8750</v>
          </cell>
          <cell r="AN380">
            <v>-41.33319912989316</v>
          </cell>
        </row>
        <row r="381">
          <cell r="C381" t="str">
            <v>9020</v>
          </cell>
          <cell r="AN381">
            <v>-9.8174944688723116</v>
          </cell>
        </row>
        <row r="382">
          <cell r="C382" t="str">
            <v>9260</v>
          </cell>
          <cell r="AN382">
            <v>-3.7137982579271736</v>
          </cell>
        </row>
        <row r="383">
          <cell r="C383" t="str">
            <v>9110</v>
          </cell>
          <cell r="AN383">
            <v>-12.190198911436866</v>
          </cell>
        </row>
        <row r="384">
          <cell r="C384" t="str">
            <v>9120</v>
          </cell>
          <cell r="AN384">
            <v>-303.1215892928526</v>
          </cell>
        </row>
        <row r="385">
          <cell r="C385" t="str">
            <v>8850</v>
          </cell>
          <cell r="AN385">
            <v>-224.53496544207201</v>
          </cell>
        </row>
        <row r="386">
          <cell r="C386" t="str">
            <v>9030</v>
          </cell>
          <cell r="AN386">
            <v>-50.352423470573399</v>
          </cell>
        </row>
        <row r="387">
          <cell r="C387" t="str">
            <v>9210</v>
          </cell>
          <cell r="AN387">
            <v>0</v>
          </cell>
        </row>
        <row r="390">
          <cell r="C390" t="str">
            <v>9020</v>
          </cell>
          <cell r="AN390">
            <v>255.10924527919974</v>
          </cell>
        </row>
        <row r="391">
          <cell r="C391" t="str">
            <v>9030</v>
          </cell>
          <cell r="AN391">
            <v>987.85609150697655</v>
          </cell>
        </row>
        <row r="392">
          <cell r="C392" t="str">
            <v>9090</v>
          </cell>
          <cell r="AN392">
            <v>735.39722262167288</v>
          </cell>
        </row>
        <row r="393">
          <cell r="C393" t="str">
            <v>9110</v>
          </cell>
          <cell r="AN393">
            <v>1477.3878780039213</v>
          </cell>
        </row>
        <row r="394">
          <cell r="C394" t="str">
            <v>9210</v>
          </cell>
          <cell r="AN394">
            <v>47.484954266408863</v>
          </cell>
        </row>
        <row r="395">
          <cell r="C395" t="str">
            <v>8711</v>
          </cell>
          <cell r="AN395">
            <v>22.392429706010319</v>
          </cell>
        </row>
        <row r="396">
          <cell r="C396" t="str">
            <v>9260</v>
          </cell>
          <cell r="AN396">
            <v>486.36510301332873</v>
          </cell>
        </row>
        <row r="397">
          <cell r="C397" t="str">
            <v>8410</v>
          </cell>
          <cell r="AN397">
            <v>107.48366258884948</v>
          </cell>
        </row>
        <row r="398">
          <cell r="C398" t="str">
            <v>8560</v>
          </cell>
          <cell r="AN398">
            <v>0</v>
          </cell>
        </row>
        <row r="399">
          <cell r="C399" t="str">
            <v>8700</v>
          </cell>
          <cell r="AN399">
            <v>18430.407658903787</v>
          </cell>
        </row>
        <row r="400">
          <cell r="C400" t="str">
            <v>8740</v>
          </cell>
          <cell r="AN400">
            <v>1139.4017835822397</v>
          </cell>
        </row>
        <row r="401">
          <cell r="C401" t="str">
            <v>8750</v>
          </cell>
          <cell r="AN401">
            <v>814.5260647424866</v>
          </cell>
        </row>
        <row r="402">
          <cell r="C402" t="str">
            <v>8780</v>
          </cell>
          <cell r="AN402">
            <v>725.65622886228721</v>
          </cell>
        </row>
        <row r="403">
          <cell r="C403" t="str">
            <v>8800</v>
          </cell>
          <cell r="AN403">
            <v>10.180810909888898</v>
          </cell>
        </row>
        <row r="404">
          <cell r="C404" t="str">
            <v>8700</v>
          </cell>
          <cell r="AN404">
            <v>332.03135265357787</v>
          </cell>
        </row>
        <row r="405">
          <cell r="C405" t="str">
            <v>9110</v>
          </cell>
          <cell r="AN405">
            <v>5.2892792969107241</v>
          </cell>
        </row>
        <row r="406">
          <cell r="C406" t="str">
            <v>9030</v>
          </cell>
          <cell r="AN406">
            <v>85.668731923933592</v>
          </cell>
        </row>
        <row r="407">
          <cell r="C407" t="str">
            <v>8780</v>
          </cell>
          <cell r="AN407">
            <v>50.234767581288736</v>
          </cell>
        </row>
        <row r="408">
          <cell r="C408" t="str">
            <v>9090</v>
          </cell>
          <cell r="AN408">
            <v>19.883559699666577</v>
          </cell>
        </row>
        <row r="409">
          <cell r="C409" t="str">
            <v>8700</v>
          </cell>
          <cell r="AN409">
            <v>6062.5925824026563</v>
          </cell>
        </row>
        <row r="410">
          <cell r="C410" t="str">
            <v>8740</v>
          </cell>
          <cell r="AN410">
            <v>563.60846813242188</v>
          </cell>
        </row>
        <row r="411">
          <cell r="C411" t="str">
            <v>8780</v>
          </cell>
          <cell r="AN411">
            <v>298.26486898588132</v>
          </cell>
        </row>
        <row r="412">
          <cell r="C412" t="str">
            <v>8800</v>
          </cell>
          <cell r="AN412">
            <v>0</v>
          </cell>
        </row>
        <row r="413">
          <cell r="C413" t="str">
            <v>9020</v>
          </cell>
          <cell r="AN413">
            <v>328.67726881887779</v>
          </cell>
        </row>
        <row r="414">
          <cell r="C414" t="str">
            <v>9030</v>
          </cell>
          <cell r="AN414">
            <v>162.87767657037875</v>
          </cell>
        </row>
        <row r="415">
          <cell r="C415" t="str">
            <v>9090</v>
          </cell>
          <cell r="AN415">
            <v>2144.3916214740038</v>
          </cell>
        </row>
        <row r="416">
          <cell r="C416" t="str">
            <v>9110</v>
          </cell>
          <cell r="AN416">
            <v>6667.4406012643522</v>
          </cell>
        </row>
        <row r="417">
          <cell r="C417" t="str">
            <v>9210</v>
          </cell>
          <cell r="AN417">
            <v>48.303396616039322</v>
          </cell>
        </row>
        <row r="418">
          <cell r="C418" t="str">
            <v>9090</v>
          </cell>
          <cell r="AN418">
            <v>846.30380999051886</v>
          </cell>
        </row>
        <row r="419">
          <cell r="C419" t="str">
            <v>9110</v>
          </cell>
          <cell r="AN419">
            <v>3029.8009128896156</v>
          </cell>
        </row>
        <row r="420">
          <cell r="C420" t="str">
            <v>9210</v>
          </cell>
          <cell r="AN420">
            <v>41.323689662415291</v>
          </cell>
        </row>
        <row r="421">
          <cell r="C421" t="str">
            <v>9260</v>
          </cell>
          <cell r="AN421">
            <v>0</v>
          </cell>
        </row>
        <row r="422">
          <cell r="C422" t="str">
            <v>8410</v>
          </cell>
          <cell r="AN422">
            <v>69.808543027123221</v>
          </cell>
        </row>
        <row r="423">
          <cell r="C423" t="str">
            <v>8560</v>
          </cell>
          <cell r="AN423">
            <v>0</v>
          </cell>
        </row>
        <row r="424">
          <cell r="C424" t="str">
            <v>8700</v>
          </cell>
          <cell r="AN424">
            <v>14051.928488732039</v>
          </cell>
        </row>
        <row r="425">
          <cell r="C425" t="str">
            <v>8740</v>
          </cell>
          <cell r="AN425">
            <v>3412.9351939346088</v>
          </cell>
        </row>
        <row r="426">
          <cell r="C426" t="str">
            <v>8800</v>
          </cell>
          <cell r="AN426">
            <v>77.128630210266408</v>
          </cell>
        </row>
        <row r="427">
          <cell r="C427" t="str">
            <v>8750</v>
          </cell>
          <cell r="AN427">
            <v>543.33863423970524</v>
          </cell>
        </row>
        <row r="428">
          <cell r="C428" t="str">
            <v>8780</v>
          </cell>
          <cell r="AN428">
            <v>451.30211487589077</v>
          </cell>
        </row>
        <row r="429">
          <cell r="C429" t="str">
            <v>9020</v>
          </cell>
          <cell r="AN429">
            <v>1176.7365229144461</v>
          </cell>
        </row>
        <row r="430">
          <cell r="C430" t="str">
            <v>9030</v>
          </cell>
          <cell r="AN430">
            <v>139.61708605424644</v>
          </cell>
        </row>
        <row r="431">
          <cell r="C431" t="str">
            <v>9030</v>
          </cell>
          <cell r="AN431">
            <v>28.683727206674178</v>
          </cell>
        </row>
        <row r="432">
          <cell r="C432" t="str">
            <v>9260</v>
          </cell>
          <cell r="AN432">
            <v>113.4307553630332</v>
          </cell>
        </row>
        <row r="433">
          <cell r="C433" t="str">
            <v>8700</v>
          </cell>
          <cell r="AN433">
            <v>453.07668146574315</v>
          </cell>
        </row>
        <row r="434">
          <cell r="C434" t="str">
            <v>8740</v>
          </cell>
          <cell r="AN434">
            <v>251.65190002655481</v>
          </cell>
        </row>
        <row r="435">
          <cell r="C435" t="str">
            <v>8780</v>
          </cell>
          <cell r="AN435">
            <v>0</v>
          </cell>
        </row>
        <row r="436">
          <cell r="C436" t="str">
            <v>9090</v>
          </cell>
          <cell r="AN436">
            <v>0</v>
          </cell>
        </row>
        <row r="439">
          <cell r="C439" t="str">
            <v>8700</v>
          </cell>
          <cell r="AN439">
            <v>-257.9168642411405</v>
          </cell>
        </row>
        <row r="440">
          <cell r="C440" t="str">
            <v>8740</v>
          </cell>
          <cell r="AN440">
            <v>-238.87706080823682</v>
          </cell>
        </row>
        <row r="441">
          <cell r="C441" t="str">
            <v>9110</v>
          </cell>
          <cell r="AN441">
            <v>0</v>
          </cell>
        </row>
        <row r="442">
          <cell r="C442" t="str">
            <v>9250</v>
          </cell>
          <cell r="AN442">
            <v>-1.2102166261860567</v>
          </cell>
        </row>
        <row r="443">
          <cell r="C443" t="str">
            <v>9210</v>
          </cell>
          <cell r="AN443">
            <v>-1.7297185306438365</v>
          </cell>
        </row>
        <row r="444">
          <cell r="C444" t="str">
            <v>8700</v>
          </cell>
          <cell r="AN444">
            <v>-123.71533276429318</v>
          </cell>
        </row>
        <row r="445">
          <cell r="C445" t="str">
            <v>8740</v>
          </cell>
          <cell r="AN445">
            <v>-17.590357938750856</v>
          </cell>
        </row>
        <row r="446">
          <cell r="C446" t="str">
            <v>8800</v>
          </cell>
          <cell r="AN446">
            <v>-150.56760050306093</v>
          </cell>
        </row>
        <row r="447">
          <cell r="C447" t="str">
            <v>8740</v>
          </cell>
          <cell r="AN447">
            <v>-41.044168523752091</v>
          </cell>
        </row>
        <row r="448">
          <cell r="C448" t="str">
            <v>9250</v>
          </cell>
          <cell r="AN448">
            <v>-15.261394547660217</v>
          </cell>
        </row>
        <row r="449">
          <cell r="C449" t="str">
            <v>8700</v>
          </cell>
          <cell r="AN449">
            <v>-52.680776645500373</v>
          </cell>
        </row>
        <row r="450">
          <cell r="C450" t="str">
            <v>9260</v>
          </cell>
          <cell r="AN450">
            <v>0</v>
          </cell>
        </row>
        <row r="451">
          <cell r="C451" t="str">
            <v>8410</v>
          </cell>
          <cell r="AN451">
            <v>0</v>
          </cell>
        </row>
        <row r="452">
          <cell r="C452" t="str">
            <v>8700</v>
          </cell>
          <cell r="AN452">
            <v>-465.07381892369176</v>
          </cell>
        </row>
        <row r="453">
          <cell r="C453" t="str">
            <v>9090</v>
          </cell>
          <cell r="AN453">
            <v>-4.0926899470827038</v>
          </cell>
        </row>
        <row r="456">
          <cell r="C456" t="str">
            <v>9250</v>
          </cell>
          <cell r="AN456">
            <v>882.78625505999116</v>
          </cell>
        </row>
        <row r="457">
          <cell r="C457" t="str">
            <v>8160</v>
          </cell>
          <cell r="AN457">
            <v>6484.554716968094</v>
          </cell>
        </row>
        <row r="458">
          <cell r="C458" t="str">
            <v>8180</v>
          </cell>
          <cell r="AN458">
            <v>49.83612004275119</v>
          </cell>
        </row>
        <row r="459">
          <cell r="C459" t="str">
            <v>8210</v>
          </cell>
          <cell r="AN459">
            <v>0</v>
          </cell>
        </row>
        <row r="460">
          <cell r="C460" t="str">
            <v>8310</v>
          </cell>
          <cell r="AN460">
            <v>1013.9630045454869</v>
          </cell>
        </row>
        <row r="461">
          <cell r="C461" t="str">
            <v>8560</v>
          </cell>
          <cell r="AN461">
            <v>809.4934855430638</v>
          </cell>
        </row>
        <row r="462">
          <cell r="C462" t="str">
            <v>8700</v>
          </cell>
          <cell r="AN462">
            <v>2027.9260090909738</v>
          </cell>
        </row>
        <row r="463">
          <cell r="C463" t="str">
            <v>8740</v>
          </cell>
          <cell r="AN463">
            <v>42646.642836233717</v>
          </cell>
        </row>
        <row r="464">
          <cell r="C464" t="str">
            <v>8750</v>
          </cell>
          <cell r="AN464">
            <v>1018.273155468105</v>
          </cell>
        </row>
        <row r="465">
          <cell r="C465" t="str">
            <v>8760</v>
          </cell>
          <cell r="AN465">
            <v>0</v>
          </cell>
        </row>
        <row r="466">
          <cell r="C466" t="str">
            <v>8340</v>
          </cell>
          <cell r="AN466">
            <v>557.67426481136772</v>
          </cell>
        </row>
        <row r="467">
          <cell r="C467" t="str">
            <v>8630</v>
          </cell>
          <cell r="AN467">
            <v>188.56910286446464</v>
          </cell>
        </row>
        <row r="468">
          <cell r="C468" t="str">
            <v>8770</v>
          </cell>
          <cell r="AN468">
            <v>0</v>
          </cell>
        </row>
        <row r="469">
          <cell r="C469" t="str">
            <v>8810</v>
          </cell>
          <cell r="AN469">
            <v>539.9474222199442</v>
          </cell>
        </row>
        <row r="470">
          <cell r="C470" t="str">
            <v>8870</v>
          </cell>
          <cell r="AN470">
            <v>399.76649807266494</v>
          </cell>
        </row>
        <row r="471">
          <cell r="C471" t="str">
            <v>8910</v>
          </cell>
          <cell r="AN471">
            <v>0</v>
          </cell>
        </row>
        <row r="472">
          <cell r="C472" t="str">
            <v>8940</v>
          </cell>
          <cell r="AN472">
            <v>0</v>
          </cell>
        </row>
        <row r="473">
          <cell r="C473" t="str">
            <v>9020</v>
          </cell>
          <cell r="AN473">
            <v>55113.983356668963</v>
          </cell>
        </row>
        <row r="474">
          <cell r="C474" t="str">
            <v>9210</v>
          </cell>
          <cell r="AN474">
            <v>0</v>
          </cell>
        </row>
        <row r="475">
          <cell r="C475" t="str">
            <v>9230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N475">
            <v>0</v>
          </cell>
        </row>
        <row r="476">
          <cell r="C476" t="str">
            <v>9030</v>
          </cell>
          <cell r="AN476">
            <v>0</v>
          </cell>
        </row>
        <row r="477">
          <cell r="C477" t="str">
            <v>9030</v>
          </cell>
          <cell r="AN477">
            <v>97544.445185690187</v>
          </cell>
        </row>
        <row r="478">
          <cell r="C478" t="str">
            <v>8780</v>
          </cell>
          <cell r="AN478">
            <v>0</v>
          </cell>
        </row>
        <row r="479">
          <cell r="C479" t="str">
            <v>9280</v>
          </cell>
          <cell r="AN479">
            <v>0</v>
          </cell>
        </row>
        <row r="480">
          <cell r="C480" t="str">
            <v>9230</v>
          </cell>
          <cell r="F480">
            <v>7268.05</v>
          </cell>
          <cell r="G480">
            <v>5262.9</v>
          </cell>
          <cell r="H480">
            <v>0</v>
          </cell>
          <cell r="I480">
            <v>10119.08</v>
          </cell>
          <cell r="J480">
            <v>9741.08</v>
          </cell>
          <cell r="K480">
            <v>5019.95</v>
          </cell>
          <cell r="L480">
            <v>4524.4967419991381</v>
          </cell>
          <cell r="M480">
            <v>4436.1393290730448</v>
          </cell>
          <cell r="N480">
            <v>4625.2448831349311</v>
          </cell>
          <cell r="O480">
            <v>5045.9183349906152</v>
          </cell>
          <cell r="P480">
            <v>5349.0562074909139</v>
          </cell>
          <cell r="Q480">
            <v>3418.6418831471237</v>
          </cell>
          <cell r="T480">
            <v>4217.7850731271619</v>
          </cell>
          <cell r="U480">
            <v>5442.351102246299</v>
          </cell>
          <cell r="V480">
            <v>4813.2924053762554</v>
          </cell>
          <cell r="W480">
            <v>11892.230639486997</v>
          </cell>
          <cell r="X480">
            <v>10316.727211396368</v>
          </cell>
          <cell r="Y480">
            <v>5892.1792087130416</v>
          </cell>
          <cell r="Z480">
            <v>6037.2621747849598</v>
          </cell>
          <cell r="AA480">
            <v>5045.9183349906152</v>
          </cell>
          <cell r="AB480">
            <v>5349.0562074909139</v>
          </cell>
          <cell r="AC480">
            <v>3418.6418831471237</v>
          </cell>
          <cell r="AD480">
            <v>3879.5675678206553</v>
          </cell>
          <cell r="AE480">
            <v>3544.5241579758367</v>
          </cell>
          <cell r="AF480">
            <v>4217.7850731271619</v>
          </cell>
          <cell r="AN480">
            <v>5038.9785867204628</v>
          </cell>
        </row>
        <row r="483">
          <cell r="C483" t="str">
            <v>9040</v>
          </cell>
          <cell r="AO483">
            <v>-7798.9327663854347</v>
          </cell>
        </row>
        <row r="486">
          <cell r="C486" t="str">
            <v>8700</v>
          </cell>
          <cell r="AN486">
            <v>-512.14569944275013</v>
          </cell>
        </row>
        <row r="487">
          <cell r="C487" t="str">
            <v>9110</v>
          </cell>
          <cell r="AN487">
            <v>-194.09158041381502</v>
          </cell>
        </row>
        <row r="488">
          <cell r="C488" t="str">
            <v>8870</v>
          </cell>
          <cell r="AN488">
            <v>0</v>
          </cell>
        </row>
        <row r="489">
          <cell r="C489" t="str">
            <v>9090</v>
          </cell>
          <cell r="AN489">
            <v>-4748.987394832775</v>
          </cell>
        </row>
        <row r="490">
          <cell r="C490" t="str">
            <v>9270</v>
          </cell>
          <cell r="AN490">
            <v>-4901.9327241663614</v>
          </cell>
        </row>
        <row r="491">
          <cell r="C491" t="str">
            <v>9280</v>
          </cell>
          <cell r="AN491">
            <v>0</v>
          </cell>
        </row>
        <row r="492">
          <cell r="C492" t="str">
            <v>8140</v>
          </cell>
          <cell r="AN492">
            <v>0</v>
          </cell>
        </row>
        <row r="493">
          <cell r="C493" t="str">
            <v>8160</v>
          </cell>
          <cell r="AN493">
            <v>0</v>
          </cell>
        </row>
        <row r="494">
          <cell r="C494" t="str">
            <v>8800</v>
          </cell>
          <cell r="AN494">
            <v>-4364.8781202507125</v>
          </cell>
        </row>
        <row r="495">
          <cell r="C495" t="str">
            <v>8250</v>
          </cell>
          <cell r="AN495">
            <v>-3105.5816833709137</v>
          </cell>
        </row>
        <row r="496">
          <cell r="C496" t="str">
            <v>8700</v>
          </cell>
          <cell r="AN496">
            <v>-68243.356252371537</v>
          </cell>
        </row>
        <row r="497">
          <cell r="C497" t="str">
            <v>8740</v>
          </cell>
          <cell r="AN497">
            <v>643.32483655001818</v>
          </cell>
        </row>
        <row r="498">
          <cell r="C498" t="str">
            <v>8750</v>
          </cell>
          <cell r="AN498">
            <v>0</v>
          </cell>
        </row>
        <row r="499">
          <cell r="C499" t="str">
            <v>9210</v>
          </cell>
          <cell r="AN499">
            <v>1761.955801207871</v>
          </cell>
        </row>
        <row r="500">
          <cell r="C500" t="str">
            <v>8740</v>
          </cell>
          <cell r="AN500">
            <v>-320.09106215171892</v>
          </cell>
        </row>
        <row r="501">
          <cell r="C501" t="str">
            <v>8700</v>
          </cell>
          <cell r="AN501">
            <v>26130.953949817722</v>
          </cell>
        </row>
        <row r="502">
          <cell r="C502" t="str">
            <v>8940</v>
          </cell>
          <cell r="AN502">
            <v>-735.22007057502981</v>
          </cell>
        </row>
        <row r="503">
          <cell r="C503" t="str">
            <v>9302</v>
          </cell>
          <cell r="AN503">
            <v>0</v>
          </cell>
        </row>
        <row r="518">
          <cell r="D518">
            <v>7560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D519">
            <v>7590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D520">
            <v>8140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D521">
            <v>8150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D522">
            <v>8160</v>
          </cell>
          <cell r="F522">
            <v>20628.03</v>
          </cell>
          <cell r="G522">
            <v>30051.77</v>
          </cell>
          <cell r="H522">
            <v>6702.43</v>
          </cell>
          <cell r="I522">
            <v>9489.93</v>
          </cell>
          <cell r="J522">
            <v>2729.3599999999997</v>
          </cell>
          <cell r="K522">
            <v>1518.5900000000001</v>
          </cell>
          <cell r="L522">
            <v>9671.7813669524949</v>
          </cell>
          <cell r="M522">
            <v>9763.543576804359</v>
          </cell>
          <cell r="N522">
            <v>9609.3245665296035</v>
          </cell>
          <cell r="O522">
            <v>10150.145738203113</v>
          </cell>
          <cell r="P522">
            <v>10595.12605178217</v>
          </cell>
          <cell r="Q522">
            <v>8060.2733299157171</v>
          </cell>
          <cell r="R522">
            <v>8995.7523603822192</v>
          </cell>
          <cell r="S522">
            <v>8247.8388800086159</v>
          </cell>
          <cell r="T522">
            <v>9218.0301857700033</v>
          </cell>
          <cell r="U522">
            <v>10619.263995131569</v>
          </cell>
          <cell r="V522">
            <v>10126.764364035515</v>
          </cell>
          <cell r="W522">
            <v>19170.60221859975</v>
          </cell>
          <cell r="X522">
            <v>17292.069558200797</v>
          </cell>
          <cell r="Y522">
            <v>11608.462065569549</v>
          </cell>
          <cell r="Z522">
            <v>11284.75363990579</v>
          </cell>
          <cell r="AA522">
            <v>10248.217369480275</v>
          </cell>
          <cell r="AB522">
            <v>10693.197683059334</v>
          </cell>
          <cell r="AC522">
            <v>8154.4860953869538</v>
          </cell>
          <cell r="AD522">
            <v>9097.6828507670161</v>
          </cell>
          <cell r="AE522">
            <v>8338.1927822122252</v>
          </cell>
          <cell r="AF522">
            <v>9316.1018170471652</v>
          </cell>
        </row>
        <row r="523">
          <cell r="D523">
            <v>8170</v>
          </cell>
          <cell r="F523">
            <v>4629.92</v>
          </cell>
          <cell r="G523">
            <v>4715.18</v>
          </cell>
          <cell r="H523">
            <v>4104.7</v>
          </cell>
          <cell r="I523">
            <v>2532.96</v>
          </cell>
          <cell r="J523">
            <v>1936.4099999999999</v>
          </cell>
          <cell r="K523">
            <v>-163.76999999999998</v>
          </cell>
          <cell r="L523">
            <v>2841.9244989688564</v>
          </cell>
          <cell r="M523">
            <v>3046.2891028107178</v>
          </cell>
          <cell r="N523">
            <v>2793.998226998081</v>
          </cell>
          <cell r="O523">
            <v>2879.5723005346754</v>
          </cell>
          <cell r="P523">
            <v>2904.1146331025616</v>
          </cell>
          <cell r="Q523">
            <v>2791.1563465820577</v>
          </cell>
          <cell r="R523">
            <v>3032.1409318636829</v>
          </cell>
          <cell r="S523">
            <v>2728.8663605679239</v>
          </cell>
          <cell r="T523">
            <v>2908.6502956369086</v>
          </cell>
          <cell r="U523">
            <v>2788.8718455510989</v>
          </cell>
          <cell r="V523">
            <v>3016.8408050709786</v>
          </cell>
          <cell r="W523">
            <v>2843.2217839997697</v>
          </cell>
          <cell r="X523">
            <v>2937.477168084838</v>
          </cell>
          <cell r="Y523">
            <v>3030.0894073606737</v>
          </cell>
          <cell r="Z523">
            <v>2679.4428012167195</v>
          </cell>
          <cell r="AA523">
            <v>2959.5975207816364</v>
          </cell>
          <cell r="AB523">
            <v>2984.1398533495226</v>
          </cell>
          <cell r="AC523">
            <v>2868.0327807631475</v>
          </cell>
          <cell r="AD523">
            <v>3115.3149327107908</v>
          </cell>
          <cell r="AE523">
            <v>2802.5940107543643</v>
          </cell>
          <cell r="AF523">
            <v>2988.6755158838696</v>
          </cell>
        </row>
        <row r="524">
          <cell r="D524">
            <v>8180</v>
          </cell>
          <cell r="F524">
            <v>4238.1900000000005</v>
          </cell>
          <cell r="G524">
            <v>2653.3999999999996</v>
          </cell>
          <cell r="H524">
            <v>292.36000000000013</v>
          </cell>
          <cell r="I524">
            <v>2998.1400000000003</v>
          </cell>
          <cell r="J524">
            <v>3432.8</v>
          </cell>
          <cell r="K524">
            <v>3947.33</v>
          </cell>
          <cell r="L524">
            <v>3291.2704196566906</v>
          </cell>
          <cell r="M524">
            <v>3256.7103922503102</v>
          </cell>
          <cell r="N524">
            <v>2812.7271368951911</v>
          </cell>
          <cell r="O524">
            <v>2494.9729850621493</v>
          </cell>
          <cell r="P524">
            <v>2647.7180185446978</v>
          </cell>
          <cell r="Q524">
            <v>2772.2428559808468</v>
          </cell>
          <cell r="R524">
            <v>3114.5357773744231</v>
          </cell>
          <cell r="S524">
            <v>3128.9767533316935</v>
          </cell>
          <cell r="T524">
            <v>2838.6868532474941</v>
          </cell>
          <cell r="U524">
            <v>2666.777493674882</v>
          </cell>
          <cell r="V524">
            <v>2937.9803436802376</v>
          </cell>
          <cell r="W524">
            <v>3401.3304382354941</v>
          </cell>
          <cell r="X524">
            <v>3490.384389416985</v>
          </cell>
          <cell r="Y524">
            <v>3193.4353025998512</v>
          </cell>
          <cell r="Z524">
            <v>2696.9965177997879</v>
          </cell>
          <cell r="AA524">
            <v>2536.9436137917978</v>
          </cell>
          <cell r="AB524">
            <v>2689.6886472743463</v>
          </cell>
          <cell r="AC524">
            <v>2812.5620486942998</v>
          </cell>
          <cell r="AD524">
            <v>3158.1578392536721</v>
          </cell>
          <cell r="AE524">
            <v>3167.6445111152407</v>
          </cell>
          <cell r="AF524">
            <v>2880.6574819771427</v>
          </cell>
        </row>
        <row r="525">
          <cell r="D525">
            <v>8190</v>
          </cell>
          <cell r="F525">
            <v>104.25</v>
          </cell>
          <cell r="G525">
            <v>111.93</v>
          </cell>
          <cell r="H525">
            <v>109.46</v>
          </cell>
          <cell r="I525">
            <v>0</v>
          </cell>
          <cell r="J525">
            <v>214.73</v>
          </cell>
          <cell r="K525">
            <v>67.94</v>
          </cell>
          <cell r="L525">
            <v>89.868705637670388</v>
          </cell>
          <cell r="M525">
            <v>90.182494955090178</v>
          </cell>
          <cell r="N525">
            <v>85.589863025237335</v>
          </cell>
          <cell r="O525">
            <v>81.086603650364225</v>
          </cell>
          <cell r="P525">
            <v>89.470308005517069</v>
          </cell>
          <cell r="Q525">
            <v>78.107518484372804</v>
          </cell>
          <cell r="R525">
            <v>87.391281576156359</v>
          </cell>
          <cell r="S525">
            <v>87.445831170300494</v>
          </cell>
          <cell r="T525">
            <v>84.934693890658792</v>
          </cell>
          <cell r="U525">
            <v>81.217074952527966</v>
          </cell>
          <cell r="V525">
            <v>85.388368189764918</v>
          </cell>
          <cell r="W525">
            <v>87.955662277127772</v>
          </cell>
          <cell r="X525">
            <v>80.292008737978492</v>
          </cell>
          <cell r="Y525">
            <v>84.196523654923723</v>
          </cell>
          <cell r="Z525">
            <v>75.974152929312567</v>
          </cell>
          <cell r="AA525">
            <v>81.086603650364225</v>
          </cell>
          <cell r="AB525">
            <v>89.470308005517069</v>
          </cell>
          <cell r="AC525">
            <v>78.107518484372804</v>
          </cell>
          <cell r="AD525">
            <v>87.391281576156359</v>
          </cell>
          <cell r="AE525">
            <v>87.445831170300494</v>
          </cell>
          <cell r="AF525">
            <v>84.934693890658792</v>
          </cell>
        </row>
        <row r="526">
          <cell r="D526">
            <v>8200</v>
          </cell>
          <cell r="F526">
            <v>700.76</v>
          </cell>
          <cell r="G526">
            <v>-61.53</v>
          </cell>
          <cell r="H526">
            <v>540.61</v>
          </cell>
          <cell r="I526">
            <v>138.97</v>
          </cell>
          <cell r="J526">
            <v>506.53999999999996</v>
          </cell>
          <cell r="K526">
            <v>93.31</v>
          </cell>
          <cell r="L526">
            <v>293.96227574740681</v>
          </cell>
          <cell r="M526">
            <v>306.87743118776086</v>
          </cell>
          <cell r="N526">
            <v>286.46426553959498</v>
          </cell>
          <cell r="O526">
            <v>286.07699892722206</v>
          </cell>
          <cell r="P526">
            <v>299.58235542102443</v>
          </cell>
          <cell r="Q526">
            <v>275.1612545921534</v>
          </cell>
          <cell r="R526">
            <v>302.34994872392804</v>
          </cell>
          <cell r="S526">
            <v>284.08767975052513</v>
          </cell>
          <cell r="T526">
            <v>292.27590913611533</v>
          </cell>
          <cell r="U526">
            <v>280.17045659415783</v>
          </cell>
          <cell r="V526">
            <v>299.12344428585106</v>
          </cell>
          <cell r="W526">
            <v>291.02568481167043</v>
          </cell>
          <cell r="X526">
            <v>284.79698151423503</v>
          </cell>
          <cell r="Y526">
            <v>297.20349522200712</v>
          </cell>
          <cell r="Z526">
            <v>265.60751621342882</v>
          </cell>
          <cell r="AA526">
            <v>290.74062292003742</v>
          </cell>
          <cell r="AB526">
            <v>304.24597941383979</v>
          </cell>
          <cell r="AC526">
            <v>279.6413770063449</v>
          </cell>
          <cell r="AD526">
            <v>307.19707397684164</v>
          </cell>
          <cell r="AE526">
            <v>288.38430070679726</v>
          </cell>
          <cell r="AF526">
            <v>296.93953312893069</v>
          </cell>
        </row>
        <row r="527">
          <cell r="D527">
            <v>8210</v>
          </cell>
          <cell r="F527">
            <v>6912.9599999999991</v>
          </cell>
          <cell r="G527">
            <v>1672.1</v>
          </cell>
          <cell r="H527">
            <v>1079.71</v>
          </cell>
          <cell r="I527">
            <v>1727.2300000000002</v>
          </cell>
          <cell r="J527">
            <v>1413.66</v>
          </cell>
          <cell r="K527">
            <v>156.72999999999999</v>
          </cell>
          <cell r="L527">
            <v>2443.8229845776609</v>
          </cell>
          <cell r="M527">
            <v>2399.2353896893528</v>
          </cell>
          <cell r="N527">
            <v>2067.4297806043596</v>
          </cell>
          <cell r="O527">
            <v>1800.5113810344171</v>
          </cell>
          <cell r="P527">
            <v>1931.3253916695476</v>
          </cell>
          <cell r="Q527">
            <v>2030.09638683244</v>
          </cell>
          <cell r="R527">
            <v>2289.0788097423806</v>
          </cell>
          <cell r="S527">
            <v>2330.8309041707603</v>
          </cell>
          <cell r="T527">
            <v>2079.1639496327434</v>
          </cell>
          <cell r="U527">
            <v>1941.561896504182</v>
          </cell>
          <cell r="V527">
            <v>2141.9852236477609</v>
          </cell>
          <cell r="W527">
            <v>2468.9067461862041</v>
          </cell>
          <cell r="X527">
            <v>2525.5941432727368</v>
          </cell>
          <cell r="Y527">
            <v>2328.243392161588</v>
          </cell>
          <cell r="Z527">
            <v>1957.885998387638</v>
          </cell>
          <cell r="AA527">
            <v>1825.6482910060251</v>
          </cell>
          <cell r="AB527">
            <v>1956.4623016411556</v>
          </cell>
          <cell r="AC527">
            <v>2054.2442242140146</v>
          </cell>
          <cell r="AD527">
            <v>2315.2047905871705</v>
          </cell>
          <cell r="AE527">
            <v>2353.9896696128976</v>
          </cell>
          <cell r="AF527">
            <v>2104.3008596043514</v>
          </cell>
        </row>
        <row r="528">
          <cell r="D528">
            <v>8240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</row>
        <row r="529">
          <cell r="D529">
            <v>8250</v>
          </cell>
          <cell r="F529">
            <v>1749.6399999999999</v>
          </cell>
          <cell r="G529">
            <v>1281.54</v>
          </cell>
          <cell r="H529">
            <v>1435.34</v>
          </cell>
          <cell r="I529">
            <v>609.9</v>
          </cell>
          <cell r="J529">
            <v>379.66</v>
          </cell>
          <cell r="K529">
            <v>206.07</v>
          </cell>
          <cell r="L529">
            <v>1881.4284385514072</v>
          </cell>
          <cell r="M529">
            <v>1884.073928397155</v>
          </cell>
          <cell r="N529">
            <v>1845.3544422285761</v>
          </cell>
          <cell r="O529">
            <v>735.13148750329526</v>
          </cell>
          <cell r="P529">
            <v>802.2083264115987</v>
          </cell>
          <cell r="Q529">
            <v>687.8857628995014</v>
          </cell>
          <cell r="R529">
            <v>756.48169835492956</v>
          </cell>
          <cell r="S529">
            <v>756.1995203381266</v>
          </cell>
          <cell r="T529">
            <v>741.73383245139541</v>
          </cell>
          <cell r="U529">
            <v>700.71792890717393</v>
          </cell>
          <cell r="V529">
            <v>1241.0254657261651</v>
          </cell>
          <cell r="W529">
            <v>867.38293213052884</v>
          </cell>
          <cell r="X529">
            <v>710.46364165398404</v>
          </cell>
          <cell r="Y529">
            <v>722.65669983275018</v>
          </cell>
          <cell r="Z529">
            <v>666.18945025071991</v>
          </cell>
          <cell r="AA529">
            <v>735.13148750329526</v>
          </cell>
          <cell r="AB529">
            <v>802.2083264115987</v>
          </cell>
          <cell r="AC529">
            <v>687.8857628995014</v>
          </cell>
          <cell r="AD529">
            <v>756.48169835492956</v>
          </cell>
          <cell r="AE529">
            <v>756.1995203381266</v>
          </cell>
          <cell r="AF529">
            <v>741.73383245139541</v>
          </cell>
        </row>
        <row r="530">
          <cell r="D530">
            <v>8310</v>
          </cell>
          <cell r="F530">
            <v>420.89</v>
          </cell>
          <cell r="G530">
            <v>965.79</v>
          </cell>
          <cell r="H530">
            <v>435.61</v>
          </cell>
          <cell r="I530">
            <v>1452.3</v>
          </cell>
          <cell r="J530">
            <v>2170</v>
          </cell>
          <cell r="K530">
            <v>3133</v>
          </cell>
          <cell r="L530">
            <v>1141.8190282576998</v>
          </cell>
          <cell r="M530">
            <v>1105.8915144422879</v>
          </cell>
          <cell r="N530">
            <v>1103.2609469001286</v>
          </cell>
          <cell r="O530">
            <v>1140.3643301151235</v>
          </cell>
          <cell r="P530">
            <v>1219.4740544896608</v>
          </cell>
          <cell r="Q530">
            <v>856.56271797912723</v>
          </cell>
          <cell r="R530">
            <v>977.07563188328413</v>
          </cell>
          <cell r="S530">
            <v>932.45996981539861</v>
          </cell>
          <cell r="T530">
            <v>1017.3474635292315</v>
          </cell>
          <cell r="U530">
            <v>1247.9261220533554</v>
          </cell>
          <cell r="V530">
            <v>1141.9302477823685</v>
          </cell>
          <cell r="W530">
            <v>2628.9863448396209</v>
          </cell>
          <cell r="X530">
            <v>2318.6543547708143</v>
          </cell>
          <cell r="Y530">
            <v>1389.6317151716323</v>
          </cell>
          <cell r="Z530">
            <v>1377.886989382775</v>
          </cell>
          <cell r="AA530">
            <v>1140.3643301151235</v>
          </cell>
          <cell r="AB530">
            <v>1219.4740544896608</v>
          </cell>
          <cell r="AC530">
            <v>856.56271797912723</v>
          </cell>
          <cell r="AD530">
            <v>977.07563188328413</v>
          </cell>
          <cell r="AE530">
            <v>932.45996981539861</v>
          </cell>
          <cell r="AF530">
            <v>1017.3474635292315</v>
          </cell>
        </row>
        <row r="531">
          <cell r="D531">
            <v>8320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D532">
            <v>8340</v>
          </cell>
          <cell r="F532">
            <v>157.15</v>
          </cell>
          <cell r="G532">
            <v>6645.0599999999995</v>
          </cell>
          <cell r="H532">
            <v>-629.18999999999994</v>
          </cell>
          <cell r="I532">
            <v>0</v>
          </cell>
          <cell r="J532">
            <v>15.61</v>
          </cell>
          <cell r="K532">
            <v>0</v>
          </cell>
          <cell r="L532">
            <v>877.0227389493507</v>
          </cell>
          <cell r="M532">
            <v>869.14968495628125</v>
          </cell>
          <cell r="N532">
            <v>841.14001527598737</v>
          </cell>
          <cell r="O532">
            <v>859.27148675933927</v>
          </cell>
          <cell r="P532">
            <v>907.05664057036142</v>
          </cell>
          <cell r="Q532">
            <v>705.51423786264218</v>
          </cell>
          <cell r="R532">
            <v>794.29058125770166</v>
          </cell>
          <cell r="S532">
            <v>751.22328978880682</v>
          </cell>
          <cell r="T532">
            <v>801.91037856584103</v>
          </cell>
          <cell r="U532">
            <v>917.01930843296554</v>
          </cell>
          <cell r="V532">
            <v>879.52265082879023</v>
          </cell>
          <cell r="W532">
            <v>1696.2325649230725</v>
          </cell>
          <cell r="X532">
            <v>1535.1030482455217</v>
          </cell>
          <cell r="Y532">
            <v>1022.9812871082836</v>
          </cell>
          <cell r="Z532">
            <v>982.94573231269987</v>
          </cell>
          <cell r="AA532">
            <v>865.34856047912183</v>
          </cell>
          <cell r="AB532">
            <v>913.1337142901441</v>
          </cell>
          <cell r="AC532">
            <v>711.3521944017275</v>
          </cell>
          <cell r="AD532">
            <v>800.60677174311718</v>
          </cell>
          <cell r="AE532">
            <v>756.82212930448259</v>
          </cell>
          <cell r="AF532">
            <v>807.9874522856237</v>
          </cell>
        </row>
        <row r="533">
          <cell r="D533">
            <v>8350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D534">
            <v>8360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D535">
            <v>8370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</row>
        <row r="536">
          <cell r="D536">
            <v>8400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</row>
        <row r="537">
          <cell r="D537">
            <v>8410</v>
          </cell>
          <cell r="F537">
            <v>17878.14</v>
          </cell>
          <cell r="G537">
            <v>2111.9299999999998</v>
          </cell>
          <cell r="H537">
            <v>9048.65</v>
          </cell>
          <cell r="I537">
            <v>11668.31</v>
          </cell>
          <cell r="J537">
            <v>11356.6</v>
          </cell>
          <cell r="K537">
            <v>13294.600000000002</v>
          </cell>
          <cell r="L537">
            <v>10403.282875946818</v>
          </cell>
          <cell r="M537">
            <v>11260.389005650039</v>
          </cell>
          <cell r="N537">
            <v>10370.123186662684</v>
          </cell>
          <cell r="O537">
            <v>10846.749111590068</v>
          </cell>
          <cell r="P537">
            <v>10844.468475280901</v>
          </cell>
          <cell r="Q537">
            <v>10423.831808760155</v>
          </cell>
          <cell r="R537">
            <v>11257.568293333758</v>
          </cell>
          <cell r="S537">
            <v>10007.566597602117</v>
          </cell>
          <cell r="T537">
            <v>10878.0942688785</v>
          </cell>
          <cell r="U537">
            <v>10408.832603967065</v>
          </cell>
          <cell r="V537">
            <v>11255.366442274086</v>
          </cell>
          <cell r="W537">
            <v>10451.743604379424</v>
          </cell>
          <cell r="X537">
            <v>10821.042494978063</v>
          </cell>
          <cell r="Y537">
            <v>11280.582775455803</v>
          </cell>
          <cell r="Z537">
            <v>10013.564685405005</v>
          </cell>
          <cell r="AA537">
            <v>11168.851555828754</v>
          </cell>
          <cell r="AB537">
            <v>11166.570919519587</v>
          </cell>
          <cell r="AC537">
            <v>10733.260352382613</v>
          </cell>
          <cell r="AD537">
            <v>11592.34461618907</v>
          </cell>
          <cell r="AE537">
            <v>10304.321248945038</v>
          </cell>
          <cell r="AF537">
            <v>11200.196713117186</v>
          </cell>
        </row>
        <row r="538">
          <cell r="D538">
            <v>8470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D539">
            <v>8500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</row>
        <row r="540">
          <cell r="D540">
            <v>8520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</row>
        <row r="541">
          <cell r="D541">
            <v>8550</v>
          </cell>
          <cell r="F541">
            <v>31.3</v>
          </cell>
          <cell r="G541">
            <v>30.74</v>
          </cell>
          <cell r="H541">
            <v>30.4</v>
          </cell>
          <cell r="I541">
            <v>29.65</v>
          </cell>
          <cell r="J541">
            <v>29.54</v>
          </cell>
          <cell r="K541">
            <v>28.29</v>
          </cell>
          <cell r="L541">
            <v>26.580489418766184</v>
          </cell>
          <cell r="M541">
            <v>26.673298963225697</v>
          </cell>
          <cell r="N541">
            <v>25.314935075045124</v>
          </cell>
          <cell r="O541">
            <v>23.983004929679819</v>
          </cell>
          <cell r="P541">
            <v>26.462655252013988</v>
          </cell>
          <cell r="Q541">
            <v>23.101880169170904</v>
          </cell>
          <cell r="R541">
            <v>25.847741087902634</v>
          </cell>
          <cell r="S541">
            <v>25.863875234930322</v>
          </cell>
          <cell r="T541">
            <v>25.121155537155939</v>
          </cell>
          <cell r="U541">
            <v>24.021594459171855</v>
          </cell>
          <cell r="V541">
            <v>25.255338897441277</v>
          </cell>
          <cell r="W541">
            <v>26.014668108202773</v>
          </cell>
          <cell r="X541">
            <v>23.747987394810362</v>
          </cell>
          <cell r="Y541">
            <v>24.902826742933499</v>
          </cell>
          <cell r="Z541">
            <v>22.470894108336076</v>
          </cell>
          <cell r="AA541">
            <v>23.983004929679819</v>
          </cell>
          <cell r="AB541">
            <v>26.462655252013988</v>
          </cell>
          <cell r="AC541">
            <v>23.101880169170904</v>
          </cell>
          <cell r="AD541">
            <v>25.847741087902634</v>
          </cell>
          <cell r="AE541">
            <v>25.863875234930322</v>
          </cell>
          <cell r="AF541">
            <v>25.121155537155939</v>
          </cell>
        </row>
        <row r="542">
          <cell r="D542">
            <v>8560</v>
          </cell>
          <cell r="F542">
            <v>9552.4699999999993</v>
          </cell>
          <cell r="G542">
            <v>31996.649999999998</v>
          </cell>
          <cell r="H542">
            <v>28224.39</v>
          </cell>
          <cell r="I542">
            <v>15085.859999999999</v>
          </cell>
          <cell r="J542">
            <v>22350.340000000004</v>
          </cell>
          <cell r="K542">
            <v>21291.459999999995</v>
          </cell>
          <cell r="L542">
            <v>21247.150268761423</v>
          </cell>
          <cell r="M542">
            <v>22066.68254673035</v>
          </cell>
          <cell r="N542">
            <v>20182.413363912099</v>
          </cell>
          <cell r="O542">
            <v>20148.169003777126</v>
          </cell>
          <cell r="P542">
            <v>20531.333496188487</v>
          </cell>
          <cell r="Q542">
            <v>19962.592915658344</v>
          </cell>
          <cell r="R542">
            <v>21841.522486507569</v>
          </cell>
          <cell r="S542">
            <v>20303.112498451468</v>
          </cell>
          <cell r="T542">
            <v>20874.630932794425</v>
          </cell>
          <cell r="U542">
            <v>20653.354607600446</v>
          </cell>
          <cell r="V542">
            <v>21413.127017825293</v>
          </cell>
          <cell r="W542">
            <v>22604.660465328059</v>
          </cell>
          <cell r="X542">
            <v>22903.908437080365</v>
          </cell>
          <cell r="Y542">
            <v>22070.79105335334</v>
          </cell>
          <cell r="Z542">
            <v>19869.170183180868</v>
          </cell>
          <cell r="AA542">
            <v>20589.612092110081</v>
          </cell>
          <cell r="AB542">
            <v>20972.776584521442</v>
          </cell>
          <cell r="AC542">
            <v>20386.666356758484</v>
          </cell>
          <cell r="AD542">
            <v>22300.335191922761</v>
          </cell>
          <cell r="AE542">
            <v>20709.816303744279</v>
          </cell>
          <cell r="AF542">
            <v>21316.074021127384</v>
          </cell>
        </row>
        <row r="543">
          <cell r="D543">
            <v>8570</v>
          </cell>
          <cell r="F543">
            <v>842.09999999999991</v>
          </cell>
          <cell r="G543">
            <v>707.12000000000012</v>
          </cell>
          <cell r="H543">
            <v>867.7</v>
          </cell>
          <cell r="I543">
            <v>931.88</v>
          </cell>
          <cell r="J543">
            <v>1815.24</v>
          </cell>
          <cell r="K543">
            <v>915.41</v>
          </cell>
          <cell r="L543">
            <v>998.19260327522102</v>
          </cell>
          <cell r="M543">
            <v>1002.1792306301695</v>
          </cell>
          <cell r="N543">
            <v>910.86134278845486</v>
          </cell>
          <cell r="O543">
            <v>847.44734725161572</v>
          </cell>
          <cell r="P543">
            <v>912.51574919325446</v>
          </cell>
          <cell r="Q543">
            <v>867.22331951837737</v>
          </cell>
          <cell r="R543">
            <v>968.91443359104323</v>
          </cell>
          <cell r="S543">
            <v>961.53047676247786</v>
          </cell>
          <cell r="T543">
            <v>915.0993013676632</v>
          </cell>
          <cell r="U543">
            <v>867.2022732961758</v>
          </cell>
          <cell r="V543">
            <v>933.35155146746149</v>
          </cell>
          <cell r="W543">
            <v>992.94683307658886</v>
          </cell>
          <cell r="X543">
            <v>969.04395793438266</v>
          </cell>
          <cell r="Y543">
            <v>959.60557116369114</v>
          </cell>
          <cell r="Z543">
            <v>838.90476526594784</v>
          </cell>
          <cell r="AA543">
            <v>855.60110059731494</v>
          </cell>
          <cell r="AB543">
            <v>920.66950253895368</v>
          </cell>
          <cell r="AC543">
            <v>875.056243694969</v>
          </cell>
          <cell r="AD543">
            <v>977.38901554894846</v>
          </cell>
          <cell r="AE543">
            <v>969.04257198099822</v>
          </cell>
          <cell r="AF543">
            <v>923.25305471336242</v>
          </cell>
        </row>
        <row r="544">
          <cell r="D544">
            <v>8580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5">
          <cell r="D545">
            <v>8590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</row>
        <row r="546">
          <cell r="D546">
            <v>8600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</row>
        <row r="547">
          <cell r="D547">
            <v>8620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8">
          <cell r="D548">
            <v>8630</v>
          </cell>
          <cell r="F548">
            <v>-676.01</v>
          </cell>
          <cell r="G548">
            <v>0</v>
          </cell>
          <cell r="H548">
            <v>0</v>
          </cell>
          <cell r="I548">
            <v>2122.2600000000002</v>
          </cell>
          <cell r="J548">
            <v>-144.44999999999999</v>
          </cell>
          <cell r="K548">
            <v>338.01</v>
          </cell>
          <cell r="L548">
            <v>207.42909892612136</v>
          </cell>
          <cell r="M548">
            <v>207.29278130389798</v>
          </cell>
          <cell r="N548">
            <v>211.04469944402467</v>
          </cell>
          <cell r="O548">
            <v>228.54145244337008</v>
          </cell>
          <cell r="P548">
            <v>239.88550475037277</v>
          </cell>
          <cell r="Q548">
            <v>166.08277860624648</v>
          </cell>
          <cell r="R548">
            <v>186.45675840768723</v>
          </cell>
          <cell r="S548">
            <v>169.23096690545202</v>
          </cell>
          <cell r="T548">
            <v>197.55097618825101</v>
          </cell>
          <cell r="U548">
            <v>241.81420419907505</v>
          </cell>
          <cell r="V548">
            <v>221.39869195829604</v>
          </cell>
          <cell r="W548">
            <v>483.18216736657087</v>
          </cell>
          <cell r="X548">
            <v>425.78612893657964</v>
          </cell>
          <cell r="Y548">
            <v>261.77288944619136</v>
          </cell>
          <cell r="Z548">
            <v>262.51433452678117</v>
          </cell>
          <cell r="AA548">
            <v>229.73283193450925</v>
          </cell>
          <cell r="AB548">
            <v>241.07688424151195</v>
          </cell>
          <cell r="AC548">
            <v>167.2272803864679</v>
          </cell>
          <cell r="AD548">
            <v>187.69501552837283</v>
          </cell>
          <cell r="AE548">
            <v>170.32859100559119</v>
          </cell>
          <cell r="AF548">
            <v>198.74235567939019</v>
          </cell>
        </row>
        <row r="549">
          <cell r="D549">
            <v>8640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</row>
        <row r="550">
          <cell r="D550">
            <v>8650</v>
          </cell>
          <cell r="F550">
            <v>0</v>
          </cell>
          <cell r="G550">
            <v>0</v>
          </cell>
          <cell r="H550">
            <v>0</v>
          </cell>
          <cell r="I550">
            <v>186.24</v>
          </cell>
          <cell r="J550">
            <v>11.17</v>
          </cell>
          <cell r="K550">
            <v>0</v>
          </cell>
          <cell r="L550">
            <v>43.519026936793232</v>
          </cell>
          <cell r="M550">
            <v>40.105718120576341</v>
          </cell>
          <cell r="N550">
            <v>32.453914808819547</v>
          </cell>
          <cell r="O550">
            <v>23.511288983437701</v>
          </cell>
          <cell r="P550">
            <v>26.917684880612466</v>
          </cell>
          <cell r="Q550">
            <v>31.720231740225405</v>
          </cell>
          <cell r="R550">
            <v>36.942099977341407</v>
          </cell>
          <cell r="S550">
            <v>41.230971820009188</v>
          </cell>
          <cell r="T550">
            <v>31.716098298982853</v>
          </cell>
          <cell r="U550">
            <v>28.738121753177911</v>
          </cell>
          <cell r="V550">
            <v>32.609956343663079</v>
          </cell>
          <cell r="W550">
            <v>44.384781984157271</v>
          </cell>
          <cell r="X550">
            <v>45.644369772014741</v>
          </cell>
          <cell r="Y550">
            <v>38.365979670778195</v>
          </cell>
          <cell r="Z550">
            <v>30.666072129381096</v>
          </cell>
          <cell r="AA550">
            <v>23.511288983437701</v>
          </cell>
          <cell r="AB550">
            <v>26.917684880612466</v>
          </cell>
          <cell r="AC550">
            <v>31.720231740225405</v>
          </cell>
          <cell r="AD550">
            <v>36.942099977341407</v>
          </cell>
          <cell r="AE550">
            <v>41.230971820009188</v>
          </cell>
          <cell r="AF550">
            <v>31.716098298982853</v>
          </cell>
        </row>
        <row r="551">
          <cell r="D551">
            <v>8670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2">
          <cell r="D552">
            <v>8700</v>
          </cell>
          <cell r="F552">
            <v>121488.33999999998</v>
          </cell>
          <cell r="G552">
            <v>66727.049999999945</v>
          </cell>
          <cell r="H552">
            <v>96506.540000000154</v>
          </cell>
          <cell r="I552">
            <v>95572.249999999884</v>
          </cell>
          <cell r="J552">
            <v>111125.72000000012</v>
          </cell>
          <cell r="K552">
            <v>97859.120000000024</v>
          </cell>
          <cell r="L552">
            <v>104735.19801871628</v>
          </cell>
          <cell r="M552">
            <v>107296.46560177414</v>
          </cell>
          <cell r="N552">
            <v>107652.1522767323</v>
          </cell>
          <cell r="O552">
            <v>95061.739576489505</v>
          </cell>
          <cell r="P552">
            <v>98127.209004246615</v>
          </cell>
          <cell r="Q552">
            <v>95293.191333889205</v>
          </cell>
          <cell r="R552">
            <v>101275.62750858958</v>
          </cell>
          <cell r="S552">
            <v>95515.118510791362</v>
          </cell>
          <cell r="T552">
            <v>104749.32474809531</v>
          </cell>
          <cell r="U552">
            <v>92564.239702975581</v>
          </cell>
          <cell r="V552">
            <v>105005.49629126437</v>
          </cell>
          <cell r="W552">
            <v>109524.27804384471</v>
          </cell>
          <cell r="X552">
            <v>95967.222744122206</v>
          </cell>
          <cell r="Y552">
            <v>108635.74899062631</v>
          </cell>
          <cell r="Z552">
            <v>98817.066771913436</v>
          </cell>
          <cell r="AA552">
            <v>96312.105542517893</v>
          </cell>
          <cell r="AB552">
            <v>99377.574970275004</v>
          </cell>
          <cell r="AC552">
            <v>96494.358623313849</v>
          </cell>
          <cell r="AD552">
            <v>102575.1920658216</v>
          </cell>
          <cell r="AE552">
            <v>96667.087155974412</v>
          </cell>
          <cell r="AF552">
            <v>105999.6907141237</v>
          </cell>
        </row>
        <row r="553">
          <cell r="D553">
            <v>8710</v>
          </cell>
          <cell r="F553">
            <v>50.39</v>
          </cell>
          <cell r="G553">
            <v>48.27</v>
          </cell>
          <cell r="H553">
            <v>58.99</v>
          </cell>
          <cell r="I553">
            <v>27.05</v>
          </cell>
          <cell r="J553">
            <v>61.11</v>
          </cell>
          <cell r="K553">
            <v>351.99</v>
          </cell>
          <cell r="L553">
            <v>88.316010307572398</v>
          </cell>
          <cell r="M553">
            <v>88.624378169277023</v>
          </cell>
          <cell r="N553">
            <v>84.111094863617041</v>
          </cell>
          <cell r="O553">
            <v>79.685639989787674</v>
          </cell>
          <cell r="P553">
            <v>87.92449594071789</v>
          </cell>
          <cell r="Q553">
            <v>76.758025595433352</v>
          </cell>
          <cell r="R553">
            <v>85.881389630659157</v>
          </cell>
          <cell r="S553">
            <v>85.934996751007944</v>
          </cell>
          <cell r="T553">
            <v>83.467245331879852</v>
          </cell>
          <cell r="U553">
            <v>79.813857090334238</v>
          </cell>
          <cell r="V553">
            <v>83.913081329982191</v>
          </cell>
          <cell r="W553">
            <v>86.43601931460438</v>
          </cell>
          <cell r="X553">
            <v>78.90477359169428</v>
          </cell>
          <cell r="Y553">
            <v>82.741828740138104</v>
          </cell>
          <cell r="Z553">
            <v>74.661518997128198</v>
          </cell>
          <cell r="AA553">
            <v>79.685639989787674</v>
          </cell>
          <cell r="AB553">
            <v>87.92449594071789</v>
          </cell>
          <cell r="AC553">
            <v>76.758025595433352</v>
          </cell>
          <cell r="AD553">
            <v>85.881389630659157</v>
          </cell>
          <cell r="AE553">
            <v>85.934996751007944</v>
          </cell>
          <cell r="AF553">
            <v>83.467245331879852</v>
          </cell>
        </row>
        <row r="554">
          <cell r="D554">
            <v>8711</v>
          </cell>
          <cell r="F554">
            <v>58.55</v>
          </cell>
          <cell r="G554">
            <v>0</v>
          </cell>
          <cell r="H554">
            <v>0</v>
          </cell>
          <cell r="I554">
            <v>1204.3900000000001</v>
          </cell>
          <cell r="J554">
            <v>0</v>
          </cell>
          <cell r="K554">
            <v>0</v>
          </cell>
          <cell r="L554">
            <v>276.36034238577923</v>
          </cell>
          <cell r="M554">
            <v>255.6665938338756</v>
          </cell>
          <cell r="N554">
            <v>210.36434959407541</v>
          </cell>
          <cell r="O554">
            <v>156.44108561843723</v>
          </cell>
          <cell r="P554">
            <v>176.80583371340151</v>
          </cell>
          <cell r="Q554">
            <v>206.1541359559603</v>
          </cell>
          <cell r="R554">
            <v>236.40078718237248</v>
          </cell>
          <cell r="S554">
            <v>264.60005451153529</v>
          </cell>
          <cell r="T554">
            <v>210.14537831235214</v>
          </cell>
          <cell r="U554">
            <v>186.17932559345147</v>
          </cell>
          <cell r="V554">
            <v>209.85713071180845</v>
          </cell>
          <cell r="W554">
            <v>286.46395991172483</v>
          </cell>
          <cell r="X554">
            <v>287.38597506263824</v>
          </cell>
          <cell r="Y554">
            <v>247.94047850253054</v>
          </cell>
          <cell r="Z554">
            <v>201.30644988586727</v>
          </cell>
          <cell r="AA554">
            <v>156.44108561843723</v>
          </cell>
          <cell r="AB554">
            <v>176.80583371340151</v>
          </cell>
          <cell r="AC554">
            <v>206.1541359559603</v>
          </cell>
          <cell r="AD554">
            <v>236.40078718237248</v>
          </cell>
          <cell r="AE554">
            <v>264.60005451153529</v>
          </cell>
          <cell r="AF554">
            <v>210.14537831235214</v>
          </cell>
        </row>
        <row r="555">
          <cell r="D555">
            <v>8720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6">
          <cell r="D556">
            <v>8740</v>
          </cell>
          <cell r="F556">
            <v>226559.29999999996</v>
          </cell>
          <cell r="G556">
            <v>356356.32</v>
          </cell>
          <cell r="H556">
            <v>331226.79000000004</v>
          </cell>
          <cell r="I556">
            <v>247651.68999999994</v>
          </cell>
          <cell r="J556">
            <v>308325.73000000004</v>
          </cell>
          <cell r="K556">
            <v>220157.03999999995</v>
          </cell>
          <cell r="L556">
            <v>279762.74116838002</v>
          </cell>
          <cell r="M556">
            <v>281764.12184214161</v>
          </cell>
          <cell r="N556">
            <v>266054.96652069502</v>
          </cell>
          <cell r="O556">
            <v>262780.30932467576</v>
          </cell>
          <cell r="P556">
            <v>266350.10271621699</v>
          </cell>
          <cell r="Q556">
            <v>252970.41187216531</v>
          </cell>
          <cell r="R556">
            <v>277652.8423498731</v>
          </cell>
          <cell r="S556">
            <v>263674.39035999833</v>
          </cell>
          <cell r="T556">
            <v>274219.66839221574</v>
          </cell>
          <cell r="U556">
            <v>299026.52429536812</v>
          </cell>
          <cell r="V556">
            <v>275411.76586721541</v>
          </cell>
          <cell r="W556">
            <v>348782.02886857465</v>
          </cell>
          <cell r="X556">
            <v>337788.23338219244</v>
          </cell>
          <cell r="Y556">
            <v>293111.72832007066</v>
          </cell>
          <cell r="Z556">
            <v>273823.14865677146</v>
          </cell>
          <cell r="AA556">
            <v>266054.36622594431</v>
          </cell>
          <cell r="AB556">
            <v>269624.15961748554</v>
          </cell>
          <cell r="AC556">
            <v>256115.64307676267</v>
          </cell>
          <cell r="AD556">
            <v>281055.72472419479</v>
          </cell>
          <cell r="AE556">
            <v>266690.79595266399</v>
          </cell>
          <cell r="AF556">
            <v>277493.72529348428</v>
          </cell>
        </row>
        <row r="557">
          <cell r="D557">
            <v>8750</v>
          </cell>
          <cell r="F557">
            <v>61861.509999999987</v>
          </cell>
          <cell r="G557">
            <v>19205.090000000004</v>
          </cell>
          <cell r="H557">
            <v>28782.089999999993</v>
          </cell>
          <cell r="I557">
            <v>39929.379999999997</v>
          </cell>
          <cell r="J557">
            <v>50494.560000000005</v>
          </cell>
          <cell r="K557">
            <v>41510.879999999997</v>
          </cell>
          <cell r="L557">
            <v>39810.193376284944</v>
          </cell>
          <cell r="M557">
            <v>42027.515002192951</v>
          </cell>
          <cell r="N557">
            <v>38315.264453817057</v>
          </cell>
          <cell r="O557">
            <v>38733.070435436384</v>
          </cell>
          <cell r="P557">
            <v>39245.287831893154</v>
          </cell>
          <cell r="Q557">
            <v>38140.22107850157</v>
          </cell>
          <cell r="R557">
            <v>41493.271017342842</v>
          </cell>
          <cell r="S557">
            <v>38151.269627872498</v>
          </cell>
          <cell r="T557">
            <v>39880.367788904892</v>
          </cell>
          <cell r="U557">
            <v>38048.37456580306</v>
          </cell>
          <cell r="V557">
            <v>41086.182378423568</v>
          </cell>
          <cell r="W557">
            <v>41734.841687845401</v>
          </cell>
          <cell r="X557">
            <v>42468.422696594884</v>
          </cell>
          <cell r="Y557">
            <v>42241.535897357644</v>
          </cell>
          <cell r="Z557">
            <v>37309.934939569073</v>
          </cell>
          <cell r="AA557">
            <v>39739.799022285952</v>
          </cell>
          <cell r="AB557">
            <v>40252.016418742722</v>
          </cell>
          <cell r="AC557">
            <v>39107.337491381426</v>
          </cell>
          <cell r="AD557">
            <v>42539.611709402525</v>
          </cell>
          <cell r="AE557">
            <v>39078.773892838937</v>
          </cell>
          <cell r="AF557">
            <v>40887.09637575446</v>
          </cell>
        </row>
        <row r="558">
          <cell r="D558">
            <v>8760</v>
          </cell>
          <cell r="F558">
            <v>2603.9899999999998</v>
          </cell>
          <cell r="G558">
            <v>3727.6899999999996</v>
          </cell>
          <cell r="H558">
            <v>2853.23</v>
          </cell>
          <cell r="I558">
            <v>3280.3199999999997</v>
          </cell>
          <cell r="J558">
            <v>2718.58</v>
          </cell>
          <cell r="K558">
            <v>-32.42999999999995</v>
          </cell>
          <cell r="L558">
            <v>2780.7421664390017</v>
          </cell>
          <cell r="M558">
            <v>2795.0846524446424</v>
          </cell>
          <cell r="N558">
            <v>2438.2127046999103</v>
          </cell>
          <cell r="O558">
            <v>2231.9904090595969</v>
          </cell>
          <cell r="P558">
            <v>2334.2091868756506</v>
          </cell>
          <cell r="Q558">
            <v>2422.2999497006622</v>
          </cell>
          <cell r="R558">
            <v>2700.1495456201578</v>
          </cell>
          <cell r="S558">
            <v>2653.1965013075296</v>
          </cell>
          <cell r="T558">
            <v>2484.1151606908534</v>
          </cell>
          <cell r="U558">
            <v>2344.4290131340676</v>
          </cell>
          <cell r="V558">
            <v>2566.8499992115276</v>
          </cell>
          <cell r="W558">
            <v>2809.96212235741</v>
          </cell>
          <cell r="X558">
            <v>2906.4802553995387</v>
          </cell>
          <cell r="Y558">
            <v>2741.9660523122848</v>
          </cell>
          <cell r="Z558">
            <v>2333.1225935684279</v>
          </cell>
          <cell r="AA558">
            <v>2276.6718844308989</v>
          </cell>
          <cell r="AB558">
            <v>2378.8906622469526</v>
          </cell>
          <cell r="AC558">
            <v>2465.2233242305356</v>
          </cell>
          <cell r="AD558">
            <v>2746.5891187811435</v>
          </cell>
          <cell r="AE558">
            <v>2694.3617761524251</v>
          </cell>
          <cell r="AF558">
            <v>2528.7966360621554</v>
          </cell>
        </row>
        <row r="559">
          <cell r="D559">
            <v>8770</v>
          </cell>
          <cell r="F559">
            <v>487.4</v>
          </cell>
          <cell r="G559">
            <v>1110.8999999999999</v>
          </cell>
          <cell r="H559">
            <v>1390.97</v>
          </cell>
          <cell r="I559">
            <v>96.56</v>
          </cell>
          <cell r="J559">
            <v>511.49</v>
          </cell>
          <cell r="K559">
            <v>7618.79</v>
          </cell>
          <cell r="L559">
            <v>2287.2348816894828</v>
          </cell>
          <cell r="M559">
            <v>2138.6928972598553</v>
          </cell>
          <cell r="N559">
            <v>1783.5052985593493</v>
          </cell>
          <cell r="O559">
            <v>1372.0203210213158</v>
          </cell>
          <cell r="P559">
            <v>1556.7050343499886</v>
          </cell>
          <cell r="Q559">
            <v>1719.9396598412845</v>
          </cell>
          <cell r="R559">
            <v>1988.1019639340118</v>
          </cell>
          <cell r="S559">
            <v>2176.6279055323794</v>
          </cell>
          <cell r="T559">
            <v>1748.3669817906268</v>
          </cell>
          <cell r="U559">
            <v>1602.0443650874861</v>
          </cell>
          <cell r="V559">
            <v>1789.5117499068542</v>
          </cell>
          <cell r="W559">
            <v>2317.2282613183643</v>
          </cell>
          <cell r="X559">
            <v>2340.414831662697</v>
          </cell>
          <cell r="Y559">
            <v>2037.2281480856509</v>
          </cell>
          <cell r="Z559">
            <v>1664.7184320584579</v>
          </cell>
          <cell r="AA559">
            <v>1372.0203210213158</v>
          </cell>
          <cell r="AB559">
            <v>1556.7050343499886</v>
          </cell>
          <cell r="AC559">
            <v>1719.9396598412845</v>
          </cell>
          <cell r="AD559">
            <v>1988.1019639340118</v>
          </cell>
          <cell r="AE559">
            <v>2176.6279055323794</v>
          </cell>
          <cell r="AF559">
            <v>1748.3669817906268</v>
          </cell>
        </row>
        <row r="560">
          <cell r="D560">
            <v>8780</v>
          </cell>
          <cell r="F560">
            <v>98617.510000000009</v>
          </cell>
          <cell r="G560">
            <v>50225.2</v>
          </cell>
          <cell r="H560">
            <v>78582.41</v>
          </cell>
          <cell r="I560">
            <v>75636.770000000033</v>
          </cell>
          <cell r="J560">
            <v>88113.15</v>
          </cell>
          <cell r="K560">
            <v>80622.140000000029</v>
          </cell>
          <cell r="L560">
            <v>75744.406098728577</v>
          </cell>
          <cell r="M560">
            <v>81468.056934878812</v>
          </cell>
          <cell r="N560">
            <v>74854.243908264369</v>
          </cell>
          <cell r="O560">
            <v>77590.817194578252</v>
          </cell>
          <cell r="P560">
            <v>77859.903296925695</v>
          </cell>
          <cell r="Q560">
            <v>75101.526312815549</v>
          </cell>
          <cell r="R560">
            <v>81258.836760019563</v>
          </cell>
          <cell r="S560">
            <v>72888.702054341833</v>
          </cell>
          <cell r="T560">
            <v>78397.490297332202</v>
          </cell>
          <cell r="U560">
            <v>74919.278746305732</v>
          </cell>
          <cell r="V560">
            <v>80950.512710890936</v>
          </cell>
          <cell r="W560">
            <v>76193.481119244854</v>
          </cell>
          <cell r="X560">
            <v>78630.460781770918</v>
          </cell>
          <cell r="Y560">
            <v>81482.019330508236</v>
          </cell>
          <cell r="Z560">
            <v>72230.549298875339</v>
          </cell>
          <cell r="AA560">
            <v>79815.946401293448</v>
          </cell>
          <cell r="AB560">
            <v>80085.03250364089</v>
          </cell>
          <cell r="AC560">
            <v>77239.102422903889</v>
          </cell>
          <cell r="AD560">
            <v>83571.518911385268</v>
          </cell>
          <cell r="AE560">
            <v>74938.725125394354</v>
          </cell>
          <cell r="AF560">
            <v>80622.619504047398</v>
          </cell>
        </row>
        <row r="561">
          <cell r="D561">
            <v>8790</v>
          </cell>
          <cell r="F561">
            <v>26.67</v>
          </cell>
          <cell r="G561">
            <v>1976.07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441.50395627067161</v>
          </cell>
          <cell r="M561">
            <v>406.8756694635685</v>
          </cell>
          <cell r="N561">
            <v>329.24752213269471</v>
          </cell>
          <cell r="O561">
            <v>238.52387872291183</v>
          </cell>
          <cell r="P561">
            <v>273.08203342180138</v>
          </cell>
          <cell r="Q561">
            <v>321.80424960953866</v>
          </cell>
          <cell r="R561">
            <v>374.78051420201984</v>
          </cell>
          <cell r="S561">
            <v>418.29145688063022</v>
          </cell>
          <cell r="T561">
            <v>321.76231552254154</v>
          </cell>
          <cell r="U561">
            <v>291.55050888992213</v>
          </cell>
          <cell r="V561">
            <v>330.83057579508539</v>
          </cell>
          <cell r="W561">
            <v>450.28710942176758</v>
          </cell>
          <cell r="X561">
            <v>463.06572674740289</v>
          </cell>
          <cell r="Y561">
            <v>389.22588585104268</v>
          </cell>
          <cell r="Z561">
            <v>311.10971732129428</v>
          </cell>
          <cell r="AA561">
            <v>238.52387872291183</v>
          </cell>
          <cell r="AB561">
            <v>273.08203342180138</v>
          </cell>
          <cell r="AC561">
            <v>321.80424960953866</v>
          </cell>
          <cell r="AD561">
            <v>374.78051420201984</v>
          </cell>
          <cell r="AE561">
            <v>418.29145688063022</v>
          </cell>
          <cell r="AF561">
            <v>321.76231552254154</v>
          </cell>
        </row>
        <row r="562">
          <cell r="D562">
            <v>8800</v>
          </cell>
          <cell r="F562">
            <v>4409.17</v>
          </cell>
          <cell r="G562">
            <v>9769.42</v>
          </cell>
          <cell r="H562">
            <v>25806.98</v>
          </cell>
          <cell r="I562">
            <v>9218.4900000000016</v>
          </cell>
          <cell r="J562">
            <v>12897.250000000002</v>
          </cell>
          <cell r="K562">
            <v>11839.650000000001</v>
          </cell>
          <cell r="L562">
            <v>13061.427189464473</v>
          </cell>
          <cell r="M562">
            <v>13993.884983223104</v>
          </cell>
          <cell r="N562">
            <v>13045.636866866871</v>
          </cell>
          <cell r="O562">
            <v>11952.56806403772</v>
          </cell>
          <cell r="P562">
            <v>11929.016492667402</v>
          </cell>
          <cell r="Q562">
            <v>11560.000851689232</v>
          </cell>
          <cell r="R562">
            <v>12677.358751665197</v>
          </cell>
          <cell r="S562">
            <v>11218.090595049323</v>
          </cell>
          <cell r="T562">
            <v>11984.533587597432</v>
          </cell>
          <cell r="U562">
            <v>11687.811420858941</v>
          </cell>
          <cell r="V562">
            <v>13199.969850333884</v>
          </cell>
          <cell r="W562">
            <v>11752.344023557342</v>
          </cell>
          <cell r="X562">
            <v>12051.520860491939</v>
          </cell>
          <cell r="Y562">
            <v>12662.21455957141</v>
          </cell>
          <cell r="Z562">
            <v>11084.453243367938</v>
          </cell>
          <cell r="AA562">
            <v>12295.521114935536</v>
          </cell>
          <cell r="AB562">
            <v>12271.969543565219</v>
          </cell>
          <cell r="AC562">
            <v>11889.459584363591</v>
          </cell>
          <cell r="AD562">
            <v>13033.806097362778</v>
          </cell>
          <cell r="AE562">
            <v>11534.05501837657</v>
          </cell>
          <cell r="AF562">
            <v>12327.486638495249</v>
          </cell>
        </row>
        <row r="563">
          <cell r="D563">
            <v>8810</v>
          </cell>
          <cell r="F563">
            <v>37763.360000000001</v>
          </cell>
          <cell r="G563">
            <v>31576.730000000003</v>
          </cell>
          <cell r="H563">
            <v>33008.11</v>
          </cell>
          <cell r="I563">
            <v>30693.93</v>
          </cell>
          <cell r="J563">
            <v>34123.140000000007</v>
          </cell>
          <cell r="K563">
            <v>40750.900000000016</v>
          </cell>
          <cell r="L563">
            <v>30538.428681850899</v>
          </cell>
          <cell r="M563">
            <v>30675.955996488472</v>
          </cell>
          <cell r="N563">
            <v>29217.328746881281</v>
          </cell>
          <cell r="O563">
            <v>27789.006020814322</v>
          </cell>
          <cell r="P563">
            <v>30543.896720364472</v>
          </cell>
          <cell r="Q563">
            <v>26576.724497062107</v>
          </cell>
          <cell r="R563">
            <v>29748.230200997299</v>
          </cell>
          <cell r="S563">
            <v>29745.806912429158</v>
          </cell>
          <cell r="T563">
            <v>29014.743836906771</v>
          </cell>
          <cell r="U563">
            <v>27811.64790188862</v>
          </cell>
          <cell r="V563">
            <v>29145.80693203372</v>
          </cell>
          <cell r="W563">
            <v>30784.271308276373</v>
          </cell>
          <cell r="X563">
            <v>27983.21129111452</v>
          </cell>
          <cell r="Y563">
            <v>28877.015274327965</v>
          </cell>
          <cell r="Z563">
            <v>26234.181582090252</v>
          </cell>
          <cell r="AA563">
            <v>27789.006020814322</v>
          </cell>
          <cell r="AB563">
            <v>30543.896720364472</v>
          </cell>
          <cell r="AC563">
            <v>26576.724497062107</v>
          </cell>
          <cell r="AD563">
            <v>29748.230200997299</v>
          </cell>
          <cell r="AE563">
            <v>29745.806912429158</v>
          </cell>
          <cell r="AF563">
            <v>29014.743836906771</v>
          </cell>
        </row>
        <row r="564">
          <cell r="D564">
            <v>8850</v>
          </cell>
          <cell r="F564">
            <v>312.39</v>
          </cell>
          <cell r="G564">
            <v>168.3</v>
          </cell>
          <cell r="H564">
            <v>21.29</v>
          </cell>
          <cell r="I564">
            <v>0</v>
          </cell>
          <cell r="J564">
            <v>238.17</v>
          </cell>
          <cell r="K564">
            <v>174</v>
          </cell>
          <cell r="L564">
            <v>106.75549975365566</v>
          </cell>
          <cell r="M564">
            <v>104.83921197698308</v>
          </cell>
          <cell r="N564">
            <v>95.920613211493588</v>
          </cell>
          <cell r="O564">
            <v>135.19495243927381</v>
          </cell>
          <cell r="P564">
            <v>133.36789314000725</v>
          </cell>
          <cell r="Q564">
            <v>132.83889573824285</v>
          </cell>
          <cell r="R564">
            <v>134.24849323250257</v>
          </cell>
          <cell r="S564">
            <v>105.72299880081432</v>
          </cell>
          <cell r="T564">
            <v>104.31233906277598</v>
          </cell>
          <cell r="U564">
            <v>104.7882242756082</v>
          </cell>
          <cell r="V564">
            <v>99.105220059866326</v>
          </cell>
          <cell r="W564">
            <v>103.24797079657534</v>
          </cell>
          <cell r="X564">
            <v>93.796125654206918</v>
          </cell>
          <cell r="Y564">
            <v>98.559226757643657</v>
          </cell>
          <cell r="Z564">
            <v>153.34976086006714</v>
          </cell>
          <cell r="AA564">
            <v>135.19495243927381</v>
          </cell>
          <cell r="AB564">
            <v>133.36789314000725</v>
          </cell>
          <cell r="AC564">
            <v>132.83889573824285</v>
          </cell>
          <cell r="AD564">
            <v>134.24849323250257</v>
          </cell>
          <cell r="AE564">
            <v>105.72299880081432</v>
          </cell>
          <cell r="AF564">
            <v>104.31233906277598</v>
          </cell>
        </row>
        <row r="565">
          <cell r="D565">
            <v>8860</v>
          </cell>
          <cell r="F565">
            <v>0</v>
          </cell>
          <cell r="G565">
            <v>13.02</v>
          </cell>
          <cell r="H565">
            <v>47.55</v>
          </cell>
          <cell r="I565">
            <v>22.37</v>
          </cell>
          <cell r="J565">
            <v>0</v>
          </cell>
          <cell r="K565">
            <v>67.63</v>
          </cell>
          <cell r="L565">
            <v>32.246402524915204</v>
          </cell>
          <cell r="M565">
            <v>29.874816582401404</v>
          </cell>
          <cell r="N565">
            <v>24.444946326572367</v>
          </cell>
          <cell r="O565">
            <v>18.117578411274408</v>
          </cell>
          <cell r="P565">
            <v>20.670504950599391</v>
          </cell>
          <cell r="Q565">
            <v>23.773586802020912</v>
          </cell>
          <cell r="R565">
            <v>27.610750298747782</v>
          </cell>
          <cell r="S565">
            <v>30.600288868728018</v>
          </cell>
          <cell r="T565">
            <v>23.916832593997441</v>
          </cell>
          <cell r="U565">
            <v>21.762288025067189</v>
          </cell>
          <cell r="V565">
            <v>24.549359181245222</v>
          </cell>
          <cell r="W565">
            <v>32.80869151137356</v>
          </cell>
          <cell r="X565">
            <v>33.522309067922535</v>
          </cell>
          <cell r="Y565">
            <v>28.534492332786037</v>
          </cell>
          <cell r="Z565">
            <v>22.993415003722383</v>
          </cell>
          <cell r="AA565">
            <v>18.117578411274408</v>
          </cell>
          <cell r="AB565">
            <v>20.670504950599391</v>
          </cell>
          <cell r="AC565">
            <v>23.773586802020912</v>
          </cell>
          <cell r="AD565">
            <v>27.610750298747782</v>
          </cell>
          <cell r="AE565">
            <v>30.600288868728018</v>
          </cell>
          <cell r="AF565">
            <v>23.916832593997441</v>
          </cell>
        </row>
        <row r="566">
          <cell r="D566">
            <v>8870</v>
          </cell>
          <cell r="F566">
            <v>2051.67</v>
          </cell>
          <cell r="G566">
            <v>1614.9199999999998</v>
          </cell>
          <cell r="H566">
            <v>2274.3399999999997</v>
          </cell>
          <cell r="I566">
            <v>1692.15</v>
          </cell>
          <cell r="J566">
            <v>2720.2899999999995</v>
          </cell>
          <cell r="K566">
            <v>4890.25</v>
          </cell>
          <cell r="L566">
            <v>2338.7367010600105</v>
          </cell>
          <cell r="M566">
            <v>2479.7115405878149</v>
          </cell>
          <cell r="N566">
            <v>2312.8562938986774</v>
          </cell>
          <cell r="O566">
            <v>2411.3785776935847</v>
          </cell>
          <cell r="P566">
            <v>2443.5124861151753</v>
          </cell>
          <cell r="Q566">
            <v>2224.8269566308263</v>
          </cell>
          <cell r="R566">
            <v>2427.6565092050505</v>
          </cell>
          <cell r="S566">
            <v>2180.4515324627505</v>
          </cell>
          <cell r="T566">
            <v>2365.1515265582339</v>
          </cell>
          <cell r="U566">
            <v>2378.3000338233833</v>
          </cell>
          <cell r="V566">
            <v>2491.4517815897702</v>
          </cell>
          <cell r="W566">
            <v>2927.1348771559228</v>
          </cell>
          <cell r="X566">
            <v>2882.0665001620314</v>
          </cell>
          <cell r="Y566">
            <v>2590.7060500691841</v>
          </cell>
          <cell r="Z566">
            <v>2353.1337449446914</v>
          </cell>
          <cell r="AA566">
            <v>2470.0364184417986</v>
          </cell>
          <cell r="AB566">
            <v>2502.1703268633892</v>
          </cell>
          <cell r="AC566">
            <v>2281.1767625991033</v>
          </cell>
          <cell r="AD566">
            <v>2488.6223807268689</v>
          </cell>
          <cell r="AE566">
            <v>2234.4933051692801</v>
          </cell>
          <cell r="AF566">
            <v>2423.8093673064473</v>
          </cell>
        </row>
        <row r="567">
          <cell r="D567">
            <v>8890</v>
          </cell>
          <cell r="F567">
            <v>0</v>
          </cell>
          <cell r="G567">
            <v>0</v>
          </cell>
          <cell r="H567">
            <v>0</v>
          </cell>
          <cell r="I567">
            <v>18.02</v>
          </cell>
          <cell r="J567">
            <v>0</v>
          </cell>
          <cell r="K567">
            <v>0</v>
          </cell>
          <cell r="L567">
            <v>3.9725083096145792</v>
          </cell>
          <cell r="M567">
            <v>3.6609343018731861</v>
          </cell>
          <cell r="N567">
            <v>2.9624616020208112</v>
          </cell>
          <cell r="O567">
            <v>2.1461599082191753</v>
          </cell>
          <cell r="P567">
            <v>2.4571028901708964</v>
          </cell>
          <cell r="Q567">
            <v>2.8954894684102217</v>
          </cell>
          <cell r="R567">
            <v>3.372152583920228</v>
          </cell>
          <cell r="S567">
            <v>3.7636498262325397</v>
          </cell>
          <cell r="T567">
            <v>2.8951121591999955</v>
          </cell>
          <cell r="U567">
            <v>2.6232761967087077</v>
          </cell>
          <cell r="V567">
            <v>2.9767054015136454</v>
          </cell>
          <cell r="W567">
            <v>4.0515362512259472</v>
          </cell>
          <cell r="X567">
            <v>4.1665140737131141</v>
          </cell>
          <cell r="Y567">
            <v>3.5021273170934766</v>
          </cell>
          <cell r="Z567">
            <v>2.799263561984942</v>
          </cell>
          <cell r="AA567">
            <v>2.1461599082191753</v>
          </cell>
          <cell r="AB567">
            <v>2.4571028901708964</v>
          </cell>
          <cell r="AC567">
            <v>2.8954894684102217</v>
          </cell>
          <cell r="AD567">
            <v>3.372152583920228</v>
          </cell>
          <cell r="AE567">
            <v>3.7636498262325397</v>
          </cell>
          <cell r="AF567">
            <v>2.8951121591999955</v>
          </cell>
        </row>
        <row r="568">
          <cell r="D568">
            <v>8900</v>
          </cell>
          <cell r="F568">
            <v>4089.86</v>
          </cell>
          <cell r="G568">
            <v>299.19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967.56590434594159</v>
          </cell>
          <cell r="M568">
            <v>891.67723072344654</v>
          </cell>
          <cell r="N568">
            <v>721.5533903634539</v>
          </cell>
          <cell r="O568">
            <v>522.73047420473756</v>
          </cell>
          <cell r="P568">
            <v>598.46545172611388</v>
          </cell>
          <cell r="Q568">
            <v>705.24129030665279</v>
          </cell>
          <cell r="R568">
            <v>821.33997216731836</v>
          </cell>
          <cell r="S568">
            <v>916.69518700476851</v>
          </cell>
          <cell r="T568">
            <v>705.14939080670035</v>
          </cell>
          <cell r="U568">
            <v>638.93953336095183</v>
          </cell>
          <cell r="V568">
            <v>725.02268826378827</v>
          </cell>
          <cell r="W568">
            <v>986.81438309895896</v>
          </cell>
          <cell r="X568">
            <v>1014.8190119439811</v>
          </cell>
          <cell r="Y568">
            <v>852.99733080405781</v>
          </cell>
          <cell r="Z568">
            <v>681.80398095061093</v>
          </cell>
          <cell r="AA568">
            <v>522.73047420473756</v>
          </cell>
          <cell r="AB568">
            <v>598.46545172611388</v>
          </cell>
          <cell r="AC568">
            <v>705.24129030665279</v>
          </cell>
          <cell r="AD568">
            <v>821.33997216731836</v>
          </cell>
          <cell r="AE568">
            <v>916.69518700476851</v>
          </cell>
          <cell r="AF568">
            <v>705.14939080670035</v>
          </cell>
        </row>
        <row r="569">
          <cell r="D569">
            <v>8910</v>
          </cell>
          <cell r="F569">
            <v>114</v>
          </cell>
          <cell r="G569">
            <v>1284.8</v>
          </cell>
          <cell r="H569">
            <v>52.81</v>
          </cell>
          <cell r="I569">
            <v>170</v>
          </cell>
          <cell r="J569">
            <v>0</v>
          </cell>
          <cell r="K569">
            <v>583</v>
          </cell>
          <cell r="L569">
            <v>422.96235785790873</v>
          </cell>
          <cell r="M569">
            <v>400.28170311257674</v>
          </cell>
          <cell r="N569">
            <v>341.88894525341738</v>
          </cell>
          <cell r="O569">
            <v>274.87721578058199</v>
          </cell>
          <cell r="P569">
            <v>309.90722110280456</v>
          </cell>
          <cell r="Q569">
            <v>326.25337055710253</v>
          </cell>
          <cell r="R569">
            <v>374.86746497234896</v>
          </cell>
          <cell r="S569">
            <v>404.00573543643463</v>
          </cell>
          <cell r="T569">
            <v>335.95586422304336</v>
          </cell>
          <cell r="U569">
            <v>310.47912685765004</v>
          </cell>
          <cell r="V569">
            <v>342.65906839047125</v>
          </cell>
          <cell r="W569">
            <v>426.1019534732261</v>
          </cell>
          <cell r="X569">
            <v>423.71396411067292</v>
          </cell>
          <cell r="Y569">
            <v>379.96202296452452</v>
          </cell>
          <cell r="Z569">
            <v>316.06999858189579</v>
          </cell>
          <cell r="AA569">
            <v>274.87721578058199</v>
          </cell>
          <cell r="AB569">
            <v>309.90722110280456</v>
          </cell>
          <cell r="AC569">
            <v>326.25337055710253</v>
          </cell>
          <cell r="AD569">
            <v>374.86746497234896</v>
          </cell>
          <cell r="AE569">
            <v>404.00573543643463</v>
          </cell>
          <cell r="AF569">
            <v>335.95586422304336</v>
          </cell>
        </row>
        <row r="570">
          <cell r="D570">
            <v>8920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50.87</v>
          </cell>
          <cell r="K570">
            <v>0</v>
          </cell>
          <cell r="L570">
            <v>11.214289551059577</v>
          </cell>
          <cell r="M570">
            <v>10.334724080815146</v>
          </cell>
          <cell r="N570">
            <v>8.3629534791786142</v>
          </cell>
          <cell r="O570">
            <v>6.0585546354666722</v>
          </cell>
          <cell r="P570">
            <v>6.936338736015176</v>
          </cell>
          <cell r="Q570">
            <v>8.1738928556064341</v>
          </cell>
          <cell r="R570">
            <v>9.5195006628203096</v>
          </cell>
          <cell r="S570">
            <v>10.624687384042689</v>
          </cell>
          <cell r="T570">
            <v>8.1728277213376099</v>
          </cell>
          <cell r="U570">
            <v>7.4054417384335149</v>
          </cell>
          <cell r="V570">
            <v>8.4031633615426813</v>
          </cell>
          <cell r="W570">
            <v>11.437383412867028</v>
          </cell>
          <cell r="X570">
            <v>11.76196287068735</v>
          </cell>
          <cell r="Y570">
            <v>9.8864160166784192</v>
          </cell>
          <cell r="Z570">
            <v>7.9022495781450592</v>
          </cell>
          <cell r="AA570">
            <v>6.0585546354666722</v>
          </cell>
          <cell r="AB570">
            <v>6.936338736015176</v>
          </cell>
          <cell r="AC570">
            <v>8.1738928556064341</v>
          </cell>
          <cell r="AD570">
            <v>9.5195006628203096</v>
          </cell>
          <cell r="AE570">
            <v>10.624687384042689</v>
          </cell>
          <cell r="AF570">
            <v>8.1728277213376099</v>
          </cell>
        </row>
        <row r="571">
          <cell r="D571">
            <v>8930</v>
          </cell>
          <cell r="F571">
            <v>3597.5099999999998</v>
          </cell>
          <cell r="G571">
            <v>17018.47</v>
          </cell>
          <cell r="H571">
            <v>12171.419999999998</v>
          </cell>
          <cell r="I571">
            <v>1369.0500000000002</v>
          </cell>
          <cell r="J571">
            <v>1322.5700000000002</v>
          </cell>
          <cell r="K571">
            <v>9941.739999999998</v>
          </cell>
          <cell r="L571">
            <v>7218.7172031185964</v>
          </cell>
          <cell r="M571">
            <v>7819.1631927379658</v>
          </cell>
          <cell r="N571">
            <v>7189.4344706364845</v>
          </cell>
          <cell r="O571">
            <v>7521.6993920121904</v>
          </cell>
          <cell r="P571">
            <v>7521.6993920121904</v>
          </cell>
          <cell r="Q571">
            <v>7225.739916185109</v>
          </cell>
          <cell r="R571">
            <v>7817.6583541071222</v>
          </cell>
          <cell r="S571">
            <v>6929.780635035474</v>
          </cell>
          <cell r="T571">
            <v>7521.6993920121904</v>
          </cell>
          <cell r="U571">
            <v>7225.739916185109</v>
          </cell>
          <cell r="V571">
            <v>7817.6583541071222</v>
          </cell>
          <cell r="W571">
            <v>7225.739916185109</v>
          </cell>
          <cell r="X571">
            <v>7521.6993920121904</v>
          </cell>
          <cell r="Y571">
            <v>7817.6583541071222</v>
          </cell>
          <cell r="Z571">
            <v>6929.7626093460422</v>
          </cell>
          <cell r="AA571">
            <v>7747.3503737725559</v>
          </cell>
          <cell r="AB571">
            <v>7747.3503737725559</v>
          </cell>
          <cell r="AC571">
            <v>7442.512113670663</v>
          </cell>
          <cell r="AD571">
            <v>8052.1881047303368</v>
          </cell>
          <cell r="AE571">
            <v>7137.6740540865385</v>
          </cell>
          <cell r="AF571">
            <v>7747.3503737725559</v>
          </cell>
        </row>
        <row r="572">
          <cell r="D572">
            <v>8940</v>
          </cell>
          <cell r="F572">
            <v>875.79000000000008</v>
          </cell>
          <cell r="G572">
            <v>813.25</v>
          </cell>
          <cell r="H572">
            <v>1734.98</v>
          </cell>
          <cell r="I572">
            <v>992.0100000000001</v>
          </cell>
          <cell r="J572">
            <v>525.57000000000005</v>
          </cell>
          <cell r="K572">
            <v>239.20999999999998</v>
          </cell>
          <cell r="L572">
            <v>1378.8979112053476</v>
          </cell>
          <cell r="M572">
            <v>1291.6640818312399</v>
          </cell>
          <cell r="N572">
            <v>1096.6095460809368</v>
          </cell>
          <cell r="O572">
            <v>614.48478615254703</v>
          </cell>
          <cell r="P572">
            <v>701.039180255666</v>
          </cell>
          <cell r="Q572">
            <v>819.11890968288139</v>
          </cell>
          <cell r="R572">
            <v>950.47680750504344</v>
          </cell>
          <cell r="S572">
            <v>1059.3478260606391</v>
          </cell>
          <cell r="T572">
            <v>818.18529972031399</v>
          </cell>
          <cell r="U572">
            <v>739.73195846633803</v>
          </cell>
          <cell r="V572">
            <v>958.44604793110409</v>
          </cell>
          <cell r="W572">
            <v>1165.541372859328</v>
          </cell>
          <cell r="X572">
            <v>1175.6552792708312</v>
          </cell>
          <cell r="Y572">
            <v>985.45750917093892</v>
          </cell>
          <cell r="Z572">
            <v>791.55360975802569</v>
          </cell>
          <cell r="AA572">
            <v>614.48478615254703</v>
          </cell>
          <cell r="AB572">
            <v>701.039180255666</v>
          </cell>
          <cell r="AC572">
            <v>819.11890968288139</v>
          </cell>
          <cell r="AD572">
            <v>950.47680750504344</v>
          </cell>
          <cell r="AE572">
            <v>1059.3478260606391</v>
          </cell>
          <cell r="AF572">
            <v>818.18529972031399</v>
          </cell>
        </row>
        <row r="573">
          <cell r="D573">
            <v>8950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</row>
        <row r="574">
          <cell r="D574">
            <v>9010</v>
          </cell>
          <cell r="F574">
            <v>0</v>
          </cell>
          <cell r="G574">
            <v>48.86</v>
          </cell>
          <cell r="H574">
            <v>-18.32</v>
          </cell>
          <cell r="I574">
            <v>172.46</v>
          </cell>
          <cell r="J574">
            <v>0</v>
          </cell>
          <cell r="K574">
            <v>0</v>
          </cell>
          <cell r="L574">
            <v>42.872519779659306</v>
          </cell>
          <cell r="M574">
            <v>40.294335561912838</v>
          </cell>
          <cell r="N574">
            <v>33.186201628891226</v>
          </cell>
          <cell r="O574">
            <v>25.597213051493107</v>
          </cell>
          <cell r="P574">
            <v>28.573085785532719</v>
          </cell>
          <cell r="Q574">
            <v>32.569657394952593</v>
          </cell>
          <cell r="R574">
            <v>37.529544877702158</v>
          </cell>
          <cell r="S574">
            <v>40.67936931434194</v>
          </cell>
          <cell r="T574">
            <v>32.765043528971034</v>
          </cell>
          <cell r="U574">
            <v>29.964446471664957</v>
          </cell>
          <cell r="V574">
            <v>33.744926615890883</v>
          </cell>
          <cell r="W574">
            <v>43.633576826939262</v>
          </cell>
          <cell r="X574">
            <v>44.932966624250298</v>
          </cell>
          <cell r="Y574">
            <v>38.773465104286977</v>
          </cell>
          <cell r="Z574">
            <v>31.449720394447262</v>
          </cell>
          <cell r="AA574">
            <v>25.748936205904474</v>
          </cell>
          <cell r="AB574">
            <v>28.724808939944086</v>
          </cell>
          <cell r="AC574">
            <v>32.715410634467048</v>
          </cell>
          <cell r="AD574">
            <v>37.68723793664774</v>
          </cell>
          <cell r="AE574">
            <v>40.819152642886415</v>
          </cell>
          <cell r="AF574">
            <v>32.916766683382399</v>
          </cell>
        </row>
        <row r="575">
          <cell r="D575">
            <v>9020</v>
          </cell>
          <cell r="F575">
            <v>110784.91</v>
          </cell>
          <cell r="G575">
            <v>105089.32</v>
          </cell>
          <cell r="H575">
            <v>126664.08</v>
          </cell>
          <cell r="I575">
            <v>97026.37999999999</v>
          </cell>
          <cell r="J575">
            <v>108759.08</v>
          </cell>
          <cell r="K575">
            <v>104421.48000000001</v>
          </cell>
          <cell r="L575">
            <v>86779.281108620286</v>
          </cell>
          <cell r="M575">
            <v>88256.111255874202</v>
          </cell>
          <cell r="N575">
            <v>88536.50222008198</v>
          </cell>
          <cell r="O575">
            <v>94815.066996157722</v>
          </cell>
          <cell r="P575">
            <v>99284.307296900282</v>
          </cell>
          <cell r="Q575">
            <v>76385.467928657512</v>
          </cell>
          <cell r="R575">
            <v>84765.917062805558</v>
          </cell>
          <cell r="S575">
            <v>76117.613693624618</v>
          </cell>
          <cell r="T575">
            <v>86909.430144355953</v>
          </cell>
          <cell r="U575">
            <v>98184.772679432994</v>
          </cell>
          <cell r="V575">
            <v>94615.534025949106</v>
          </cell>
          <cell r="W575">
            <v>169881.83577302637</v>
          </cell>
          <cell r="X575">
            <v>152858.51508531618</v>
          </cell>
          <cell r="Y575">
            <v>107643.29217139675</v>
          </cell>
          <cell r="Z575">
            <v>104495.02963436945</v>
          </cell>
          <cell r="AA575">
            <v>95807.49470694123</v>
          </cell>
          <cell r="AB575">
            <v>100276.7350076838</v>
          </cell>
          <cell r="AC575">
            <v>77338.846168068703</v>
          </cell>
          <cell r="AD575">
            <v>85797.39417717859</v>
          </cell>
          <cell r="AE575">
            <v>77031.942487349559</v>
          </cell>
          <cell r="AF575">
            <v>87901.85785513946</v>
          </cell>
        </row>
        <row r="576">
          <cell r="D576">
            <v>9030</v>
          </cell>
          <cell r="F576">
            <v>23155.330000000005</v>
          </cell>
          <cell r="G576">
            <v>39749.360000000001</v>
          </cell>
          <cell r="H576">
            <v>501984.22</v>
          </cell>
          <cell r="I576">
            <v>102686.19</v>
          </cell>
          <cell r="J576">
            <v>138341.85</v>
          </cell>
          <cell r="K576">
            <v>123054.95999999999</v>
          </cell>
          <cell r="L576">
            <v>120507.57834925406</v>
          </cell>
          <cell r="M576">
            <v>121313.7520953964</v>
          </cell>
          <cell r="N576">
            <v>122157.18874856198</v>
          </cell>
          <cell r="O576">
            <v>131566.16815202171</v>
          </cell>
          <cell r="P576">
            <v>137491.77013666235</v>
          </cell>
          <cell r="Q576">
            <v>98963.309252858511</v>
          </cell>
          <cell r="R576">
            <v>110467.35726939334</v>
          </cell>
          <cell r="S576">
            <v>100376.3925765084</v>
          </cell>
          <cell r="T576">
            <v>115958.03801931914</v>
          </cell>
          <cell r="U576">
            <v>137945.51274153357</v>
          </cell>
          <cell r="V576">
            <v>128420.00236607419</v>
          </cell>
          <cell r="W576">
            <v>263487.6103323634</v>
          </cell>
          <cell r="X576">
            <v>233867.30334301476</v>
          </cell>
          <cell r="Y576">
            <v>149630.30272488494</v>
          </cell>
          <cell r="Z576">
            <v>148459.65382335737</v>
          </cell>
          <cell r="AA576">
            <v>132539.90510033013</v>
          </cell>
          <cell r="AB576">
            <v>138465.50708497077</v>
          </cell>
          <cell r="AC576">
            <v>99898.732163102482</v>
          </cell>
          <cell r="AD576">
            <v>111479.40818925994</v>
          </cell>
          <cell r="AE576">
            <v>101273.5014738903</v>
          </cell>
          <cell r="AF576">
            <v>116931.77496762756</v>
          </cell>
        </row>
        <row r="577">
          <cell r="D577">
            <v>9040</v>
          </cell>
          <cell r="F577">
            <v>49058</v>
          </cell>
          <cell r="G577">
            <v>39838</v>
          </cell>
          <cell r="H577">
            <v>32057</v>
          </cell>
          <cell r="I577">
            <v>27877</v>
          </cell>
          <cell r="J577">
            <v>23175</v>
          </cell>
          <cell r="K577">
            <v>21912</v>
          </cell>
          <cell r="L577">
            <v>21693.599999999999</v>
          </cell>
          <cell r="M577">
            <v>21263.29</v>
          </cell>
          <cell r="N577">
            <v>21604.04</v>
          </cell>
          <cell r="O577">
            <v>29383.746299999999</v>
          </cell>
          <cell r="P577">
            <v>35250.331700000002</v>
          </cell>
          <cell r="Q577">
            <v>46799.183700000001</v>
          </cell>
          <cell r="R577">
            <v>57174.306900000003</v>
          </cell>
          <cell r="S577">
            <v>45879.092900000003</v>
          </cell>
          <cell r="T577">
            <v>39365.472199999997</v>
          </cell>
          <cell r="U577">
            <v>23762.019539619268</v>
          </cell>
          <cell r="V577">
            <v>24524.91013879031</v>
          </cell>
          <cell r="W577">
            <v>22207.571712194829</v>
          </cell>
          <cell r="X577">
            <v>22172.952463907117</v>
          </cell>
          <cell r="Y577">
            <v>21871.741500848806</v>
          </cell>
          <cell r="Z577">
            <v>21676.185075813533</v>
          </cell>
          <cell r="AA577">
            <v>26560.646474999423</v>
          </cell>
          <cell r="AB577">
            <v>41415.794541249801</v>
          </cell>
          <cell r="AC577">
            <v>48376.670007436762</v>
          </cell>
          <cell r="AD577">
            <v>43272.442111191995</v>
          </cell>
          <cell r="AE577">
            <v>32334.096447797128</v>
          </cell>
          <cell r="AF577">
            <v>33937.228919765541</v>
          </cell>
        </row>
        <row r="578">
          <cell r="D578">
            <v>9070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</row>
        <row r="579">
          <cell r="D579">
            <v>9080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D580">
            <v>9090</v>
          </cell>
          <cell r="F580">
            <v>10133.370000000001</v>
          </cell>
          <cell r="G580">
            <v>9072.76</v>
          </cell>
          <cell r="H580">
            <v>11220.49</v>
          </cell>
          <cell r="I580">
            <v>9707.85</v>
          </cell>
          <cell r="J580">
            <v>12016.190000000002</v>
          </cell>
          <cell r="K580">
            <v>12062.02</v>
          </cell>
          <cell r="L580">
            <v>12031.954990537901</v>
          </cell>
          <cell r="M580">
            <v>12761.961963263597</v>
          </cell>
          <cell r="N580">
            <v>12252.785509635303</v>
          </cell>
          <cell r="O580">
            <v>11131.191495653427</v>
          </cell>
          <cell r="P580">
            <v>11030.751385091457</v>
          </cell>
          <cell r="Q580">
            <v>10675.868313112467</v>
          </cell>
          <cell r="R580">
            <v>11099.308702738434</v>
          </cell>
          <cell r="S580">
            <v>10376.172044369632</v>
          </cell>
          <cell r="T580">
            <v>11683.807626951497</v>
          </cell>
          <cell r="U580">
            <v>10350.161930931572</v>
          </cell>
          <cell r="V580">
            <v>11828.592231850018</v>
          </cell>
          <cell r="W580">
            <v>11320.247077611837</v>
          </cell>
          <cell r="X580">
            <v>10421.565545191741</v>
          </cell>
          <cell r="Y580">
            <v>11550.703083881974</v>
          </cell>
          <cell r="Z580">
            <v>10573.123926201017</v>
          </cell>
          <cell r="AA580">
            <v>11396.692558951923</v>
          </cell>
          <cell r="AB580">
            <v>11296.252448389952</v>
          </cell>
          <cell r="AC580">
            <v>10930.922594183961</v>
          </cell>
          <cell r="AD580">
            <v>11375.256530130215</v>
          </cell>
          <cell r="AE580">
            <v>10620.779550085845</v>
          </cell>
          <cell r="AF580">
            <v>11949.308690249993</v>
          </cell>
        </row>
        <row r="581">
          <cell r="D581">
            <v>9100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</row>
        <row r="582">
          <cell r="D582">
            <v>9110</v>
          </cell>
          <cell r="F582">
            <v>22301.329999999994</v>
          </cell>
          <cell r="G582">
            <v>16762.809999999998</v>
          </cell>
          <cell r="H582">
            <v>23243.090000000004</v>
          </cell>
          <cell r="I582">
            <v>19798.990000000002</v>
          </cell>
          <cell r="J582">
            <v>21407.67</v>
          </cell>
          <cell r="K582">
            <v>21584.89</v>
          </cell>
          <cell r="L582">
            <v>20675.423591401213</v>
          </cell>
          <cell r="M582">
            <v>21999.196767974179</v>
          </cell>
          <cell r="N582">
            <v>21360.062230206717</v>
          </cell>
          <cell r="O582">
            <v>22375.104967986197</v>
          </cell>
          <cell r="P582">
            <v>22087.808769509622</v>
          </cell>
          <cell r="Q582">
            <v>21532.913795045988</v>
          </cell>
          <cell r="R582">
            <v>21994.454536790494</v>
          </cell>
          <cell r="S582">
            <v>21105.311951715499</v>
          </cell>
          <cell r="T582">
            <v>24140.833048191646</v>
          </cell>
          <cell r="U582">
            <v>20597.208221392673</v>
          </cell>
          <cell r="V582">
            <v>21913.258671345604</v>
          </cell>
          <cell r="W582">
            <v>23031.180828829736</v>
          </cell>
          <cell r="X582">
            <v>20353.737963201595</v>
          </cell>
          <cell r="Y582">
            <v>23366.708091721863</v>
          </cell>
          <cell r="Z582">
            <v>21661.744844618865</v>
          </cell>
          <cell r="AA582">
            <v>22848.209658092157</v>
          </cell>
          <cell r="AB582">
            <v>22560.913459615582</v>
          </cell>
          <cell r="AC582">
            <v>21987.403035531112</v>
          </cell>
          <cell r="AD582">
            <v>22486.174644204235</v>
          </cell>
          <cell r="AE582">
            <v>21541.185754824724</v>
          </cell>
          <cell r="AF582">
            <v>24613.937738297598</v>
          </cell>
        </row>
        <row r="583">
          <cell r="D583">
            <v>9120</v>
          </cell>
          <cell r="F583">
            <v>16390.32</v>
          </cell>
          <cell r="G583">
            <v>8111.26</v>
          </cell>
          <cell r="H583">
            <v>12044.060000000001</v>
          </cell>
          <cell r="I583">
            <v>10477.56</v>
          </cell>
          <cell r="J583">
            <v>6937.37</v>
          </cell>
          <cell r="K583">
            <v>6607.42</v>
          </cell>
          <cell r="L583">
            <v>7020.904787823094</v>
          </cell>
          <cell r="M583">
            <v>9167.1438574379699</v>
          </cell>
          <cell r="N583">
            <v>10817.563892877215</v>
          </cell>
          <cell r="O583">
            <v>12910.311088777229</v>
          </cell>
          <cell r="P583">
            <v>6569.8752645233899</v>
          </cell>
          <cell r="Q583">
            <v>10032.512903661907</v>
          </cell>
          <cell r="R583">
            <v>12221.323795077822</v>
          </cell>
          <cell r="S583">
            <v>12061.722957052425</v>
          </cell>
          <cell r="T583">
            <v>13428.863955872168</v>
          </cell>
          <cell r="U583">
            <v>9558.9681418768268</v>
          </cell>
          <cell r="V583">
            <v>10173.344529650938</v>
          </cell>
          <cell r="W583">
            <v>11196.538283443333</v>
          </cell>
          <cell r="X583">
            <v>9410.9747929858204</v>
          </cell>
          <cell r="Y583">
            <v>11651.106127980333</v>
          </cell>
          <cell r="Z583">
            <v>12074.401517085496</v>
          </cell>
          <cell r="AA583">
            <v>12910.311088777229</v>
          </cell>
          <cell r="AB583">
            <v>6569.8752645233899</v>
          </cell>
          <cell r="AC583">
            <v>10032.512903661907</v>
          </cell>
          <cell r="AD583">
            <v>12221.323795077822</v>
          </cell>
          <cell r="AE583">
            <v>12061.722957052425</v>
          </cell>
          <cell r="AF583">
            <v>13428.863955872168</v>
          </cell>
        </row>
        <row r="584">
          <cell r="D584">
            <v>9130</v>
          </cell>
          <cell r="F584">
            <v>1111.1600000000001</v>
          </cell>
          <cell r="G584">
            <v>7084.3</v>
          </cell>
          <cell r="H584">
            <v>2365.9899999999998</v>
          </cell>
          <cell r="I584">
            <v>2627.1400000000003</v>
          </cell>
          <cell r="J584">
            <v>3104.84</v>
          </cell>
          <cell r="K584">
            <v>3025</v>
          </cell>
          <cell r="L584">
            <v>2446.4242876818776</v>
          </cell>
          <cell r="M584">
            <v>3237.4881920074649</v>
          </cell>
          <cell r="N584">
            <v>3877.4551024282482</v>
          </cell>
          <cell r="O584">
            <v>4172.0275790556625</v>
          </cell>
          <cell r="P584">
            <v>2317.9921993413336</v>
          </cell>
          <cell r="Q584">
            <v>3367.2511335634836</v>
          </cell>
          <cell r="R584">
            <v>4040.8125815806166</v>
          </cell>
          <cell r="S584">
            <v>4282.6523760684295</v>
          </cell>
          <cell r="T584">
            <v>4756.7545749398332</v>
          </cell>
          <cell r="U584">
            <v>3474.6082106275394</v>
          </cell>
          <cell r="V584">
            <v>3621.5605473755786</v>
          </cell>
          <cell r="W584">
            <v>4043.2984252652363</v>
          </cell>
          <cell r="X584">
            <v>2837.6476025595707</v>
          </cell>
          <cell r="Y584">
            <v>4175.8490290029549</v>
          </cell>
          <cell r="Z584">
            <v>4392.5689690486752</v>
          </cell>
          <cell r="AA584">
            <v>4172.0275790556625</v>
          </cell>
          <cell r="AB584">
            <v>2317.9921993413336</v>
          </cell>
          <cell r="AC584">
            <v>3367.2511335634836</v>
          </cell>
          <cell r="AD584">
            <v>4040.8125815806166</v>
          </cell>
          <cell r="AE584">
            <v>4282.6523760684295</v>
          </cell>
          <cell r="AF584">
            <v>4756.7545749398332</v>
          </cell>
        </row>
        <row r="585">
          <cell r="D585">
            <v>9160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D586">
            <v>9200</v>
          </cell>
          <cell r="F586">
            <v>13290.939999999999</v>
          </cell>
          <cell r="G586">
            <v>9993.0299999999988</v>
          </cell>
          <cell r="H586">
            <v>13406.640000000001</v>
          </cell>
          <cell r="I586">
            <v>10433.07</v>
          </cell>
          <cell r="J586">
            <v>12196.779999999999</v>
          </cell>
          <cell r="K586">
            <v>12401.91</v>
          </cell>
          <cell r="L586">
            <v>11398.829657791661</v>
          </cell>
          <cell r="M586">
            <v>12346.973401588475</v>
          </cell>
          <cell r="N586">
            <v>11352.590295577267</v>
          </cell>
          <cell r="O586">
            <v>11877.258478780925</v>
          </cell>
          <cell r="P586">
            <v>11877.258478780925</v>
          </cell>
          <cell r="Q586">
            <v>11409.918984015183</v>
          </cell>
          <cell r="R586">
            <v>12344.597162329785</v>
          </cell>
          <cell r="S586">
            <v>10942.579796657945</v>
          </cell>
          <cell r="T586">
            <v>11877.258478780925</v>
          </cell>
          <cell r="U586">
            <v>11409.918984015183</v>
          </cell>
          <cell r="V586">
            <v>12344.597162329785</v>
          </cell>
          <cell r="W586">
            <v>11409.918984015183</v>
          </cell>
          <cell r="X586">
            <v>11877.258478780925</v>
          </cell>
          <cell r="Y586">
            <v>12344.597162329785</v>
          </cell>
          <cell r="Z586">
            <v>10942.551332907737</v>
          </cell>
          <cell r="AA586">
            <v>12233.576233144351</v>
          </cell>
          <cell r="AB586">
            <v>12233.576233144351</v>
          </cell>
          <cell r="AC586">
            <v>11752.21655353564</v>
          </cell>
          <cell r="AD586">
            <v>12714.935077199678</v>
          </cell>
          <cell r="AE586">
            <v>11270.857190557683</v>
          </cell>
          <cell r="AF586">
            <v>12233.576233144351</v>
          </cell>
        </row>
        <row r="587">
          <cell r="D587">
            <v>9210</v>
          </cell>
          <cell r="F587">
            <v>213</v>
          </cell>
          <cell r="G587">
            <v>-50</v>
          </cell>
          <cell r="H587">
            <v>141.4</v>
          </cell>
          <cell r="I587">
            <v>397.76</v>
          </cell>
          <cell r="J587">
            <v>623.2399999999999</v>
          </cell>
          <cell r="K587">
            <v>375.99</v>
          </cell>
          <cell r="L587">
            <v>-413.31388270564776</v>
          </cell>
          <cell r="M587">
            <v>-366.18750577662126</v>
          </cell>
          <cell r="N587">
            <v>-315.6713458137653</v>
          </cell>
          <cell r="O587">
            <v>308.85523548641817</v>
          </cell>
          <cell r="P587">
            <v>194.54688484462145</v>
          </cell>
          <cell r="Q587">
            <v>270.37413966801546</v>
          </cell>
          <cell r="R587">
            <v>311.90404145912532</v>
          </cell>
          <cell r="S587">
            <v>335.38674505512029</v>
          </cell>
          <cell r="T587">
            <v>381.66295727929759</v>
          </cell>
          <cell r="U587">
            <v>276.02232274503115</v>
          </cell>
          <cell r="V587">
            <v>-1.7813642583690239</v>
          </cell>
          <cell r="W587">
            <v>275.12738362943463</v>
          </cell>
          <cell r="X587">
            <v>212.74542055867269</v>
          </cell>
          <cell r="Y587">
            <v>339.08952270284476</v>
          </cell>
          <cell r="Z587">
            <v>344.65734059521515</v>
          </cell>
          <cell r="AA587">
            <v>308.85523548641817</v>
          </cell>
          <cell r="AB587">
            <v>194.54688484462145</v>
          </cell>
          <cell r="AC587">
            <v>270.37413966801546</v>
          </cell>
          <cell r="AD587">
            <v>311.90404145912532</v>
          </cell>
          <cell r="AE587">
            <v>335.38674505512029</v>
          </cell>
          <cell r="AF587">
            <v>381.66295727929759</v>
          </cell>
        </row>
        <row r="588">
          <cell r="D588">
            <v>9220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</row>
        <row r="589">
          <cell r="D589">
            <v>9230</v>
          </cell>
          <cell r="F589">
            <v>7268.05</v>
          </cell>
          <cell r="G589">
            <v>5262.9</v>
          </cell>
          <cell r="H589">
            <v>0</v>
          </cell>
          <cell r="I589">
            <v>10119.08</v>
          </cell>
          <cell r="J589">
            <v>9741.08</v>
          </cell>
          <cell r="K589">
            <v>5019.95</v>
          </cell>
          <cell r="L589">
            <v>4524.4967419991381</v>
          </cell>
          <cell r="M589">
            <v>4436.1393290730448</v>
          </cell>
          <cell r="N589">
            <v>4625.2448831349311</v>
          </cell>
          <cell r="O589">
            <v>5045.9183349906152</v>
          </cell>
          <cell r="P589">
            <v>5349.0562074909139</v>
          </cell>
          <cell r="Q589">
            <v>3418.6418831471237</v>
          </cell>
          <cell r="R589">
            <v>3879.5675678206553</v>
          </cell>
          <cell r="S589">
            <v>3544.5241579758367</v>
          </cell>
          <cell r="T589">
            <v>4217.7850731271619</v>
          </cell>
          <cell r="U589">
            <v>5442.351102246299</v>
          </cell>
          <cell r="V589">
            <v>4813.2924053762554</v>
          </cell>
          <cell r="W589">
            <v>11892.230639486997</v>
          </cell>
          <cell r="X589">
            <v>10316.727211396368</v>
          </cell>
          <cell r="Y589">
            <v>5892.1792087130416</v>
          </cell>
          <cell r="Z589">
            <v>6037.2621747849598</v>
          </cell>
          <cell r="AA589">
            <v>5045.9183349906152</v>
          </cell>
          <cell r="AB589">
            <v>5349.0562074909139</v>
          </cell>
          <cell r="AC589">
            <v>3418.6418831471237</v>
          </cell>
          <cell r="AD589">
            <v>3879.5675678206553</v>
          </cell>
          <cell r="AE589">
            <v>3544.5241579758367</v>
          </cell>
          <cell r="AF589">
            <v>4217.7850731271619</v>
          </cell>
        </row>
        <row r="590">
          <cell r="D590">
            <v>9240</v>
          </cell>
          <cell r="F590">
            <v>13990.779999999999</v>
          </cell>
          <cell r="G590">
            <v>13921.75</v>
          </cell>
          <cell r="H590">
            <v>14167.420000000002</v>
          </cell>
          <cell r="I590">
            <v>13939.490000000002</v>
          </cell>
          <cell r="J590">
            <v>14230.75</v>
          </cell>
          <cell r="K590">
            <v>13802.05</v>
          </cell>
          <cell r="L590">
            <v>1439.3178702045811</v>
          </cell>
          <cell r="M590">
            <v>946.40079136739587</v>
          </cell>
          <cell r="N590">
            <v>1361.4369717483057</v>
          </cell>
          <cell r="O590">
            <v>394.33366306974824</v>
          </cell>
          <cell r="P590">
            <v>394.33366306974824</v>
          </cell>
          <cell r="Q590">
            <v>394.33366306974824</v>
          </cell>
          <cell r="R590">
            <v>887.25074190693363</v>
          </cell>
          <cell r="S590">
            <v>394.33366306974824</v>
          </cell>
          <cell r="T590">
            <v>394.33366306974824</v>
          </cell>
          <cell r="U590">
            <v>394.33366306974824</v>
          </cell>
          <cell r="V590">
            <v>591.50049460462242</v>
          </cell>
          <cell r="W590">
            <v>394.33366306974824</v>
          </cell>
          <cell r="X590">
            <v>531.92653645636017</v>
          </cell>
          <cell r="Y590">
            <v>394.33366306974824</v>
          </cell>
          <cell r="Z590">
            <v>394.33366306974824</v>
          </cell>
          <cell r="AA590">
            <v>394.33366306974824</v>
          </cell>
          <cell r="AB590">
            <v>394.33366306974824</v>
          </cell>
          <cell r="AC590">
            <v>394.33366306974824</v>
          </cell>
          <cell r="AD590">
            <v>887.25074190693363</v>
          </cell>
          <cell r="AE590">
            <v>394.33366306974824</v>
          </cell>
          <cell r="AF590">
            <v>394.33366306974824</v>
          </cell>
        </row>
        <row r="591">
          <cell r="D591">
            <v>9250</v>
          </cell>
          <cell r="F591">
            <v>1847.59</v>
          </cell>
          <cell r="G591">
            <v>783.72</v>
          </cell>
          <cell r="H591">
            <v>2141.4499999999998</v>
          </cell>
          <cell r="I591">
            <v>5523.7000000000007</v>
          </cell>
          <cell r="J591">
            <v>488.45</v>
          </cell>
          <cell r="K591">
            <v>313.65999999999997</v>
          </cell>
          <cell r="L591">
            <v>1116.6725776922744</v>
          </cell>
          <cell r="M591">
            <v>1138.2339204285026</v>
          </cell>
          <cell r="N591">
            <v>1281.8892428190045</v>
          </cell>
          <cell r="O591">
            <v>1404.0351406507662</v>
          </cell>
          <cell r="P591">
            <v>1573.7679120582748</v>
          </cell>
          <cell r="Q591">
            <v>1067.8093835746895</v>
          </cell>
          <cell r="R591">
            <v>1190.8209396033444</v>
          </cell>
          <cell r="S591">
            <v>1138.766136672499</v>
          </cell>
          <cell r="T591">
            <v>1300.9077177422746</v>
          </cell>
          <cell r="U591">
            <v>1321.15136120696</v>
          </cell>
          <cell r="V591">
            <v>1247.1102885828886</v>
          </cell>
          <cell r="W591">
            <v>2509.3293258125286</v>
          </cell>
          <cell r="X591">
            <v>2074.4124744442711</v>
          </cell>
          <cell r="Y591">
            <v>1370.6078478838629</v>
          </cell>
          <cell r="Z591">
            <v>1738.8079264292269</v>
          </cell>
          <cell r="AA591">
            <v>1404.6870737932436</v>
          </cell>
          <cell r="AB591">
            <v>1574.4198452007522</v>
          </cell>
          <cell r="AC591">
            <v>1068.4357395239983</v>
          </cell>
          <cell r="AD591">
            <v>1191.4984498848471</v>
          </cell>
          <cell r="AE591">
            <v>1139.3669154324514</v>
          </cell>
          <cell r="AF591">
            <v>1301.559650884752</v>
          </cell>
        </row>
        <row r="592">
          <cell r="D592">
            <v>9260</v>
          </cell>
          <cell r="F592">
            <v>174539.37</v>
          </cell>
          <cell r="G592">
            <v>152249.79999999999</v>
          </cell>
          <cell r="H592">
            <v>185191.22</v>
          </cell>
          <cell r="I592">
            <v>160523.91999999995</v>
          </cell>
          <cell r="J592">
            <v>188456.5</v>
          </cell>
          <cell r="K592">
            <v>160942.74</v>
          </cell>
          <cell r="L592">
            <v>161708.81371113806</v>
          </cell>
          <cell r="M592">
            <v>175131.83863619238</v>
          </cell>
          <cell r="N592">
            <v>163499.9672487934</v>
          </cell>
          <cell r="O592">
            <v>142796.48177615754</v>
          </cell>
          <cell r="P592">
            <v>145700.21108473931</v>
          </cell>
          <cell r="Q592">
            <v>136624.56752368226</v>
          </cell>
          <cell r="R592">
            <v>147320.81408114082</v>
          </cell>
          <cell r="S592">
            <v>132042.68081408131</v>
          </cell>
          <cell r="T592">
            <v>143583.79950002558</v>
          </cell>
          <cell r="U592">
            <v>134036.64589471029</v>
          </cell>
          <cell r="V592">
            <v>145518.61444494256</v>
          </cell>
          <cell r="W592">
            <v>135758.4131632403</v>
          </cell>
          <cell r="X592">
            <v>137968.09830108209</v>
          </cell>
          <cell r="Y592">
            <v>143859.86088830727</v>
          </cell>
          <cell r="Z592">
            <v>135503.41628060065</v>
          </cell>
          <cell r="AA592">
            <v>170236.288926373</v>
          </cell>
          <cell r="AB592">
            <v>173140.01823495477</v>
          </cell>
          <cell r="AC592">
            <v>162987.83292098774</v>
          </cell>
          <cell r="AD592">
            <v>175837.16070539309</v>
          </cell>
          <cell r="AE592">
            <v>157329.40461890862</v>
          </cell>
          <cell r="AF592">
            <v>171023.60665024107</v>
          </cell>
        </row>
        <row r="593">
          <cell r="D593">
            <v>9270</v>
          </cell>
          <cell r="F593">
            <v>0</v>
          </cell>
          <cell r="G593">
            <v>0</v>
          </cell>
          <cell r="H593">
            <v>842.28</v>
          </cell>
          <cell r="I593">
            <v>0</v>
          </cell>
          <cell r="J593">
            <v>14.37</v>
          </cell>
          <cell r="K593">
            <v>0</v>
          </cell>
          <cell r="L593">
            <v>1774.8257615384764</v>
          </cell>
          <cell r="M593">
            <v>1774.911456199769</v>
          </cell>
          <cell r="N593">
            <v>1775.2651268766554</v>
          </cell>
          <cell r="O593">
            <v>82.987592800505183</v>
          </cell>
          <cell r="P593">
            <v>77.835902190061532</v>
          </cell>
          <cell r="Q593">
            <v>47.88898431433725</v>
          </cell>
          <cell r="R593">
            <v>32.664931964851249</v>
          </cell>
          <cell r="S593">
            <v>31.569702114790584</v>
          </cell>
          <cell r="T593">
            <v>42.328200774064179</v>
          </cell>
          <cell r="U593">
            <v>26.295250087442181</v>
          </cell>
          <cell r="V593">
            <v>823.80355297940935</v>
          </cell>
          <cell r="W593">
            <v>199.98449944893267</v>
          </cell>
          <cell r="X593">
            <v>53.75512915158901</v>
          </cell>
          <cell r="Y593">
            <v>21.136297982106768</v>
          </cell>
          <cell r="Z593">
            <v>42.785600433579511</v>
          </cell>
          <cell r="AA593">
            <v>82.987592800505183</v>
          </cell>
          <cell r="AB593">
            <v>77.835902190061532</v>
          </cell>
          <cell r="AC593">
            <v>47.88898431433725</v>
          </cell>
          <cell r="AD593">
            <v>32.664931964851249</v>
          </cell>
          <cell r="AE593">
            <v>31.569702114790584</v>
          </cell>
          <cell r="AF593">
            <v>42.328200774064179</v>
          </cell>
        </row>
        <row r="594">
          <cell r="D594">
            <v>9280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</row>
        <row r="595">
          <cell r="D595">
            <v>9290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</row>
        <row r="596">
          <cell r="D596">
            <v>9301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D597">
            <v>9302</v>
          </cell>
          <cell r="F597">
            <v>12347.07</v>
          </cell>
          <cell r="G597">
            <v>7382.07</v>
          </cell>
          <cell r="H597">
            <v>8449.07</v>
          </cell>
          <cell r="I597">
            <v>4277.07</v>
          </cell>
          <cell r="J597">
            <v>14490.15</v>
          </cell>
          <cell r="K597">
            <v>4482.07</v>
          </cell>
          <cell r="L597">
            <v>1735.8813523859897</v>
          </cell>
          <cell r="M597">
            <v>2011.8987986306272</v>
          </cell>
          <cell r="N597">
            <v>1723.9805109630124</v>
          </cell>
          <cell r="O597">
            <v>10935.477996652693</v>
          </cell>
          <cell r="P597">
            <v>684.21630705275663</v>
          </cell>
          <cell r="Q597">
            <v>5642.6403298598962</v>
          </cell>
          <cell r="R597">
            <v>8408.650308341952</v>
          </cell>
          <cell r="S597">
            <v>2802.6727775416689</v>
          </cell>
          <cell r="T597">
            <v>3586.6673805800356</v>
          </cell>
          <cell r="U597">
            <v>332.40281215901928</v>
          </cell>
          <cell r="V597">
            <v>1976.360423898564</v>
          </cell>
          <cell r="W597">
            <v>1165.4206743832085</v>
          </cell>
          <cell r="X597">
            <v>11797.878625976371</v>
          </cell>
          <cell r="Y597">
            <v>1983.9933773629566</v>
          </cell>
          <cell r="Z597">
            <v>384.52029011481613</v>
          </cell>
          <cell r="AA597">
            <v>10935.477996652693</v>
          </cell>
          <cell r="AB597">
            <v>684.21630705275663</v>
          </cell>
          <cell r="AC597">
            <v>5642.6403298598962</v>
          </cell>
          <cell r="AD597">
            <v>8408.650308341952</v>
          </cell>
          <cell r="AE597">
            <v>2802.6727775416689</v>
          </cell>
          <cell r="AF597">
            <v>3586.6673805800356</v>
          </cell>
        </row>
        <row r="598">
          <cell r="D598">
            <v>9310</v>
          </cell>
          <cell r="F598">
            <v>1283.2</v>
          </cell>
          <cell r="G598">
            <v>1283.2</v>
          </cell>
          <cell r="H598">
            <v>1283.2</v>
          </cell>
          <cell r="I598">
            <v>1283.2</v>
          </cell>
          <cell r="J598">
            <v>1304.52</v>
          </cell>
          <cell r="K598">
            <v>1304.52</v>
          </cell>
          <cell r="L598">
            <v>1143.741086048137</v>
          </cell>
          <cell r="M598">
            <v>1147.7346200836998</v>
          </cell>
          <cell r="N598">
            <v>1089.2851098343008</v>
          </cell>
          <cell r="O598">
            <v>1031.9730262605183</v>
          </cell>
          <cell r="P598">
            <v>1138.6707588720099</v>
          </cell>
          <cell r="Q598">
            <v>994.05880373996285</v>
          </cell>
          <cell r="R598">
            <v>1112.2114043128511</v>
          </cell>
          <cell r="S598">
            <v>1112.9056461137895</v>
          </cell>
          <cell r="T598">
            <v>1080.9469029778534</v>
          </cell>
          <cell r="U598">
            <v>1033.6335084915243</v>
          </cell>
          <cell r="V598">
            <v>1086.7207252654891</v>
          </cell>
          <cell r="W598">
            <v>1119.3941648888872</v>
          </cell>
          <cell r="X598">
            <v>1021.8603753481474</v>
          </cell>
          <cell r="Y598">
            <v>1071.552357667365</v>
          </cell>
          <cell r="Z598">
            <v>966.90788596976756</v>
          </cell>
          <cell r="AA598">
            <v>1031.9730262605183</v>
          </cell>
          <cell r="AB598">
            <v>1138.6707588720099</v>
          </cell>
          <cell r="AC598">
            <v>994.05880373996285</v>
          </cell>
          <cell r="AD598">
            <v>1112.2114043128511</v>
          </cell>
          <cell r="AE598">
            <v>1112.9056461137895</v>
          </cell>
          <cell r="AF598">
            <v>1080.9469029778534</v>
          </cell>
        </row>
        <row r="599">
          <cell r="D599">
            <v>9320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</row>
      </sheetData>
      <sheetData sheetId="5">
        <row r="62">
          <cell r="F62">
            <v>6770.35</v>
          </cell>
          <cell r="G62">
            <v>3462.81</v>
          </cell>
          <cell r="H62">
            <v>7603.35</v>
          </cell>
          <cell r="I62">
            <v>5694.42</v>
          </cell>
          <cell r="J62">
            <v>7462.92</v>
          </cell>
          <cell r="K62">
            <v>5867.8</v>
          </cell>
          <cell r="L62">
            <v>9044.6815455830128</v>
          </cell>
          <cell r="M62">
            <v>1265.9690737123062</v>
          </cell>
          <cell r="N62">
            <v>1339.2838676581732</v>
          </cell>
          <cell r="O62">
            <v>3705.0261961461365</v>
          </cell>
          <cell r="P62">
            <v>4353.1931806217508</v>
          </cell>
          <cell r="Q62">
            <v>4791.743641329952</v>
          </cell>
          <cell r="U62">
            <v>3981.6701807341246</v>
          </cell>
          <cell r="V62">
            <v>7406.2748945275171</v>
          </cell>
          <cell r="W62">
            <v>3847.0892265595817</v>
          </cell>
          <cell r="X62">
            <v>8718.3736701166727</v>
          </cell>
          <cell r="Y62">
            <v>1306.8332248966087</v>
          </cell>
          <cell r="Z62">
            <v>1375.2987463248105</v>
          </cell>
          <cell r="AA62">
            <v>3705.0261961461365</v>
          </cell>
          <cell r="AB62">
            <v>4353.1931806217508</v>
          </cell>
          <cell r="AC62">
            <v>4791.743641329952</v>
          </cell>
          <cell r="AD62">
            <v>5426.4260923433494</v>
          </cell>
          <cell r="AE62">
            <v>4858.476391049694</v>
          </cell>
          <cell r="AF62">
            <v>4522.050527473376</v>
          </cell>
        </row>
        <row r="249">
          <cell r="F249">
            <v>481.7</v>
          </cell>
          <cell r="G249">
            <v>631.55999999999995</v>
          </cell>
          <cell r="H249">
            <v>4090.81</v>
          </cell>
          <cell r="I249">
            <v>799.3</v>
          </cell>
          <cell r="J249">
            <v>1393.02</v>
          </cell>
          <cell r="K249">
            <v>977.43</v>
          </cell>
          <cell r="L249">
            <v>6318.8897369849801</v>
          </cell>
          <cell r="M249">
            <v>6414.1575351396559</v>
          </cell>
          <cell r="N249">
            <v>6656.907057382221</v>
          </cell>
          <cell r="O249">
            <v>6696.4069872389391</v>
          </cell>
          <cell r="P249">
            <v>6851.9985371254334</v>
          </cell>
          <cell r="Q249">
            <v>6986.7245230644994</v>
          </cell>
          <cell r="U249">
            <v>8319.7183123762388</v>
          </cell>
          <cell r="V249">
            <v>6961.9550794107799</v>
          </cell>
          <cell r="W249">
            <v>6686.0261913280374</v>
          </cell>
          <cell r="X249">
            <v>6735.0709374279104</v>
          </cell>
          <cell r="Y249">
            <v>6761.40598240483</v>
          </cell>
          <cell r="Z249">
            <v>8623.2174561771735</v>
          </cell>
          <cell r="AA249">
            <v>6696.4069872389391</v>
          </cell>
          <cell r="AB249">
            <v>6851.9985371254334</v>
          </cell>
          <cell r="AC249">
            <v>6986.7245230644994</v>
          </cell>
          <cell r="AD249">
            <v>7361.664424713038</v>
          </cell>
          <cell r="AE249">
            <v>7087.684193153159</v>
          </cell>
          <cell r="AF249">
            <v>7336.8315033405161</v>
          </cell>
        </row>
        <row r="256">
          <cell r="F256">
            <v>6287.6</v>
          </cell>
          <cell r="G256">
            <v>3432.81</v>
          </cell>
          <cell r="H256">
            <v>1578.25</v>
          </cell>
          <cell r="I256">
            <v>6666.86</v>
          </cell>
          <cell r="J256">
            <v>7528.77</v>
          </cell>
          <cell r="K256">
            <v>11990.94</v>
          </cell>
          <cell r="L256">
            <v>28286.377678947181</v>
          </cell>
          <cell r="M256">
            <v>28712.841983818988</v>
          </cell>
          <cell r="N256">
            <v>29799.505140377481</v>
          </cell>
          <cell r="O256">
            <v>29976.325749808177</v>
          </cell>
          <cell r="P256">
            <v>30672.82806697665</v>
          </cell>
          <cell r="Q256">
            <v>31275.926123765868</v>
          </cell>
          <cell r="U256">
            <v>37243.044927480551</v>
          </cell>
          <cell r="V256">
            <v>31165.046227573719</v>
          </cell>
          <cell r="W256">
            <v>29929.85633414087</v>
          </cell>
          <cell r="X256">
            <v>30149.404113749861</v>
          </cell>
          <cell r="Y256">
            <v>30267.292391503641</v>
          </cell>
          <cell r="Z256">
            <v>38601.652493702546</v>
          </cell>
          <cell r="AA256">
            <v>29976.325749808177</v>
          </cell>
          <cell r="AB256">
            <v>30672.82806697665</v>
          </cell>
          <cell r="AC256">
            <v>31275.926123765868</v>
          </cell>
          <cell r="AD256">
            <v>32954.336747528119</v>
          </cell>
          <cell r="AE256">
            <v>31727.869974242418</v>
          </cell>
          <cell r="AF256">
            <v>32843.172694656088</v>
          </cell>
        </row>
        <row r="281">
          <cell r="D281">
            <v>7590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D282">
            <v>8140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D283">
            <v>8150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</row>
        <row r="284">
          <cell r="D284">
            <v>8160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D285">
            <v>8170</v>
          </cell>
          <cell r="F285">
            <v>38.979999999999997</v>
          </cell>
          <cell r="G285">
            <v>41.37</v>
          </cell>
          <cell r="H285">
            <v>41.85</v>
          </cell>
          <cell r="I285">
            <v>39.78</v>
          </cell>
          <cell r="J285">
            <v>40.81</v>
          </cell>
          <cell r="K285">
            <v>46.65</v>
          </cell>
          <cell r="L285">
            <v>47.535253756182058</v>
          </cell>
          <cell r="M285">
            <v>47.076993715176023</v>
          </cell>
          <cell r="N285">
            <v>47.159209184374923</v>
          </cell>
          <cell r="O285">
            <v>40.749447604237574</v>
          </cell>
          <cell r="P285">
            <v>41.422094957848472</v>
          </cell>
          <cell r="Q285">
            <v>40.995310145974692</v>
          </cell>
          <cell r="R285">
            <v>41.746012449991156</v>
          </cell>
          <cell r="S285">
            <v>40.154161781233356</v>
          </cell>
          <cell r="T285">
            <v>40.366710023936811</v>
          </cell>
          <cell r="U285">
            <v>40.036581902291019</v>
          </cell>
          <cell r="V285">
            <v>39.818833011095883</v>
          </cell>
          <cell r="W285">
            <v>39.855011435385833</v>
          </cell>
          <cell r="X285">
            <v>41.475503356706511</v>
          </cell>
          <cell r="Y285">
            <v>39.57764351582955</v>
          </cell>
          <cell r="Z285">
            <v>40.203228769176604</v>
          </cell>
          <cell r="AA285">
            <v>40.749447604237574</v>
          </cell>
          <cell r="AB285">
            <v>41.422094957848472</v>
          </cell>
          <cell r="AC285">
            <v>40.995310145974692</v>
          </cell>
          <cell r="AD285">
            <v>41.746012449991156</v>
          </cell>
          <cell r="AE285">
            <v>40.154161781233356</v>
          </cell>
          <cell r="AF285">
            <v>40.366710023936811</v>
          </cell>
        </row>
        <row r="286">
          <cell r="D286">
            <v>8180</v>
          </cell>
          <cell r="F286">
            <v>40.56</v>
          </cell>
          <cell r="G286">
            <v>43.050000000000011</v>
          </cell>
          <cell r="H286">
            <v>43.849999999999994</v>
          </cell>
          <cell r="I286">
            <v>41.389999999999986</v>
          </cell>
          <cell r="J286">
            <v>42.460000000000036</v>
          </cell>
          <cell r="K286">
            <v>48.539999999999964</v>
          </cell>
          <cell r="L286">
            <v>49.519065460807838</v>
          </cell>
          <cell r="M286">
            <v>49.041680632170028</v>
          </cell>
          <cell r="N286">
            <v>49.127327239255237</v>
          </cell>
          <cell r="O286">
            <v>42.450063983166842</v>
          </cell>
          <cell r="P286">
            <v>43.150783253675939</v>
          </cell>
          <cell r="Q286">
            <v>42.706187225110341</v>
          </cell>
          <cell r="R286">
            <v>43.488218950971003</v>
          </cell>
          <cell r="S286">
            <v>41.829934809386998</v>
          </cell>
          <cell r="T286">
            <v>42.051353430564376</v>
          </cell>
          <cell r="U286">
            <v>41.70744791256547</v>
          </cell>
          <cell r="V286">
            <v>41.480611601720938</v>
          </cell>
          <cell r="W286">
            <v>41.518299877666038</v>
          </cell>
          <cell r="X286">
            <v>43.206420571039899</v>
          </cell>
          <cell r="Y286">
            <v>41.229356428753647</v>
          </cell>
          <cell r="Z286">
            <v>41.881049533637537</v>
          </cell>
          <cell r="AA286">
            <v>42.450063983166842</v>
          </cell>
          <cell r="AB286">
            <v>43.150783253675939</v>
          </cell>
          <cell r="AC286">
            <v>42.706187225110341</v>
          </cell>
          <cell r="AD286">
            <v>43.488218950971003</v>
          </cell>
          <cell r="AE286">
            <v>41.829934809386998</v>
          </cell>
          <cell r="AF286">
            <v>42.051353430564376</v>
          </cell>
        </row>
        <row r="287">
          <cell r="D287">
            <v>8190</v>
          </cell>
          <cell r="F287">
            <v>128.16</v>
          </cell>
          <cell r="G287">
            <v>845.37</v>
          </cell>
          <cell r="H287">
            <v>139.44999999999999</v>
          </cell>
          <cell r="I287">
            <v>9.6199999999999992</v>
          </cell>
          <cell r="J287">
            <v>12.11</v>
          </cell>
          <cell r="K287">
            <v>1762.6</v>
          </cell>
          <cell r="L287">
            <v>552.13424494998333</v>
          </cell>
          <cell r="M287">
            <v>546.8114362608909</v>
          </cell>
          <cell r="N287">
            <v>547.7663901618879</v>
          </cell>
          <cell r="O287">
            <v>473.3153545471198</v>
          </cell>
          <cell r="P287">
            <v>481.1283272222737</v>
          </cell>
          <cell r="Q287">
            <v>476.17111144577422</v>
          </cell>
          <cell r="R287">
            <v>484.89071252198471</v>
          </cell>
          <cell r="S287">
            <v>466.40095602303239</v>
          </cell>
          <cell r="T287">
            <v>468.86975873738112</v>
          </cell>
          <cell r="U287">
            <v>465.03523537254159</v>
          </cell>
          <cell r="V287">
            <v>462.50602578326732</v>
          </cell>
          <cell r="W287">
            <v>462.92624752187987</v>
          </cell>
          <cell r="X287">
            <v>481.74867956390045</v>
          </cell>
          <cell r="Y287">
            <v>459.70454752585033</v>
          </cell>
          <cell r="Z287">
            <v>466.97088175602573</v>
          </cell>
          <cell r="AA287">
            <v>473.3153545471198</v>
          </cell>
          <cell r="AB287">
            <v>481.1283272222737</v>
          </cell>
          <cell r="AC287">
            <v>476.17111144577422</v>
          </cell>
          <cell r="AD287">
            <v>484.89071252198471</v>
          </cell>
          <cell r="AE287">
            <v>466.40095602303239</v>
          </cell>
          <cell r="AF287">
            <v>468.86975873738112</v>
          </cell>
        </row>
        <row r="288">
          <cell r="D288">
            <v>8200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D289">
            <v>8210</v>
          </cell>
          <cell r="F289">
            <v>541.9799999999999</v>
          </cell>
          <cell r="G289">
            <v>411.51</v>
          </cell>
          <cell r="H289">
            <v>340.43</v>
          </cell>
          <cell r="I289">
            <v>175.55</v>
          </cell>
          <cell r="J289">
            <v>119.37</v>
          </cell>
          <cell r="K289">
            <v>128.78</v>
          </cell>
          <cell r="L289">
            <v>327.32321422664131</v>
          </cell>
          <cell r="M289">
            <v>324.16767938205834</v>
          </cell>
          <cell r="N289">
            <v>324.73380724529363</v>
          </cell>
          <cell r="O289">
            <v>280.59680161157206</v>
          </cell>
          <cell r="P289">
            <v>285.22858700088068</v>
          </cell>
          <cell r="Q289">
            <v>282.28978757588612</v>
          </cell>
          <cell r="R289">
            <v>287.45905189365698</v>
          </cell>
          <cell r="S289">
            <v>276.49772032826343</v>
          </cell>
          <cell r="T289">
            <v>277.96130721341541</v>
          </cell>
          <cell r="U289">
            <v>275.68807651945593</v>
          </cell>
          <cell r="V289">
            <v>274.18867846583748</v>
          </cell>
          <cell r="W289">
            <v>274.43779963777826</v>
          </cell>
          <cell r="X289">
            <v>285.59635213095828</v>
          </cell>
          <cell r="Y289">
            <v>272.52787065289908</v>
          </cell>
          <cell r="Z289">
            <v>276.83559091770809</v>
          </cell>
          <cell r="AA289">
            <v>280.59680161157206</v>
          </cell>
          <cell r="AB289">
            <v>285.22858700088068</v>
          </cell>
          <cell r="AC289">
            <v>282.28978757588612</v>
          </cell>
          <cell r="AD289">
            <v>287.45905189365698</v>
          </cell>
          <cell r="AE289">
            <v>276.49772032826343</v>
          </cell>
          <cell r="AF289">
            <v>277.96130721341541</v>
          </cell>
        </row>
        <row r="290">
          <cell r="D290">
            <v>8240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D291">
            <v>8250</v>
          </cell>
          <cell r="F291">
            <v>2034.2599999999998</v>
          </cell>
          <cell r="G291">
            <v>-180.12</v>
          </cell>
          <cell r="H291">
            <v>1203.19</v>
          </cell>
          <cell r="I291">
            <v>2816.67</v>
          </cell>
          <cell r="J291">
            <v>1847.3300000000004</v>
          </cell>
          <cell r="K291">
            <v>708.87</v>
          </cell>
          <cell r="L291">
            <v>1606.5254017614097</v>
          </cell>
          <cell r="M291">
            <v>1591.0378143749076</v>
          </cell>
          <cell r="N291">
            <v>1593.8164098224725</v>
          </cell>
          <cell r="O291">
            <v>1377.1888758548896</v>
          </cell>
          <cell r="P291">
            <v>1399.9220049456953</v>
          </cell>
          <cell r="Q291">
            <v>1385.4981702717923</v>
          </cell>
          <cell r="R291">
            <v>1410.8692838194174</v>
          </cell>
          <cell r="S291">
            <v>1357.070296055779</v>
          </cell>
          <cell r="T291">
            <v>1364.2536836264917</v>
          </cell>
          <cell r="U291">
            <v>1353.0965071868736</v>
          </cell>
          <cell r="V291">
            <v>1345.7373558777283</v>
          </cell>
          <cell r="W291">
            <v>1346.9600601450838</v>
          </cell>
          <cell r="X291">
            <v>1401.7270221203787</v>
          </cell>
          <cell r="Y291">
            <v>1337.585994095359</v>
          </cell>
          <cell r="Z291">
            <v>1358.7285887183798</v>
          </cell>
          <cell r="AA291">
            <v>1377.1888758548896</v>
          </cell>
          <cell r="AB291">
            <v>1399.9220049456953</v>
          </cell>
          <cell r="AC291">
            <v>1385.4981702717923</v>
          </cell>
          <cell r="AD291">
            <v>1410.8692838194174</v>
          </cell>
          <cell r="AE291">
            <v>1357.070296055779</v>
          </cell>
          <cell r="AF291">
            <v>1364.2536836264917</v>
          </cell>
        </row>
        <row r="292">
          <cell r="D292">
            <v>8310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D293">
            <v>8320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D294">
            <v>8340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D295">
            <v>8350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D296">
            <v>8360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D297">
            <v>8370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D298">
            <v>8400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D299">
            <v>8410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D300">
            <v>8470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D301">
            <v>8500</v>
          </cell>
          <cell r="F301">
            <v>4.38</v>
          </cell>
          <cell r="G301">
            <v>29.66</v>
          </cell>
          <cell r="H301">
            <v>0</v>
          </cell>
          <cell r="I301">
            <v>0</v>
          </cell>
          <cell r="J301">
            <v>8377.74</v>
          </cell>
          <cell r="K301">
            <v>0</v>
          </cell>
          <cell r="L301">
            <v>6320.0316370470173</v>
          </cell>
          <cell r="M301">
            <v>6417.1027489923435</v>
          </cell>
          <cell r="N301">
            <v>6659.2576150724317</v>
          </cell>
          <cell r="O301">
            <v>6696.4044167520033</v>
          </cell>
          <cell r="P301">
            <v>6860.1139119980571</v>
          </cell>
          <cell r="Q301">
            <v>6987.1158933009101</v>
          </cell>
          <cell r="R301">
            <v>7361.7888327476376</v>
          </cell>
          <cell r="S301">
            <v>7086.3649409126756</v>
          </cell>
          <cell r="T301">
            <v>7339.0703562190738</v>
          </cell>
          <cell r="U301">
            <v>8318.3193290533382</v>
          </cell>
          <cell r="V301">
            <v>6960.8831488267606</v>
          </cell>
          <cell r="W301">
            <v>6690.2217428700806</v>
          </cell>
          <cell r="X301">
            <v>6736.6597645958045</v>
          </cell>
          <cell r="Y301">
            <v>6762.1472282883724</v>
          </cell>
          <cell r="Z301">
            <v>8625.49180109806</v>
          </cell>
          <cell r="AA301">
            <v>6696.4044167520033</v>
          </cell>
          <cell r="AB301">
            <v>6860.1139119980571</v>
          </cell>
          <cell r="AC301">
            <v>6987.1158933009101</v>
          </cell>
          <cell r="AD301">
            <v>7361.7888327476376</v>
          </cell>
          <cell r="AE301">
            <v>7086.3649409126756</v>
          </cell>
          <cell r="AF301">
            <v>7339.0703562190738</v>
          </cell>
        </row>
        <row r="302">
          <cell r="D302">
            <v>8520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D303">
            <v>8560</v>
          </cell>
          <cell r="F303">
            <v>52.150000000000034</v>
          </cell>
          <cell r="G303">
            <v>55.350000000000023</v>
          </cell>
          <cell r="H303">
            <v>-5.589999999999975</v>
          </cell>
          <cell r="I303">
            <v>115.19</v>
          </cell>
          <cell r="J303">
            <v>188.96999999999997</v>
          </cell>
          <cell r="K303">
            <v>62.399999999999977</v>
          </cell>
          <cell r="L303">
            <v>71.357679008849502</v>
          </cell>
          <cell r="M303">
            <v>89.142879193792652</v>
          </cell>
          <cell r="N303">
            <v>99.581167574902651</v>
          </cell>
          <cell r="O303">
            <v>78.863754640246754</v>
          </cell>
          <cell r="P303">
            <v>84.160059462032748</v>
          </cell>
          <cell r="Q303">
            <v>65.919388769020557</v>
          </cell>
          <cell r="R303">
            <v>89.901724253433798</v>
          </cell>
          <cell r="S303">
            <v>58.524034990340432</v>
          </cell>
          <cell r="T303">
            <v>92.00585076517433</v>
          </cell>
          <cell r="U303">
            <v>74.620568826680255</v>
          </cell>
          <cell r="V303">
            <v>72.977126069074529</v>
          </cell>
          <cell r="W303">
            <v>77.25005234639994</v>
          </cell>
          <cell r="X303">
            <v>80.161700345523485</v>
          </cell>
          <cell r="Y303">
            <v>80.663095239926136</v>
          </cell>
          <cell r="Z303">
            <v>75.376423215234894</v>
          </cell>
          <cell r="AA303">
            <v>78.863754640246754</v>
          </cell>
          <cell r="AB303">
            <v>84.160059462032748</v>
          </cell>
          <cell r="AC303">
            <v>65.919388769020557</v>
          </cell>
          <cell r="AD303">
            <v>89.901724253433798</v>
          </cell>
          <cell r="AE303">
            <v>58.524034990340432</v>
          </cell>
          <cell r="AF303">
            <v>92.00585076517433</v>
          </cell>
        </row>
        <row r="304">
          <cell r="D304">
            <v>8570</v>
          </cell>
          <cell r="F304">
            <v>77.97</v>
          </cell>
          <cell r="G304">
            <v>82.74</v>
          </cell>
          <cell r="H304">
            <v>83.69</v>
          </cell>
          <cell r="I304">
            <v>79.56</v>
          </cell>
          <cell r="J304">
            <v>81.62</v>
          </cell>
          <cell r="K304">
            <v>93.29</v>
          </cell>
          <cell r="L304">
            <v>95.068601833493204</v>
          </cell>
          <cell r="M304">
            <v>94.152100123035055</v>
          </cell>
          <cell r="N304">
            <v>94.316527765431047</v>
          </cell>
          <cell r="O304">
            <v>81.497261571223532</v>
          </cell>
          <cell r="P304">
            <v>82.842529312146681</v>
          </cell>
          <cell r="Q304">
            <v>81.988976798117363</v>
          </cell>
          <cell r="R304">
            <v>83.490351310644186</v>
          </cell>
          <cell r="S304">
            <v>80.306713790105363</v>
          </cell>
          <cell r="T304">
            <v>80.731801754495493</v>
          </cell>
          <cell r="U304">
            <v>80.071558745974656</v>
          </cell>
          <cell r="V304">
            <v>79.636069693094143</v>
          </cell>
          <cell r="W304">
            <v>79.708425091288206</v>
          </cell>
          <cell r="X304">
            <v>82.949343968730673</v>
          </cell>
          <cell r="Y304">
            <v>79.153700371800383</v>
          </cell>
          <cell r="Z304">
            <v>80.404845798906081</v>
          </cell>
          <cell r="AA304">
            <v>81.497261571223532</v>
          </cell>
          <cell r="AB304">
            <v>82.842529312146681</v>
          </cell>
          <cell r="AC304">
            <v>81.988976798117363</v>
          </cell>
          <cell r="AD304">
            <v>83.490351310644186</v>
          </cell>
          <cell r="AE304">
            <v>80.306713790105363</v>
          </cell>
          <cell r="AF304">
            <v>80.731801754495493</v>
          </cell>
        </row>
        <row r="305">
          <cell r="D305">
            <v>8580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D306">
            <v>8590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D307">
            <v>8600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D308">
            <v>8620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D309">
            <v>8630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D310">
            <v>8640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D311">
            <v>8650</v>
          </cell>
          <cell r="F311">
            <v>0</v>
          </cell>
          <cell r="G311">
            <v>0</v>
          </cell>
          <cell r="H311">
            <v>0</v>
          </cell>
          <cell r="I311">
            <v>5332.5</v>
          </cell>
          <cell r="J311">
            <v>0</v>
          </cell>
          <cell r="K311">
            <v>0</v>
          </cell>
          <cell r="L311">
            <v>4023.9077890941535</v>
          </cell>
          <cell r="M311">
            <v>4084.5749080028245</v>
          </cell>
          <cell r="N311">
            <v>4239.1592945024722</v>
          </cell>
          <cell r="O311">
            <v>4264.3130924060515</v>
          </cell>
          <cell r="P311">
            <v>4363.3947468683791</v>
          </cell>
          <cell r="Q311">
            <v>4449.1890820726312</v>
          </cell>
          <cell r="R311">
            <v>4687.9531139649853</v>
          </cell>
          <cell r="S311">
            <v>4513.4808199829013</v>
          </cell>
          <cell r="T311">
            <v>4672.1393571348917</v>
          </cell>
          <cell r="U311">
            <v>5298.0477130803256</v>
          </cell>
          <cell r="V311">
            <v>4433.4157482436904</v>
          </cell>
          <cell r="W311">
            <v>4257.702537821061</v>
          </cell>
          <cell r="X311">
            <v>4288.9345333234214</v>
          </cell>
          <cell r="Y311">
            <v>4305.7048516894029</v>
          </cell>
          <cell r="Z311">
            <v>5491.3178316544627</v>
          </cell>
          <cell r="AA311">
            <v>4264.3130924060515</v>
          </cell>
          <cell r="AB311">
            <v>4363.3947468683791</v>
          </cell>
          <cell r="AC311">
            <v>4449.1890820726312</v>
          </cell>
          <cell r="AD311">
            <v>4687.9531139649853</v>
          </cell>
          <cell r="AE311">
            <v>4513.4808199829013</v>
          </cell>
          <cell r="AF311">
            <v>4672.1393571348917</v>
          </cell>
        </row>
        <row r="312">
          <cell r="D312">
            <v>8670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D313">
            <v>8700</v>
          </cell>
          <cell r="F313">
            <v>283962.53999999998</v>
          </cell>
          <cell r="G313">
            <v>213337.95</v>
          </cell>
          <cell r="H313">
            <v>226916.22999999998</v>
          </cell>
          <cell r="I313">
            <v>265866.61</v>
          </cell>
          <cell r="J313">
            <v>222877.16999999998</v>
          </cell>
          <cell r="K313">
            <v>228999.6099999999</v>
          </cell>
          <cell r="L313">
            <v>277585.56687904592</v>
          </cell>
          <cell r="M313">
            <v>309507.96918270743</v>
          </cell>
          <cell r="N313">
            <v>315310.28808785614</v>
          </cell>
          <cell r="O313">
            <v>259992.46693498504</v>
          </cell>
          <cell r="P313">
            <v>304990.55807713856</v>
          </cell>
          <cell r="Q313">
            <v>263558.44228247023</v>
          </cell>
          <cell r="R313">
            <v>299462.41830087686</v>
          </cell>
          <cell r="S313">
            <v>280786.30787739943</v>
          </cell>
          <cell r="T313">
            <v>299453.43582413951</v>
          </cell>
          <cell r="U313">
            <v>275736.39491261786</v>
          </cell>
          <cell r="V313">
            <v>297424.92548677098</v>
          </cell>
          <cell r="W313">
            <v>290308.89154495514</v>
          </cell>
          <cell r="X313">
            <v>266473.99656340276</v>
          </cell>
          <cell r="Y313">
            <v>279195.67115997849</v>
          </cell>
          <cell r="Z313">
            <v>290705.14564415946</v>
          </cell>
          <cell r="AA313">
            <v>263463.26119267487</v>
          </cell>
          <cell r="AB313">
            <v>308461.35233482841</v>
          </cell>
          <cell r="AC313">
            <v>266872.54038288497</v>
          </cell>
          <cell r="AD313">
            <v>303089.90929767932</v>
          </cell>
          <cell r="AE313">
            <v>283943.70923870167</v>
          </cell>
          <cell r="AF313">
            <v>302924.23008182942</v>
          </cell>
        </row>
        <row r="314">
          <cell r="D314">
            <v>8710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D315">
            <v>8711</v>
          </cell>
          <cell r="F315">
            <v>11656.150000000001</v>
          </cell>
          <cell r="G315">
            <v>3070.17</v>
          </cell>
          <cell r="H315">
            <v>19229.599999999999</v>
          </cell>
          <cell r="I315">
            <v>4460.67</v>
          </cell>
          <cell r="J315">
            <v>0</v>
          </cell>
          <cell r="K315">
            <v>6557.9699999999993</v>
          </cell>
          <cell r="L315">
            <v>2573.9898582355681</v>
          </cell>
          <cell r="M315">
            <v>8731.7947727328283</v>
          </cell>
          <cell r="N315">
            <v>12188.447569604032</v>
          </cell>
          <cell r="O315">
            <v>8127.9410753636785</v>
          </cell>
          <cell r="P315">
            <v>9598.9980041400049</v>
          </cell>
          <cell r="Q315">
            <v>3685.4852452222749</v>
          </cell>
          <cell r="R315">
            <v>11375.430406451404</v>
          </cell>
          <cell r="S315">
            <v>1587.4467325980484</v>
          </cell>
          <cell r="T315">
            <v>12697.929211079232</v>
          </cell>
          <cell r="U315">
            <v>7027.3723298555979</v>
          </cell>
          <cell r="V315">
            <v>6574.9497540886368</v>
          </cell>
          <cell r="W315">
            <v>7988.8037103075239</v>
          </cell>
          <cell r="X315">
            <v>8236.8785602089156</v>
          </cell>
          <cell r="Y315">
            <v>9255.4204016723652</v>
          </cell>
          <cell r="Z315">
            <v>7205.6420788337955</v>
          </cell>
          <cell r="AA315">
            <v>8127.9410753636785</v>
          </cell>
          <cell r="AB315">
            <v>9598.9980041400049</v>
          </cell>
          <cell r="AC315">
            <v>3685.4852452222749</v>
          </cell>
          <cell r="AD315">
            <v>11375.430406451404</v>
          </cell>
          <cell r="AE315">
            <v>1587.4467325980484</v>
          </cell>
          <cell r="AF315">
            <v>12697.929211079232</v>
          </cell>
        </row>
        <row r="316">
          <cell r="D316">
            <v>8720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D317">
            <v>8740</v>
          </cell>
          <cell r="F317">
            <v>3328.4399999999996</v>
          </cell>
          <cell r="G317">
            <v>2157.3299999999986</v>
          </cell>
          <cell r="H317">
            <v>2696.0100000000011</v>
          </cell>
          <cell r="I317">
            <v>-338.24999999999886</v>
          </cell>
          <cell r="J317">
            <v>5079.2799999999952</v>
          </cell>
          <cell r="K317">
            <v>2832.9099999999994</v>
          </cell>
          <cell r="L317">
            <v>2306.8534449320514</v>
          </cell>
          <cell r="M317">
            <v>2555.7007167880374</v>
          </cell>
          <cell r="N317">
            <v>3556.0894908454443</v>
          </cell>
          <cell r="O317">
            <v>1748.759481340657</v>
          </cell>
          <cell r="P317">
            <v>2213.4161061606551</v>
          </cell>
          <cell r="Q317">
            <v>1844.6534552949045</v>
          </cell>
          <cell r="R317">
            <v>2751.948727615702</v>
          </cell>
          <cell r="S317">
            <v>1532.5645370854688</v>
          </cell>
          <cell r="T317">
            <v>2985.8063713916372</v>
          </cell>
          <cell r="U317">
            <v>2675.929590510671</v>
          </cell>
          <cell r="V317">
            <v>1924.6730834617138</v>
          </cell>
          <cell r="W317">
            <v>2714.1373306586083</v>
          </cell>
          <cell r="X317">
            <v>2405.9395027209712</v>
          </cell>
          <cell r="Y317">
            <v>2285.1064785644153</v>
          </cell>
          <cell r="Z317">
            <v>3601.1133828692673</v>
          </cell>
          <cell r="AA317">
            <v>1748.759481340657</v>
          </cell>
          <cell r="AB317">
            <v>2213.4161061606551</v>
          </cell>
          <cell r="AC317">
            <v>1844.6534552949045</v>
          </cell>
          <cell r="AD317">
            <v>2751.948727615702</v>
          </cell>
          <cell r="AE317">
            <v>1532.5645370854688</v>
          </cell>
          <cell r="AF317">
            <v>2985.8063713916372</v>
          </cell>
        </row>
        <row r="318">
          <cell r="D318">
            <v>8750</v>
          </cell>
          <cell r="F318">
            <v>14203.79</v>
          </cell>
          <cell r="G318">
            <v>17002.429999999997</v>
          </cell>
          <cell r="H318">
            <v>17962.98</v>
          </cell>
          <cell r="I318">
            <v>17197.18</v>
          </cell>
          <cell r="J318">
            <v>24572.999999999996</v>
          </cell>
          <cell r="K318">
            <v>16679.78</v>
          </cell>
          <cell r="L318">
            <v>15439.551821733447</v>
          </cell>
          <cell r="M318">
            <v>19027.780130014351</v>
          </cell>
          <cell r="N318">
            <v>19050.116256029454</v>
          </cell>
          <cell r="O318">
            <v>17435.631774128415</v>
          </cell>
          <cell r="P318">
            <v>18735.165286343774</v>
          </cell>
          <cell r="Q318">
            <v>15285.677649070971</v>
          </cell>
          <cell r="R318">
            <v>18525.441973492827</v>
          </cell>
          <cell r="S318">
            <v>13221.403812780294</v>
          </cell>
          <cell r="T318">
            <v>23001.536385747575</v>
          </cell>
          <cell r="U318">
            <v>17297.994164726439</v>
          </cell>
          <cell r="V318">
            <v>16559.567156563859</v>
          </cell>
          <cell r="W318">
            <v>18390.692609707501</v>
          </cell>
          <cell r="X318">
            <v>17505.846634703768</v>
          </cell>
          <cell r="Y318">
            <v>18749.835368179814</v>
          </cell>
          <cell r="Z318">
            <v>16579.511711918367</v>
          </cell>
          <cell r="AA318">
            <v>17611.488415407897</v>
          </cell>
          <cell r="AB318">
            <v>18911.021927623256</v>
          </cell>
          <cell r="AC318">
            <v>15453.594879980981</v>
          </cell>
          <cell r="AD318">
            <v>18709.238054622059</v>
          </cell>
          <cell r="AE318">
            <v>13381.381603840555</v>
          </cell>
          <cell r="AF318">
            <v>23177.393027027058</v>
          </cell>
        </row>
        <row r="319">
          <cell r="D319">
            <v>8760</v>
          </cell>
          <cell r="F319">
            <v>5809.56</v>
          </cell>
          <cell r="G319">
            <v>-6411.82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-34.468622528401639</v>
          </cell>
          <cell r="M319">
            <v>-116.92856405545864</v>
          </cell>
          <cell r="N319">
            <v>-163.21703721547729</v>
          </cell>
          <cell r="O319">
            <v>-108.84228310512705</v>
          </cell>
          <cell r="P319">
            <v>-128.54139179957184</v>
          </cell>
          <cell r="Q319">
            <v>-49.352797310025153</v>
          </cell>
          <cell r="R319">
            <v>-152.32982193910101</v>
          </cell>
          <cell r="S319">
            <v>-21.257699223171933</v>
          </cell>
          <cell r="T319">
            <v>-170.0395700739389</v>
          </cell>
          <cell r="U319">
            <v>-94.104428356360287</v>
          </cell>
          <cell r="V319">
            <v>-88.045980636551377</v>
          </cell>
          <cell r="W319">
            <v>-106.97907711759278</v>
          </cell>
          <cell r="X319">
            <v>-110.30107869140721</v>
          </cell>
          <cell r="Y319">
            <v>-123.94050083227478</v>
          </cell>
          <cell r="Z319">
            <v>-96.491661027888583</v>
          </cell>
          <cell r="AA319">
            <v>-108.84228310512705</v>
          </cell>
          <cell r="AB319">
            <v>-128.54139179957184</v>
          </cell>
          <cell r="AC319">
            <v>-49.352797310025153</v>
          </cell>
          <cell r="AD319">
            <v>-152.32982193910101</v>
          </cell>
          <cell r="AE319">
            <v>-21.257699223171933</v>
          </cell>
          <cell r="AF319">
            <v>-170.0395700739389</v>
          </cell>
        </row>
        <row r="320">
          <cell r="D320">
            <v>8770</v>
          </cell>
          <cell r="F320">
            <v>0</v>
          </cell>
          <cell r="G320">
            <v>0</v>
          </cell>
          <cell r="H320">
            <v>21.24</v>
          </cell>
          <cell r="I320">
            <v>154.77000000000001</v>
          </cell>
          <cell r="J320">
            <v>197.76</v>
          </cell>
          <cell r="K320">
            <v>-19.96</v>
          </cell>
          <cell r="L320">
            <v>20.249299865131</v>
          </cell>
          <cell r="M320">
            <v>68.692085226416935</v>
          </cell>
          <cell r="N320">
            <v>95.885198979191841</v>
          </cell>
          <cell r="O320">
            <v>63.941633489564374</v>
          </cell>
          <cell r="P320">
            <v>75.514279269097329</v>
          </cell>
          <cell r="Q320">
            <v>28.993313878158961</v>
          </cell>
          <cell r="R320">
            <v>89.489280875823368</v>
          </cell>
          <cell r="S320">
            <v>12.4882717798799</v>
          </cell>
          <cell r="T320">
            <v>99.893235957660124</v>
          </cell>
          <cell r="U320">
            <v>55.283578183448789</v>
          </cell>
          <cell r="V320">
            <v>51.72441870457655</v>
          </cell>
          <cell r="W320">
            <v>62.847054884892806</v>
          </cell>
          <cell r="X320">
            <v>64.798632902412294</v>
          </cell>
          <cell r="Y320">
            <v>72.811391424745437</v>
          </cell>
          <cell r="Z320">
            <v>56.686007020684244</v>
          </cell>
          <cell r="AA320">
            <v>63.941633489564374</v>
          </cell>
          <cell r="AB320">
            <v>75.514279269097329</v>
          </cell>
          <cell r="AC320">
            <v>28.993313878158961</v>
          </cell>
          <cell r="AD320">
            <v>89.489280875823368</v>
          </cell>
          <cell r="AE320">
            <v>12.4882717798799</v>
          </cell>
          <cell r="AF320">
            <v>99.893235957660124</v>
          </cell>
        </row>
        <row r="321">
          <cell r="D321">
            <v>8780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D322">
            <v>8790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D323">
            <v>8800</v>
          </cell>
          <cell r="F323">
            <v>7.22</v>
          </cell>
          <cell r="G323">
            <v>0</v>
          </cell>
          <cell r="H323">
            <v>201.67</v>
          </cell>
          <cell r="I323">
            <v>0</v>
          </cell>
          <cell r="J323">
            <v>0</v>
          </cell>
          <cell r="K323">
            <v>0</v>
          </cell>
          <cell r="L323">
            <v>43.722599860356887</v>
          </cell>
          <cell r="M323">
            <v>51.526180305346564</v>
          </cell>
          <cell r="N323">
            <v>50.725774603207604</v>
          </cell>
          <cell r="O323">
            <v>42.221944945934013</v>
          </cell>
          <cell r="P323">
            <v>75.016584643669106</v>
          </cell>
          <cell r="Q323">
            <v>45.726111016051902</v>
          </cell>
          <cell r="R323">
            <v>49.003877749065268</v>
          </cell>
          <cell r="S323">
            <v>39.21016432684879</v>
          </cell>
          <cell r="T323">
            <v>54.650791018153157</v>
          </cell>
          <cell r="U323">
            <v>45.81368014339472</v>
          </cell>
          <cell r="V323">
            <v>40.103198435586464</v>
          </cell>
          <cell r="W323">
            <v>59.358833228563022</v>
          </cell>
          <cell r="X323">
            <v>48.649024452875622</v>
          </cell>
          <cell r="Y323">
            <v>45.111800112604683</v>
          </cell>
          <cell r="Z323">
            <v>62.425843899247646</v>
          </cell>
          <cell r="AA323">
            <v>42.221944945934013</v>
          </cell>
          <cell r="AB323">
            <v>75.016584643669106</v>
          </cell>
          <cell r="AC323">
            <v>45.726111016051902</v>
          </cell>
          <cell r="AD323">
            <v>49.003877749065268</v>
          </cell>
          <cell r="AE323">
            <v>39.21016432684879</v>
          </cell>
          <cell r="AF323">
            <v>54.650791018153157</v>
          </cell>
        </row>
        <row r="324">
          <cell r="D324">
            <v>8810</v>
          </cell>
          <cell r="F324">
            <v>26101.8</v>
          </cell>
          <cell r="G324">
            <v>39903.569999999985</v>
          </cell>
          <cell r="H324">
            <v>7661.82</v>
          </cell>
          <cell r="I324">
            <v>22113.65</v>
          </cell>
          <cell r="J324">
            <v>23129.930000000004</v>
          </cell>
          <cell r="K324">
            <v>22121.930000000008</v>
          </cell>
          <cell r="L324">
            <v>26876.303649853653</v>
          </cell>
          <cell r="M324">
            <v>26617.204664585886</v>
          </cell>
          <cell r="N324">
            <v>26663.689068061231</v>
          </cell>
          <cell r="O324">
            <v>23039.627241557715</v>
          </cell>
          <cell r="P324">
            <v>23419.940232367524</v>
          </cell>
          <cell r="Q324">
            <v>23178.637256351038</v>
          </cell>
          <cell r="R324">
            <v>23603.082304585743</v>
          </cell>
          <cell r="S324">
            <v>22703.054250497698</v>
          </cell>
          <cell r="T324">
            <v>22823.228450901508</v>
          </cell>
          <cell r="U324">
            <v>22636.574905593472</v>
          </cell>
          <cell r="V324">
            <v>22513.460272626606</v>
          </cell>
          <cell r="W324">
            <v>22533.915455674061</v>
          </cell>
          <cell r="X324">
            <v>23450.137196341326</v>
          </cell>
          <cell r="Y324">
            <v>22377.092385643569</v>
          </cell>
          <cell r="Z324">
            <v>22730.796592505816</v>
          </cell>
          <cell r="AA324">
            <v>23039.627241557715</v>
          </cell>
          <cell r="AB324">
            <v>23419.940232367524</v>
          </cell>
          <cell r="AC324">
            <v>23178.637256351038</v>
          </cell>
          <cell r="AD324">
            <v>23603.082304585743</v>
          </cell>
          <cell r="AE324">
            <v>22703.054250497698</v>
          </cell>
          <cell r="AF324">
            <v>22823.228450901508</v>
          </cell>
        </row>
        <row r="325">
          <cell r="D325">
            <v>8850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D326">
            <v>8860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D327">
            <v>8870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D328">
            <v>8890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D329">
            <v>8900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D330">
            <v>8910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D331">
            <v>8920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D332">
            <v>8930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D333">
            <v>8940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D334">
            <v>8950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D335">
            <v>9010</v>
          </cell>
          <cell r="F335">
            <v>2224.7800000000002</v>
          </cell>
          <cell r="G335">
            <v>2129.21</v>
          </cell>
          <cell r="H335">
            <v>2392.91</v>
          </cell>
          <cell r="I335">
            <v>2130.86</v>
          </cell>
          <cell r="J335">
            <v>2375.35</v>
          </cell>
          <cell r="K335">
            <v>1986.12</v>
          </cell>
          <cell r="L335">
            <v>2027.0635994460692</v>
          </cell>
          <cell r="M335">
            <v>2227.4906203635287</v>
          </cell>
          <cell r="N335">
            <v>2042.2348812632815</v>
          </cell>
          <cell r="O335">
            <v>1876.7858203186709</v>
          </cell>
          <cell r="P335">
            <v>1950.2287772661598</v>
          </cell>
          <cell r="Q335">
            <v>1803.4902502132636</v>
          </cell>
          <cell r="R335">
            <v>1967.5180864197648</v>
          </cell>
          <cell r="S335">
            <v>1709.1492302647221</v>
          </cell>
          <cell r="T335">
            <v>1905.103292866374</v>
          </cell>
          <cell r="U335">
            <v>1805.6911196453659</v>
          </cell>
          <cell r="V335">
            <v>1951.6249642302364</v>
          </cell>
          <cell r="W335">
            <v>1832.8794173703373</v>
          </cell>
          <cell r="X335">
            <v>1891.2930107854086</v>
          </cell>
          <cell r="Y335">
            <v>1964.8625946454281</v>
          </cell>
          <cell r="Z335">
            <v>1761.3954513065096</v>
          </cell>
          <cell r="AA335">
            <v>1930.3869147595242</v>
          </cell>
          <cell r="AB335">
            <v>2003.8298717070131</v>
          </cell>
          <cell r="AC335">
            <v>1854.6714128168976</v>
          </cell>
          <cell r="AD335">
            <v>2023.5391216834253</v>
          </cell>
          <cell r="AE335">
            <v>1757.9104520455489</v>
          </cell>
          <cell r="AF335">
            <v>1958.7043873072273</v>
          </cell>
        </row>
        <row r="336">
          <cell r="D336">
            <v>9020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-90</v>
          </cell>
          <cell r="K336">
            <v>0</v>
          </cell>
          <cell r="L336">
            <v>-67.914055512137608</v>
          </cell>
          <cell r="M336">
            <v>-68.937973130849372</v>
          </cell>
          <cell r="N336">
            <v>-71.546992312278007</v>
          </cell>
          <cell r="O336">
            <v>-71.971528985756137</v>
          </cell>
          <cell r="P336">
            <v>-73.643793196090783</v>
          </cell>
          <cell r="Q336">
            <v>-75.091798853546521</v>
          </cell>
          <cell r="R336">
            <v>-79.121571543712832</v>
          </cell>
          <cell r="S336">
            <v>-76.176891476504665</v>
          </cell>
          <cell r="T336">
            <v>-78.85467269425979</v>
          </cell>
          <cell r="U336">
            <v>-89.418526803043477</v>
          </cell>
          <cell r="V336">
            <v>-74.825582248838657</v>
          </cell>
          <cell r="W336">
            <v>-71.859958444237321</v>
          </cell>
          <cell r="X336">
            <v>-72.387080731196988</v>
          </cell>
          <cell r="Y336">
            <v>-72.670124079146035</v>
          </cell>
          <cell r="Z336">
            <v>-92.680469732564774</v>
          </cell>
          <cell r="AA336">
            <v>-71.971528985756137</v>
          </cell>
          <cell r="AB336">
            <v>-73.643793196090783</v>
          </cell>
          <cell r="AC336">
            <v>-75.091798853546521</v>
          </cell>
          <cell r="AD336">
            <v>-79.121571543712832</v>
          </cell>
          <cell r="AE336">
            <v>-76.176891476504665</v>
          </cell>
          <cell r="AF336">
            <v>-78.85467269425979</v>
          </cell>
        </row>
        <row r="337">
          <cell r="D337">
            <v>9030</v>
          </cell>
          <cell r="F337">
            <v>258815.49000000002</v>
          </cell>
          <cell r="G337">
            <v>236243.71000000002</v>
          </cell>
          <cell r="H337">
            <v>-219998.26999999996</v>
          </cell>
          <cell r="I337">
            <v>155498.62</v>
          </cell>
          <cell r="J337">
            <v>160887.69</v>
          </cell>
          <cell r="K337">
            <v>154332.60999999999</v>
          </cell>
          <cell r="L337">
            <v>297001.53863653279</v>
          </cell>
          <cell r="M337">
            <v>306785.26802791713</v>
          </cell>
          <cell r="N337">
            <v>309333.1114503782</v>
          </cell>
          <cell r="O337">
            <v>305777.71600617748</v>
          </cell>
          <cell r="P337">
            <v>311450.9170103338</v>
          </cell>
          <cell r="Q337">
            <v>313593.40017580951</v>
          </cell>
          <cell r="R337">
            <v>332836.82764658082</v>
          </cell>
          <cell r="S337">
            <v>314498.01847611752</v>
          </cell>
          <cell r="T337">
            <v>329137.36364270753</v>
          </cell>
          <cell r="U337">
            <v>362213.71910749667</v>
          </cell>
          <cell r="V337">
            <v>318244.17642645363</v>
          </cell>
          <cell r="W337">
            <v>302626.57183763711</v>
          </cell>
          <cell r="X337">
            <v>307187.27779892366</v>
          </cell>
          <cell r="Y337">
            <v>310921.75353640475</v>
          </cell>
          <cell r="Z337">
            <v>370510.27305567672</v>
          </cell>
          <cell r="AA337">
            <v>307622.36908867885</v>
          </cell>
          <cell r="AB337">
            <v>313295.57009283517</v>
          </cell>
          <cell r="AC337">
            <v>315354.77259455703</v>
          </cell>
          <cell r="AD337">
            <v>334764.76170207036</v>
          </cell>
          <cell r="AE337">
            <v>316176.10992187692</v>
          </cell>
          <cell r="AF337">
            <v>330982.0167252089</v>
          </cell>
        </row>
        <row r="338">
          <cell r="D338">
            <v>9040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D339">
            <v>9070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D340">
            <v>9080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D341">
            <v>9090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D342">
            <v>9100</v>
          </cell>
          <cell r="F342">
            <v>204.4</v>
          </cell>
          <cell r="G342">
            <v>150.75</v>
          </cell>
          <cell r="H342">
            <v>130.11000000000001</v>
          </cell>
          <cell r="I342">
            <v>108.7</v>
          </cell>
          <cell r="J342">
            <v>10.050000000000001</v>
          </cell>
          <cell r="K342">
            <v>0</v>
          </cell>
          <cell r="L342">
            <v>53.684474199866678</v>
          </cell>
          <cell r="M342">
            <v>187.51491475779758</v>
          </cell>
          <cell r="N342">
            <v>149.8854460570829</v>
          </cell>
          <cell r="O342">
            <v>103.84502342344136</v>
          </cell>
          <cell r="P342">
            <v>102.59100089985874</v>
          </cell>
          <cell r="Q342">
            <v>93.093067977990714</v>
          </cell>
          <cell r="R342">
            <v>96.303385641379975</v>
          </cell>
          <cell r="S342">
            <v>127.9802479586352</v>
          </cell>
          <cell r="T342">
            <v>99.098057264286282</v>
          </cell>
          <cell r="U342">
            <v>129.95579600306419</v>
          </cell>
          <cell r="V342">
            <v>202.5173264555884</v>
          </cell>
          <cell r="W342">
            <v>96.246543732494999</v>
          </cell>
          <cell r="X342">
            <v>102.05258633769314</v>
          </cell>
          <cell r="Y342">
            <v>122.52359139749251</v>
          </cell>
          <cell r="Z342">
            <v>121.55091465295459</v>
          </cell>
          <cell r="AA342">
            <v>103.84502342344136</v>
          </cell>
          <cell r="AB342">
            <v>102.59100089985874</v>
          </cell>
          <cell r="AC342">
            <v>93.093067977990714</v>
          </cell>
          <cell r="AD342">
            <v>96.303385641379975</v>
          </cell>
          <cell r="AE342">
            <v>127.9802479586352</v>
          </cell>
          <cell r="AF342">
            <v>99.098057264286282</v>
          </cell>
        </row>
        <row r="343">
          <cell r="D343">
            <v>9110</v>
          </cell>
          <cell r="F343">
            <v>9137.0199999999986</v>
          </cell>
          <cell r="G343">
            <v>9790.74</v>
          </cell>
          <cell r="H343">
            <v>8775.6</v>
          </cell>
          <cell r="I343">
            <v>15140.27</v>
          </cell>
          <cell r="J343">
            <v>7192.99</v>
          </cell>
          <cell r="K343">
            <v>12703.89</v>
          </cell>
          <cell r="L343">
            <v>10347.698747033826</v>
          </cell>
          <cell r="M343">
            <v>11701.150244974573</v>
          </cell>
          <cell r="N343">
            <v>10923.464012732249</v>
          </cell>
          <cell r="O343">
            <v>9686.5078576716405</v>
          </cell>
          <cell r="P343">
            <v>12085.522334394489</v>
          </cell>
          <cell r="Q343">
            <v>9618.3420813806097</v>
          </cell>
          <cell r="R343">
            <v>10313.115695900418</v>
          </cell>
          <cell r="S343">
            <v>8899.2768583297675</v>
          </cell>
          <cell r="T343">
            <v>10607.642806666625</v>
          </cell>
          <cell r="U343">
            <v>9719.4268926922996</v>
          </cell>
          <cell r="V343">
            <v>9878.9403253874407</v>
          </cell>
          <cell r="W343">
            <v>10582.135111526617</v>
          </cell>
          <cell r="X343">
            <v>10159.029728322921</v>
          </cell>
          <cell r="Y343">
            <v>10243.952161814912</v>
          </cell>
          <cell r="Z343">
            <v>10601.143973816734</v>
          </cell>
          <cell r="AA343">
            <v>9886.1189447600318</v>
          </cell>
          <cell r="AB343">
            <v>12285.133421482878</v>
          </cell>
          <cell r="AC343">
            <v>9808.9413147047053</v>
          </cell>
          <cell r="AD343">
            <v>10521.738670215535</v>
          </cell>
          <cell r="AE343">
            <v>9080.8642044271346</v>
          </cell>
          <cell r="AF343">
            <v>10807.253893755014</v>
          </cell>
        </row>
        <row r="344">
          <cell r="D344">
            <v>9120</v>
          </cell>
          <cell r="F344">
            <v>395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35.107642769072257</v>
          </cell>
          <cell r="M344">
            <v>122.62775670821682</v>
          </cell>
          <cell r="N344">
            <v>98.019488406727945</v>
          </cell>
          <cell r="O344">
            <v>67.910770106884542</v>
          </cell>
          <cell r="P344">
            <v>67.090686173149791</v>
          </cell>
          <cell r="Q344">
            <v>60.87939247910851</v>
          </cell>
          <cell r="R344">
            <v>62.978820430696658</v>
          </cell>
          <cell r="S344">
            <v>83.694306292380759</v>
          </cell>
          <cell r="T344">
            <v>64.806431382581536</v>
          </cell>
          <cell r="U344">
            <v>84.986240991391455</v>
          </cell>
          <cell r="V344">
            <v>132.43877410962966</v>
          </cell>
          <cell r="W344">
            <v>62.941647943470343</v>
          </cell>
          <cell r="X344">
            <v>66.738583141651276</v>
          </cell>
          <cell r="Y344">
            <v>80.125856528881215</v>
          </cell>
          <cell r="Z344">
            <v>79.489762235587264</v>
          </cell>
          <cell r="AA344">
            <v>67.910770106884542</v>
          </cell>
          <cell r="AB344">
            <v>67.090686173149791</v>
          </cell>
          <cell r="AC344">
            <v>60.87939247910851</v>
          </cell>
          <cell r="AD344">
            <v>62.978820430696658</v>
          </cell>
          <cell r="AE344">
            <v>83.694306292380759</v>
          </cell>
          <cell r="AF344">
            <v>64.806431382581536</v>
          </cell>
        </row>
        <row r="345">
          <cell r="D345">
            <v>9130</v>
          </cell>
          <cell r="F345">
            <v>92.5</v>
          </cell>
          <cell r="G345">
            <v>0</v>
          </cell>
          <cell r="H345">
            <v>0</v>
          </cell>
          <cell r="I345">
            <v>206.34</v>
          </cell>
          <cell r="J345">
            <v>0</v>
          </cell>
          <cell r="K345">
            <v>0</v>
          </cell>
          <cell r="L345">
            <v>26.560931557239378</v>
          </cell>
          <cell r="M345">
            <v>92.774883075148125</v>
          </cell>
          <cell r="N345">
            <v>74.157326368269821</v>
          </cell>
          <cell r="O345">
            <v>51.378365920864248</v>
          </cell>
          <cell r="P345">
            <v>50.757925711352108</v>
          </cell>
          <cell r="Q345">
            <v>46.05872822394123</v>
          </cell>
          <cell r="R345">
            <v>47.647065056985795</v>
          </cell>
          <cell r="S345">
            <v>63.319510107379912</v>
          </cell>
          <cell r="T345">
            <v>49.029756846508022</v>
          </cell>
          <cell r="U345">
            <v>64.296932298398531</v>
          </cell>
          <cell r="V345">
            <v>100.19747659473856</v>
          </cell>
          <cell r="W345">
            <v>47.618941952978929</v>
          </cell>
          <cell r="X345">
            <v>50.491539711521689</v>
          </cell>
          <cell r="Y345">
            <v>60.619774595166739</v>
          </cell>
          <cell r="Z345">
            <v>60.138533029070629</v>
          </cell>
          <cell r="AA345">
            <v>51.378365920864248</v>
          </cell>
          <cell r="AB345">
            <v>50.757925711352108</v>
          </cell>
          <cell r="AC345">
            <v>46.05872822394123</v>
          </cell>
          <cell r="AD345">
            <v>47.647065056985795</v>
          </cell>
          <cell r="AE345">
            <v>63.319510107379912</v>
          </cell>
          <cell r="AF345">
            <v>49.029756846508022</v>
          </cell>
        </row>
        <row r="346">
          <cell r="D346">
            <v>9160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D347">
            <v>9200</v>
          </cell>
          <cell r="F347">
            <v>-4731.29</v>
          </cell>
          <cell r="G347">
            <v>-25367.87</v>
          </cell>
          <cell r="H347">
            <v>-6325.79</v>
          </cell>
          <cell r="I347">
            <v>-4895.53</v>
          </cell>
          <cell r="J347">
            <v>-26382.78</v>
          </cell>
          <cell r="K347">
            <v>-5662.56</v>
          </cell>
          <cell r="L347">
            <v>270.62672350969581</v>
          </cell>
          <cell r="M347">
            <v>-64.86095026265437</v>
          </cell>
          <cell r="N347">
            <v>-69.334119246285709</v>
          </cell>
          <cell r="O347">
            <v>9231.9994590432507</v>
          </cell>
          <cell r="P347">
            <v>8908.3813391689655</v>
          </cell>
          <cell r="Q347">
            <v>8869.8966534767424</v>
          </cell>
          <cell r="R347">
            <v>9563.8415000939422</v>
          </cell>
          <cell r="S347">
            <v>9215.157642332204</v>
          </cell>
          <cell r="T347">
            <v>9504.7422151406536</v>
          </cell>
          <cell r="U347">
            <v>10841.401934126989</v>
          </cell>
          <cell r="V347">
            <v>9041.2160061607592</v>
          </cell>
          <cell r="W347">
            <v>8689.2180893282748</v>
          </cell>
          <cell r="X347">
            <v>8865.1823806848934</v>
          </cell>
          <cell r="Y347">
            <v>8791.1542297364103</v>
          </cell>
          <cell r="Z347">
            <v>11357.636835191708</v>
          </cell>
          <cell r="AA347">
            <v>9231.9994590432507</v>
          </cell>
          <cell r="AB347">
            <v>8908.3813391689655</v>
          </cell>
          <cell r="AC347">
            <v>8869.8966534767424</v>
          </cell>
          <cell r="AD347">
            <v>9563.8415000939422</v>
          </cell>
          <cell r="AE347">
            <v>9215.157642332204</v>
          </cell>
          <cell r="AF347">
            <v>9504.7422151406536</v>
          </cell>
        </row>
        <row r="348">
          <cell r="D348">
            <v>9210</v>
          </cell>
          <cell r="F348">
            <v>0</v>
          </cell>
          <cell r="G348">
            <v>1331.8400000000001</v>
          </cell>
          <cell r="H348">
            <v>7.58</v>
          </cell>
          <cell r="I348">
            <v>0</v>
          </cell>
          <cell r="J348">
            <v>9.56</v>
          </cell>
          <cell r="K348">
            <v>0</v>
          </cell>
          <cell r="L348">
            <v>236.39356481530194</v>
          </cell>
          <cell r="M348">
            <v>359.18360560210397</v>
          </cell>
          <cell r="N348">
            <v>332.1151378826973</v>
          </cell>
          <cell r="O348">
            <v>261.16839866612747</v>
          </cell>
          <cell r="P348">
            <v>411.65701625794969</v>
          </cell>
          <cell r="Q348">
            <v>270.19209505575674</v>
          </cell>
          <cell r="R348">
            <v>285.13209357848677</v>
          </cell>
          <cell r="S348">
            <v>263.91915316369517</v>
          </cell>
          <cell r="T348">
            <v>315.91400122253521</v>
          </cell>
          <cell r="U348">
            <v>296.00803409968876</v>
          </cell>
          <cell r="V348">
            <v>315.41737452202017</v>
          </cell>
          <cell r="W348">
            <v>333.94444970182894</v>
          </cell>
          <cell r="X348">
            <v>289.63380799379831</v>
          </cell>
          <cell r="Y348">
            <v>287.74261613115681</v>
          </cell>
          <cell r="Z348">
            <v>366.19198438816989</v>
          </cell>
          <cell r="AA348">
            <v>261.16839866612747</v>
          </cell>
          <cell r="AB348">
            <v>411.65701625794969</v>
          </cell>
          <cell r="AC348">
            <v>270.19209505575674</v>
          </cell>
          <cell r="AD348">
            <v>285.13209357848677</v>
          </cell>
          <cell r="AE348">
            <v>263.91915316369517</v>
          </cell>
          <cell r="AF348">
            <v>315.91400122253521</v>
          </cell>
        </row>
        <row r="349">
          <cell r="D349">
            <v>9220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D350">
            <v>9230</v>
          </cell>
          <cell r="F350">
            <v>6769.3</v>
          </cell>
          <cell r="G350">
            <v>4064.37</v>
          </cell>
          <cell r="H350">
            <v>5669.0599999999995</v>
          </cell>
          <cell r="I350">
            <v>7466.16</v>
          </cell>
          <cell r="J350">
            <v>8921.7900000000009</v>
          </cell>
          <cell r="K350">
            <v>12968.37</v>
          </cell>
          <cell r="L350">
            <v>34605.267415932161</v>
          </cell>
          <cell r="M350">
            <v>35126.999518958641</v>
          </cell>
          <cell r="N350">
            <v>36456.412197759702</v>
          </cell>
          <cell r="O350">
            <v>36672.732737047118</v>
          </cell>
          <cell r="P350">
            <v>37524.826604102083</v>
          </cell>
          <cell r="Q350">
            <v>38262.650646830371</v>
          </cell>
          <cell r="R350">
            <v>40316.001172241158</v>
          </cell>
          <cell r="S350">
            <v>38815.554167395574</v>
          </cell>
          <cell r="T350">
            <v>40180.004197996604</v>
          </cell>
          <cell r="U350">
            <v>45562.763239856788</v>
          </cell>
          <cell r="V350">
            <v>38127.001306984501</v>
          </cell>
          <cell r="W350">
            <v>36615.882525468907</v>
          </cell>
          <cell r="X350">
            <v>36884.475051177767</v>
          </cell>
          <cell r="Y350">
            <v>37028.698373908468</v>
          </cell>
          <cell r="Z350">
            <v>47224.869949879721</v>
          </cell>
          <cell r="AA350">
            <v>36672.732737047118</v>
          </cell>
          <cell r="AB350">
            <v>37524.826604102083</v>
          </cell>
          <cell r="AC350">
            <v>38262.650646830371</v>
          </cell>
          <cell r="AD350">
            <v>40316.001172241158</v>
          </cell>
          <cell r="AE350">
            <v>38815.554167395574</v>
          </cell>
          <cell r="AF350">
            <v>40180.004197996604</v>
          </cell>
        </row>
        <row r="351">
          <cell r="D351">
            <v>9240</v>
          </cell>
          <cell r="F351">
            <v>-1252.8800000000001</v>
          </cell>
          <cell r="G351">
            <v>-958.93999999999994</v>
          </cell>
          <cell r="H351">
            <v>-970.97</v>
          </cell>
          <cell r="I351">
            <v>-1169.99</v>
          </cell>
          <cell r="J351">
            <v>-1134.3499999999999</v>
          </cell>
          <cell r="K351">
            <v>-1172.28</v>
          </cell>
          <cell r="L351">
            <v>-16584.03179757113</v>
          </cell>
          <cell r="M351">
            <v>-16374.171145973101</v>
          </cell>
          <cell r="N351">
            <v>-16514.841932087937</v>
          </cell>
          <cell r="O351">
            <v>-15235.058526163692</v>
          </cell>
          <cell r="P351">
            <v>-15471.953628513438</v>
          </cell>
          <cell r="Q351">
            <v>-15767.957953693192</v>
          </cell>
          <cell r="R351">
            <v>-15445.835599821106</v>
          </cell>
          <cell r="S351">
            <v>-15445.835599821106</v>
          </cell>
          <cell r="T351">
            <v>-15717.554740427289</v>
          </cell>
          <cell r="U351">
            <v>-15824.776121374758</v>
          </cell>
          <cell r="V351">
            <v>-15663.944049953556</v>
          </cell>
          <cell r="W351">
            <v>-16093.745995802801</v>
          </cell>
          <cell r="X351">
            <v>-15715.263685278842</v>
          </cell>
          <cell r="Y351">
            <v>-15830.732864760728</v>
          </cell>
          <cell r="Z351">
            <v>-17130.677555991333</v>
          </cell>
          <cell r="AA351">
            <v>-15235.058526163692</v>
          </cell>
          <cell r="AB351">
            <v>-15471.953628513438</v>
          </cell>
          <cell r="AC351">
            <v>-15767.957953693192</v>
          </cell>
          <cell r="AD351">
            <v>-15445.835599821106</v>
          </cell>
          <cell r="AE351">
            <v>-15445.835599821106</v>
          </cell>
          <cell r="AF351">
            <v>-15717.554740427289</v>
          </cell>
        </row>
        <row r="352">
          <cell r="D352">
            <v>9250</v>
          </cell>
          <cell r="F352">
            <v>21554.92</v>
          </cell>
          <cell r="G352">
            <v>27630.63</v>
          </cell>
          <cell r="H352">
            <v>21837.949999999997</v>
          </cell>
          <cell r="I352">
            <v>21426.63</v>
          </cell>
          <cell r="J352">
            <v>21366.969999999998</v>
          </cell>
          <cell r="K352">
            <v>5987.1699999999983</v>
          </cell>
          <cell r="L352">
            <v>58529.840846592459</v>
          </cell>
          <cell r="M352">
            <v>59766.208232222314</v>
          </cell>
          <cell r="N352">
            <v>58373.698811667135</v>
          </cell>
          <cell r="O352">
            <v>50209.154273451823</v>
          </cell>
          <cell r="P352">
            <v>50712.129979235004</v>
          </cell>
          <cell r="Q352">
            <v>50738.335097487332</v>
          </cell>
          <cell r="R352">
            <v>51260.076279917375</v>
          </cell>
          <cell r="S352">
            <v>49463.622770730086</v>
          </cell>
          <cell r="T352">
            <v>51258.375446208411</v>
          </cell>
          <cell r="U352">
            <v>50882.855319189133</v>
          </cell>
          <cell r="V352">
            <v>51747.724004912685</v>
          </cell>
          <cell r="W352">
            <v>51453.932184362697</v>
          </cell>
          <cell r="X352">
            <v>51253.51107768053</v>
          </cell>
          <cell r="Y352">
            <v>52101.850033742623</v>
          </cell>
          <cell r="Z352">
            <v>53053.72260581499</v>
          </cell>
          <cell r="AA352">
            <v>53214.924643656508</v>
          </cell>
          <cell r="AB352">
            <v>53717.900349439697</v>
          </cell>
          <cell r="AC352">
            <v>53404.254827317258</v>
          </cell>
          <cell r="AD352">
            <v>54604.571982393863</v>
          </cell>
          <cell r="AE352">
            <v>51778.199178124734</v>
          </cell>
          <cell r="AF352">
            <v>54239.360655628851</v>
          </cell>
        </row>
        <row r="353">
          <cell r="D353">
            <v>9260</v>
          </cell>
          <cell r="F353">
            <v>190049.16000000003</v>
          </cell>
          <cell r="G353">
            <v>168788.92</v>
          </cell>
          <cell r="H353">
            <v>389170.68</v>
          </cell>
          <cell r="I353">
            <v>194652.47000000003</v>
          </cell>
          <cell r="J353">
            <v>237294.73</v>
          </cell>
          <cell r="K353">
            <v>21492.700000000015</v>
          </cell>
          <cell r="L353">
            <v>285829.07863994618</v>
          </cell>
          <cell r="M353">
            <v>114741.74414167361</v>
          </cell>
          <cell r="N353">
            <v>110594.62454687276</v>
          </cell>
          <cell r="O353">
            <v>145657.33497298477</v>
          </cell>
          <cell r="P353">
            <v>160395.38571089462</v>
          </cell>
          <cell r="Q353">
            <v>168295.710101456</v>
          </cell>
          <cell r="R353">
            <v>186873.10591128099</v>
          </cell>
          <cell r="S353">
            <v>167781.64256451873</v>
          </cell>
          <cell r="T353">
            <v>164320.38678134698</v>
          </cell>
          <cell r="U353">
            <v>149958.91104249071</v>
          </cell>
          <cell r="V353">
            <v>231974.41225895478</v>
          </cell>
          <cell r="W353">
            <v>146898.94310775067</v>
          </cell>
          <cell r="X353">
            <v>259735.03019309763</v>
          </cell>
          <cell r="Y353">
            <v>93286.852691979992</v>
          </cell>
          <cell r="Z353">
            <v>88626.640115348666</v>
          </cell>
          <cell r="AA353">
            <v>155991.59267847161</v>
          </cell>
          <cell r="AB353">
            <v>170729.64341638141</v>
          </cell>
          <cell r="AC353">
            <v>177461.5139111224</v>
          </cell>
          <cell r="AD353">
            <v>198371.94854639939</v>
          </cell>
          <cell r="AE353">
            <v>175739.47903471699</v>
          </cell>
          <cell r="AF353">
            <v>174569.42964761809</v>
          </cell>
        </row>
        <row r="354">
          <cell r="D354">
            <v>9270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D355">
            <v>9280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D356">
            <v>9290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D357">
            <v>9301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D358">
            <v>9302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7500</v>
          </cell>
          <cell r="K358">
            <v>0</v>
          </cell>
          <cell r="L358">
            <v>19726.232812612481</v>
          </cell>
          <cell r="M358">
            <v>20726.88071413145</v>
          </cell>
          <cell r="N358">
            <v>12852.717586926787</v>
          </cell>
          <cell r="O358">
            <v>5657.3245986610036</v>
          </cell>
          <cell r="P358">
            <v>5801.3027139874739</v>
          </cell>
          <cell r="Q358">
            <v>7342.588438557339</v>
          </cell>
          <cell r="R358">
            <v>7326.114462601684</v>
          </cell>
          <cell r="S358">
            <v>5922.3278381685977</v>
          </cell>
          <cell r="T358">
            <v>6192.2868044057295</v>
          </cell>
          <cell r="U358">
            <v>7794.0433374127133</v>
          </cell>
          <cell r="V358">
            <v>23190.343099848826</v>
          </cell>
          <cell r="W358">
            <v>5760.3524584263196</v>
          </cell>
          <cell r="X358">
            <v>9435.3938521344753</v>
          </cell>
          <cell r="Y358">
            <v>13247.21445540278</v>
          </cell>
          <cell r="Z358">
            <v>10310.060902742784</v>
          </cell>
          <cell r="AA358">
            <v>5657.3245986610036</v>
          </cell>
          <cell r="AB358">
            <v>5801.3027139874739</v>
          </cell>
          <cell r="AC358">
            <v>7342.588438557339</v>
          </cell>
          <cell r="AD358">
            <v>7326.114462601684</v>
          </cell>
          <cell r="AE358">
            <v>5922.3278381685977</v>
          </cell>
          <cell r="AF358">
            <v>6192.2868044057295</v>
          </cell>
        </row>
        <row r="359">
          <cell r="D359">
            <v>9310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D360">
            <v>9320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H6">
            <v>9109979.6432678662</v>
          </cell>
        </row>
        <row r="10">
          <cell r="H10">
            <v>0</v>
          </cell>
        </row>
        <row r="14">
          <cell r="H14">
            <v>907961.47259042028</v>
          </cell>
        </row>
        <row r="30">
          <cell r="H30">
            <v>3117259.3239864572</v>
          </cell>
        </row>
        <row r="34">
          <cell r="H34">
            <v>3126816.3026072769</v>
          </cell>
        </row>
        <row r="38">
          <cell r="H38">
            <v>111593.77738320954</v>
          </cell>
        </row>
        <row r="42">
          <cell r="H42">
            <v>167660.03635801276</v>
          </cell>
        </row>
        <row r="46">
          <cell r="H46">
            <v>117036.95499864614</v>
          </cell>
        </row>
        <row r="50">
          <cell r="H50">
            <v>61702.64463652666</v>
          </cell>
        </row>
        <row r="54">
          <cell r="H54">
            <v>33784.828195493668</v>
          </cell>
        </row>
        <row r="58">
          <cell r="H58">
            <v>13682.990983192123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case"/>
      <sheetName val="Div 9 gas cost"/>
    </sheetNames>
    <sheetDataSet>
      <sheetData sheetId="0">
        <row r="7"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O8">
            <v>5900.1687390890147</v>
          </cell>
          <cell r="P8">
            <v>14765.862696686941</v>
          </cell>
          <cell r="Q8">
            <v>8198.033816264091</v>
          </cell>
          <cell r="R8">
            <v>6510.6774379487206</v>
          </cell>
          <cell r="S8">
            <v>7310.1663112454507</v>
          </cell>
          <cell r="T8">
            <v>3918.3676947158756</v>
          </cell>
          <cell r="Y8">
            <v>5286.4127931039575</v>
          </cell>
          <cell r="Z8">
            <v>8710.1173719114722</v>
          </cell>
          <cell r="AA8">
            <v>5038.3232695054112</v>
          </cell>
          <cell r="AB8">
            <v>5572.7063108054899</v>
          </cell>
          <cell r="AC8">
            <v>14164.47016680776</v>
          </cell>
          <cell r="AD8">
            <v>7861.7439954091278</v>
          </cell>
          <cell r="AE8">
            <v>6254.2868953616353</v>
          </cell>
          <cell r="AF8">
            <v>7245.4698067383652</v>
          </cell>
          <cell r="AG8">
            <v>3883.6604893328226</v>
          </cell>
          <cell r="AH8">
            <v>5662.8646110343843</v>
          </cell>
          <cell r="AI8">
            <v>6841.4352693205483</v>
          </cell>
          <cell r="AJ8">
            <v>4750.6462660509942</v>
          </cell>
        </row>
        <row r="9">
          <cell r="O9">
            <v>4142482.2403230644</v>
          </cell>
          <cell r="P9">
            <v>6203886.4872926557</v>
          </cell>
          <cell r="Q9">
            <v>4932798.8890008526</v>
          </cell>
          <cell r="R9">
            <v>6045126.7277077185</v>
          </cell>
          <cell r="S9">
            <v>8174615.2226054613</v>
          </cell>
          <cell r="T9">
            <v>1272096.3023464815</v>
          </cell>
          <cell r="Y9">
            <v>1136067.0562997661</v>
          </cell>
          <cell r="Z9">
            <v>7942879.5329601886</v>
          </cell>
          <cell r="AA9">
            <v>4418216.4535287535</v>
          </cell>
          <cell r="AB9">
            <v>3912572.3252810393</v>
          </cell>
          <cell r="AC9">
            <v>5951211.0380950049</v>
          </cell>
          <cell r="AD9">
            <v>4730451.5833085207</v>
          </cell>
          <cell r="AE9">
            <v>5807069.5767435636</v>
          </cell>
          <cell r="AF9">
            <v>8102268.1639921144</v>
          </cell>
          <cell r="AG9">
            <v>1260828.6237944912</v>
          </cell>
          <cell r="AH9">
            <v>5991515.1194934594</v>
          </cell>
          <cell r="AI9">
            <v>7237555.2211249536</v>
          </cell>
          <cell r="AJ9">
            <v>501352.88924362388</v>
          </cell>
        </row>
        <row r="10">
          <cell r="O10">
            <v>-799.18091550348004</v>
          </cell>
          <cell r="P10">
            <v>-951.39050804120666</v>
          </cell>
          <cell r="Q10">
            <v>-784.59545231550305</v>
          </cell>
          <cell r="R10">
            <v>-4437.4151627129868</v>
          </cell>
          <cell r="S10">
            <v>-683.28487338544301</v>
          </cell>
          <cell r="T10">
            <v>-5051.6632533634011</v>
          </cell>
          <cell r="Y10">
            <v>-102.167332510162</v>
          </cell>
          <cell r="Z10">
            <v>-2437.7391495200332</v>
          </cell>
          <cell r="AA10">
            <v>-841.1109262625987</v>
          </cell>
          <cell r="AB10">
            <v>-754.82595977232802</v>
          </cell>
          <cell r="AC10">
            <v>-912.64172943700635</v>
          </cell>
          <cell r="AD10">
            <v>-752.41072729285872</v>
          </cell>
          <cell r="AE10">
            <v>-4262.6697092489931</v>
          </cell>
          <cell r="AF10">
            <v>-677.23765899818602</v>
          </cell>
          <cell r="AG10">
            <v>-5006.9178063506197</v>
          </cell>
          <cell r="AH10">
            <v>-948.2132854821499</v>
          </cell>
          <cell r="AI10">
            <v>-517.00991270398799</v>
          </cell>
          <cell r="AJ10">
            <v>-339.01791174540875</v>
          </cell>
        </row>
        <row r="11">
          <cell r="O11">
            <v>805444.07275892491</v>
          </cell>
          <cell r="P11">
            <v>824795.12915881083</v>
          </cell>
          <cell r="Q11">
            <v>772207.91296427173</v>
          </cell>
          <cell r="R11">
            <v>1045038.7864227482</v>
          </cell>
          <cell r="S11">
            <v>2609623.4719726346</v>
          </cell>
          <cell r="T11">
            <v>5760891.6874248302</v>
          </cell>
          <cell r="Y11">
            <v>4970598.2506078864</v>
          </cell>
          <cell r="Z11">
            <v>2057759.3723232783</v>
          </cell>
          <cell r="AA11">
            <v>1101473.2537888468</v>
          </cell>
          <cell r="AB11">
            <v>760741.5085483744</v>
          </cell>
          <cell r="AC11">
            <v>791202.39979744831</v>
          </cell>
          <cell r="AD11">
            <v>740531.33458783838</v>
          </cell>
          <cell r="AE11">
            <v>1003885.1485672233</v>
          </cell>
          <cell r="AF11">
            <v>2586527.7571109147</v>
          </cell>
          <cell r="AG11">
            <v>5709864.2018586816</v>
          </cell>
          <cell r="AH11">
            <v>8592214.8938080203</v>
          </cell>
          <cell r="AI11">
            <v>10368788.21051125</v>
          </cell>
          <cell r="AJ11">
            <v>6752855.1803603964</v>
          </cell>
        </row>
        <row r="12">
          <cell r="O12">
            <v>778887.37364428886</v>
          </cell>
          <cell r="P12">
            <v>815142.92978745466</v>
          </cell>
          <cell r="Q12">
            <v>827696.88980517967</v>
          </cell>
          <cell r="R12">
            <v>1149289.9035971572</v>
          </cell>
          <cell r="S12">
            <v>1306034.282669575</v>
          </cell>
          <cell r="T12">
            <v>2457259.8324604626</v>
          </cell>
          <cell r="Y12">
            <v>2287648.8504220438</v>
          </cell>
          <cell r="Z12">
            <v>1328474.6776430081</v>
          </cell>
          <cell r="AA12">
            <v>849109.00100519916</v>
          </cell>
          <cell r="AB12">
            <v>735658.7200223729</v>
          </cell>
          <cell r="AC12">
            <v>781943.32074138126</v>
          </cell>
          <cell r="AD12">
            <v>793744.10978095199</v>
          </cell>
          <cell r="AE12">
            <v>1104030.8557052109</v>
          </cell>
          <cell r="AF12">
            <v>1294475.6054442485</v>
          </cell>
          <cell r="AG12">
            <v>2435494.4882331346</v>
          </cell>
          <cell r="AH12">
            <v>3938158.3664231678</v>
          </cell>
          <cell r="AI12">
            <v>4729999.7931923009</v>
          </cell>
          <cell r="AJ12">
            <v>3172706.863746237</v>
          </cell>
        </row>
        <row r="13">
          <cell r="O13">
            <v>287356.30665835651</v>
          </cell>
          <cell r="P13">
            <v>242254.3339164457</v>
          </cell>
          <cell r="Q13">
            <v>235833.37393340367</v>
          </cell>
          <cell r="R13">
            <v>208565.30531345346</v>
          </cell>
          <cell r="T13">
            <v>370839.47033853474</v>
          </cell>
          <cell r="Y13">
            <v>670263.97966764064</v>
          </cell>
          <cell r="Z13">
            <v>606448.54150041658</v>
          </cell>
          <cell r="AA13">
            <v>599691.56216938968</v>
          </cell>
          <cell r="AB13">
            <v>271407.88244846527</v>
          </cell>
          <cell r="AC13">
            <v>232387.66037756088</v>
          </cell>
          <cell r="AD13">
            <v>226159.3027049652</v>
          </cell>
          <cell r="AE13">
            <v>200352.00150539301</v>
          </cell>
          <cell r="AF13">
            <v>332932.13367518265</v>
          </cell>
          <cell r="AG13">
            <v>367554.73478945927</v>
          </cell>
          <cell r="AH13">
            <v>719679.84630821703</v>
          </cell>
          <cell r="AI13">
            <v>1104205.3510991121</v>
          </cell>
          <cell r="AJ13">
            <v>1142315.3740988034</v>
          </cell>
        </row>
        <row r="14">
          <cell r="O14">
            <v>107804.58414565001</v>
          </cell>
          <cell r="P14">
            <v>130174.56072436896</v>
          </cell>
          <cell r="Q14">
            <v>144256.09300231113</v>
          </cell>
          <cell r="R14">
            <v>164350.5690651749</v>
          </cell>
          <cell r="S14">
            <v>304318.11912879744</v>
          </cell>
          <cell r="T14">
            <v>511471.40798067587</v>
          </cell>
          <cell r="Y14">
            <v>488062.44044149161</v>
          </cell>
          <cell r="Z14">
            <v>262831.5568730181</v>
          </cell>
          <cell r="AA14">
            <v>151561.43348439448</v>
          </cell>
          <cell r="AB14">
            <v>101821.37375531789</v>
          </cell>
          <cell r="AC14">
            <v>124872.73650941775</v>
          </cell>
          <cell r="AD14">
            <v>138338.59415316739</v>
          </cell>
          <cell r="AE14">
            <v>157878.44201254169</v>
          </cell>
          <cell r="AF14">
            <v>301624.83997104189</v>
          </cell>
          <cell r="AG14">
            <v>506941.01558583154</v>
          </cell>
          <cell r="AH14">
            <v>751321.73338847049</v>
          </cell>
          <cell r="AI14">
            <v>920677.62391453248</v>
          </cell>
          <cell r="AJ14">
            <v>646085.79837980075</v>
          </cell>
        </row>
        <row r="15">
          <cell r="O15">
            <v>69058.398280472044</v>
          </cell>
          <cell r="P15">
            <v>-57345.390411293862</v>
          </cell>
          <cell r="Q15">
            <v>-808.4918761433571</v>
          </cell>
          <cell r="R15">
            <v>613559.63747668895</v>
          </cell>
          <cell r="S15">
            <v>2209350.3290974549</v>
          </cell>
          <cell r="T15">
            <v>2384955.0280997846</v>
          </cell>
          <cell r="Y15">
            <v>-1712164.1448643713</v>
          </cell>
          <cell r="Z15">
            <v>-523995.52079642203</v>
          </cell>
          <cell r="AA15">
            <v>-514193.77082977031</v>
          </cell>
          <cell r="AB15">
            <v>65225.621321997161</v>
          </cell>
          <cell r="AC15">
            <v>-55009.794440724843</v>
          </cell>
          <cell r="AD15">
            <v>-775.32690094509132</v>
          </cell>
          <cell r="AE15">
            <v>589397.65281972114</v>
          </cell>
          <cell r="AF15">
            <v>2189797.1154716173</v>
          </cell>
          <cell r="AG15">
            <v>2363830.128539891</v>
          </cell>
          <cell r="AH15">
            <v>346802.16982731258</v>
          </cell>
          <cell r="AI15">
            <v>-2693770.3695110511</v>
          </cell>
          <cell r="AJ15">
            <v>-1237398.8204913465</v>
          </cell>
        </row>
        <row r="16">
          <cell r="O16">
            <v>-2987147.7008865927</v>
          </cell>
          <cell r="P16">
            <v>-4898780.2574197398</v>
          </cell>
          <cell r="Q16">
            <v>-3004681.4204560411</v>
          </cell>
          <cell r="R16">
            <v>-3823107.2573615815</v>
          </cell>
          <cell r="S16">
            <v>-5832415.614152371</v>
          </cell>
          <cell r="T16">
            <v>-6132258.7214599643</v>
          </cell>
          <cell r="Y16">
            <v>-11361900.47434173</v>
          </cell>
          <cell r="Z16">
            <v>-5660994.7965627359</v>
          </cell>
          <cell r="AA16">
            <v>-3869645.219424923</v>
          </cell>
          <cell r="AB16">
            <v>-2821359.4526127134</v>
          </cell>
          <cell r="AC16">
            <v>-4699259.9237386696</v>
          </cell>
          <cell r="AD16">
            <v>-2881427.0158929885</v>
          </cell>
          <cell r="AE16">
            <v>-3672553.2553509413</v>
          </cell>
          <cell r="AF16">
            <v>-5780797.5131403962</v>
          </cell>
          <cell r="AG16">
            <v>-6077941.8274138169</v>
          </cell>
          <cell r="AH16">
            <v>-12128655.025181919</v>
          </cell>
          <cell r="AI16">
            <v>-20512277.595289767</v>
          </cell>
          <cell r="AJ16">
            <v>-13185018.839574886</v>
          </cell>
        </row>
        <row r="17">
          <cell r="O17">
            <v>-1322054.5588191811</v>
          </cell>
          <cell r="P17">
            <v>-606580.58174988464</v>
          </cell>
          <cell r="Q17">
            <v>-1597141.0412555649</v>
          </cell>
          <cell r="R17">
            <v>-1628393.0968163328</v>
          </cell>
          <cell r="S17">
            <v>-1753459.9323563059</v>
          </cell>
          <cell r="T17">
            <v>1497388.8946588605</v>
          </cell>
          <cell r="Y17">
            <v>3150643.7405185029</v>
          </cell>
          <cell r="Z17">
            <v>-2552872.8349554124</v>
          </cell>
          <cell r="AA17">
            <v>-592198.19048676745</v>
          </cell>
          <cell r="AB17">
            <v>-1248679.8444171865</v>
          </cell>
          <cell r="AC17">
            <v>-581875.41970635578</v>
          </cell>
          <cell r="AD17">
            <v>-1531625.0545346532</v>
          </cell>
          <cell r="AE17">
            <v>-1564266.9603863049</v>
          </cell>
          <cell r="AF17">
            <v>-1737941.444323801</v>
          </cell>
          <cell r="AG17">
            <v>1484125.671818566</v>
          </cell>
          <cell r="AH17">
            <v>1065099.5223002788</v>
          </cell>
          <cell r="AI17">
            <v>5060781.34520688</v>
          </cell>
          <cell r="AJ17">
            <v>5299169.5699769063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1068365.5241918706</v>
          </cell>
          <cell r="Y18">
            <v>3611015.3888441729</v>
          </cell>
          <cell r="Z18">
            <v>13219.19591089116</v>
          </cell>
          <cell r="AA18">
            <v>10746.090999438002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1058902.4047091573</v>
          </cell>
          <cell r="AH18">
            <v>2415311.2977469945</v>
          </cell>
          <cell r="AI18">
            <v>3952112.4352866197</v>
          </cell>
          <cell r="AJ18">
            <v>4009332.5191630474</v>
          </cell>
        </row>
        <row r="19">
          <cell r="O19">
            <v>-1848189.9873530758</v>
          </cell>
          <cell r="P19">
            <v>-3003139.3513166173</v>
          </cell>
          <cell r="Q19">
            <v>-2164047.8974960581</v>
          </cell>
          <cell r="R19">
            <v>-2727391.4947982277</v>
          </cell>
          <cell r="S19">
            <v>-3806302.610961399</v>
          </cell>
          <cell r="T19">
            <v>-2029.249515507069</v>
          </cell>
          <cell r="Y19">
            <v>-146068.63528977861</v>
          </cell>
          <cell r="Z19">
            <v>-2498398.6057525231</v>
          </cell>
          <cell r="AA19">
            <v>-1756401.7894047746</v>
          </cell>
          <cell r="AB19">
            <v>-1745614.4835071671</v>
          </cell>
          <cell r="AC19">
            <v>-2880825.7683470789</v>
          </cell>
          <cell r="AD19">
            <v>-2075276.943864868</v>
          </cell>
          <cell r="AE19">
            <v>-2619986.7904700958</v>
          </cell>
          <cell r="AF19">
            <v>-3772616.0348233739</v>
          </cell>
          <cell r="AG19">
            <v>-2011.2753014476937</v>
          </cell>
          <cell r="AH19">
            <v>-24385.593284712901</v>
          </cell>
          <cell r="AI19">
            <v>-9268.5151245332727</v>
          </cell>
          <cell r="AJ19">
            <v>-15896.554336642503</v>
          </cell>
        </row>
        <row r="20">
          <cell r="O20">
            <v>1190.8345312262113</v>
          </cell>
          <cell r="P20">
            <v>-2343.881289582002</v>
          </cell>
          <cell r="Q20">
            <v>754.75339777356851</v>
          </cell>
          <cell r="R20">
            <v>94.752383135497539</v>
          </cell>
          <cell r="S20">
            <v>-1990.026543318786</v>
          </cell>
          <cell r="T20">
            <v>-8701.6388034433439</v>
          </cell>
          <cell r="Y20">
            <v>-3456.5234192320063</v>
          </cell>
          <cell r="Z20">
            <v>-143.91546407671069</v>
          </cell>
          <cell r="AA20">
            <v>-1631.6635069364179</v>
          </cell>
          <cell r="AB20">
            <v>1124.7425964827623</v>
          </cell>
          <cell r="AC20">
            <v>-2248.4183472918453</v>
          </cell>
          <cell r="AD20">
            <v>723.79281739350188</v>
          </cell>
          <cell r="AE20">
            <v>91.0210333404778</v>
          </cell>
          <cell r="AF20">
            <v>-1972.4143911806073</v>
          </cell>
          <cell r="AG20">
            <v>-8624.5634525191508</v>
          </cell>
          <cell r="AH20">
            <v>-5635.2824049591782</v>
          </cell>
          <cell r="AI20">
            <v>-1719.9242988778972</v>
          </cell>
          <cell r="AJ20">
            <v>1563.3284579422432</v>
          </cell>
        </row>
        <row r="21">
          <cell r="O21">
            <v>2009809.0189122006</v>
          </cell>
          <cell r="P21">
            <v>2290799.2310049399</v>
          </cell>
          <cell r="Q21">
            <v>1825658.0318428644</v>
          </cell>
          <cell r="R21">
            <v>2131691.8589931885</v>
          </cell>
          <cell r="S21">
            <v>3210936.0534267556</v>
          </cell>
          <cell r="T21">
            <v>2297570.5453369063</v>
          </cell>
          <cell r="Y21">
            <v>3605058.6785084712</v>
          </cell>
          <cell r="Z21">
            <v>2749895.1301772008</v>
          </cell>
          <cell r="AA21">
            <v>1785085.4424450304</v>
          </cell>
          <cell r="AB21">
            <v>1898263.574904995</v>
          </cell>
          <cell r="AC21">
            <v>2197498.2452597278</v>
          </cell>
          <cell r="AD21">
            <v>1750768.0977158733</v>
          </cell>
          <cell r="AE21">
            <v>2047745.8122776665</v>
          </cell>
          <cell r="AF21">
            <v>3182518.5961477165</v>
          </cell>
          <cell r="AG21">
            <v>2277219.6597100683</v>
          </cell>
          <cell r="AH21">
            <v>2676400.0276003475</v>
          </cell>
          <cell r="AI21">
            <v>4264772.683439224</v>
          </cell>
          <cell r="AJ21">
            <v>3386648.7871736442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 9 monthly 9220"/>
    </sheetNames>
    <sheetDataSet>
      <sheetData sheetId="0">
        <row r="11">
          <cell r="C11">
            <v>417701.29</v>
          </cell>
          <cell r="D11">
            <v>348831.44</v>
          </cell>
          <cell r="E11">
            <v>239805.7</v>
          </cell>
          <cell r="F11">
            <v>356086.28</v>
          </cell>
          <cell r="G11">
            <v>354021.07</v>
          </cell>
          <cell r="H11">
            <v>242536.34</v>
          </cell>
        </row>
        <row r="12">
          <cell r="C12">
            <v>552947.63</v>
          </cell>
          <cell r="D12">
            <v>576174.66</v>
          </cell>
          <cell r="E12">
            <v>509114.79</v>
          </cell>
          <cell r="F12">
            <v>497436.09</v>
          </cell>
          <cell r="G12">
            <v>645109.56999999995</v>
          </cell>
          <cell r="H12">
            <v>213201.64</v>
          </cell>
        </row>
        <row r="13">
          <cell r="C13">
            <v>194374.82</v>
          </cell>
          <cell r="D13">
            <v>169810.53</v>
          </cell>
          <cell r="E13">
            <v>197911.43</v>
          </cell>
          <cell r="F13">
            <v>172667.97</v>
          </cell>
          <cell r="G13">
            <v>199745.2</v>
          </cell>
          <cell r="H13">
            <v>185164.35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iv 9"/>
      <sheetName val="Div 91"/>
      <sheetName val="Div 2"/>
      <sheetName val="Div 12"/>
      <sheetName val="2018 PlanIt Budget"/>
    </sheetNames>
    <sheetDataSet>
      <sheetData sheetId="0">
        <row r="5">
          <cell r="C5">
            <v>375716.89000000007</v>
          </cell>
          <cell r="D5">
            <v>330989.88999999996</v>
          </cell>
          <cell r="E5">
            <v>264586.61000000016</v>
          </cell>
          <cell r="F5">
            <v>257411.09000000008</v>
          </cell>
          <cell r="G5">
            <v>370189.22000000009</v>
          </cell>
          <cell r="H5">
            <v>256178.7300000001</v>
          </cell>
          <cell r="I5">
            <v>191592.62908226048</v>
          </cell>
          <cell r="J5">
            <v>191592.62908226048</v>
          </cell>
          <cell r="K5">
            <v>191592.62908226048</v>
          </cell>
          <cell r="L5">
            <v>205198.53309371014</v>
          </cell>
          <cell r="M5">
            <v>205198.53309371014</v>
          </cell>
          <cell r="N5">
            <v>205198.53309371014</v>
          </cell>
        </row>
        <row r="6">
          <cell r="C6">
            <v>29576.989999999998</v>
          </cell>
          <cell r="D6">
            <v>-104.88000000000193</v>
          </cell>
          <cell r="E6">
            <v>-1000.2900000000009</v>
          </cell>
          <cell r="F6">
            <v>39.809999999999945</v>
          </cell>
          <cell r="G6">
            <v>663.03</v>
          </cell>
          <cell r="H6">
            <v>271.64000000000004</v>
          </cell>
          <cell r="I6">
            <v>3041.2257454254577</v>
          </cell>
          <cell r="J6">
            <v>3041.2257454254577</v>
          </cell>
          <cell r="K6">
            <v>3041.2257454254577</v>
          </cell>
          <cell r="L6">
            <v>3257.1976529441035</v>
          </cell>
          <cell r="M6">
            <v>3257.1976529441035</v>
          </cell>
          <cell r="N6">
            <v>3257.1976529441035</v>
          </cell>
        </row>
        <row r="7">
          <cell r="C7">
            <v>55762.23000000001</v>
          </cell>
          <cell r="D7">
            <v>26610.37000000001</v>
          </cell>
          <cell r="E7">
            <v>-5864.0599999999995</v>
          </cell>
          <cell r="F7">
            <v>489.35000000000036</v>
          </cell>
          <cell r="G7">
            <v>1661.5199999999998</v>
          </cell>
          <cell r="H7">
            <v>982.85999999999979</v>
          </cell>
          <cell r="I7">
            <v>8225.4857808324214</v>
          </cell>
          <cell r="J7">
            <v>8225.4857808324214</v>
          </cell>
          <cell r="K7">
            <v>8225.4857808324214</v>
          </cell>
          <cell r="L7">
            <v>8809.6166553740459</v>
          </cell>
          <cell r="M7">
            <v>8809.6166553740459</v>
          </cell>
          <cell r="N7">
            <v>8809.6166553740459</v>
          </cell>
        </row>
        <row r="8">
          <cell r="C8">
            <v>44000</v>
          </cell>
          <cell r="D8">
            <v>44000</v>
          </cell>
          <cell r="E8">
            <v>44000</v>
          </cell>
          <cell r="F8">
            <v>44000</v>
          </cell>
          <cell r="G8">
            <v>44000</v>
          </cell>
          <cell r="H8">
            <v>44000</v>
          </cell>
          <cell r="I8">
            <v>44000</v>
          </cell>
          <cell r="J8">
            <v>44000</v>
          </cell>
          <cell r="K8">
            <v>44000</v>
          </cell>
        </row>
        <row r="9">
          <cell r="C9">
            <v>258.72000000000003</v>
          </cell>
          <cell r="D9">
            <v>-16187.62</v>
          </cell>
          <cell r="E9">
            <v>0</v>
          </cell>
          <cell r="F9">
            <v>-2327654.2799999998</v>
          </cell>
          <cell r="G9">
            <v>2327847.39</v>
          </cell>
          <cell r="H9">
            <v>180543.62</v>
          </cell>
          <cell r="I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5">
          <cell r="C15">
            <v>199726.84999999998</v>
          </cell>
          <cell r="D15">
            <v>206662.44000000003</v>
          </cell>
          <cell r="E15">
            <v>179393.83999999997</v>
          </cell>
          <cell r="F15">
            <v>149612.49</v>
          </cell>
          <cell r="G15">
            <v>219422.88</v>
          </cell>
          <cell r="H15">
            <v>147259.89000000001</v>
          </cell>
          <cell r="I15">
            <v>109106.3382309841</v>
          </cell>
          <cell r="J15">
            <v>109106.3382309841</v>
          </cell>
          <cell r="K15">
            <v>109106.3382309841</v>
          </cell>
          <cell r="L15">
            <v>117898.4140319592</v>
          </cell>
          <cell r="M15">
            <v>117898.4140319592</v>
          </cell>
          <cell r="N15">
            <v>117898.4140319592</v>
          </cell>
        </row>
        <row r="16">
          <cell r="C16">
            <v>16982.820000000003</v>
          </cell>
          <cell r="D16">
            <v>288.73999999999978</v>
          </cell>
          <cell r="E16">
            <v>-479.12999999999988</v>
          </cell>
          <cell r="F16">
            <v>12.310000000000002</v>
          </cell>
          <cell r="G16">
            <v>393.75</v>
          </cell>
          <cell r="H16">
            <v>155.62</v>
          </cell>
          <cell r="I16">
            <v>1718.0659856307532</v>
          </cell>
          <cell r="J16">
            <v>1718.0659856307532</v>
          </cell>
          <cell r="K16">
            <v>1718.0659856307532</v>
          </cell>
          <cell r="L16">
            <v>1856.5122631033203</v>
          </cell>
          <cell r="M16">
            <v>1856.5122631033203</v>
          </cell>
          <cell r="N16">
            <v>1856.5122631033203</v>
          </cell>
        </row>
        <row r="17">
          <cell r="C17">
            <v>32014</v>
          </cell>
          <cell r="D17">
            <v>16790.55</v>
          </cell>
          <cell r="E17">
            <v>-3067.1200000000008</v>
          </cell>
          <cell r="F17">
            <v>245.43000000000006</v>
          </cell>
          <cell r="G17">
            <v>984.52</v>
          </cell>
          <cell r="H17">
            <v>565.58000000000015</v>
          </cell>
          <cell r="I17">
            <v>4705.7879529602587</v>
          </cell>
          <cell r="J17">
            <v>4705.7879529602587</v>
          </cell>
          <cell r="K17">
            <v>4705.7879529602587</v>
          </cell>
          <cell r="L17">
            <v>5084.9927274633828</v>
          </cell>
          <cell r="M17">
            <v>5084.9927274633828</v>
          </cell>
          <cell r="N17">
            <v>5084.9927274633828</v>
          </cell>
        </row>
        <row r="18">
          <cell r="C18">
            <v>44000</v>
          </cell>
          <cell r="D18">
            <v>44000</v>
          </cell>
          <cell r="E18">
            <v>44000</v>
          </cell>
          <cell r="F18">
            <v>44000</v>
          </cell>
          <cell r="G18">
            <v>44000</v>
          </cell>
          <cell r="H18">
            <v>44000</v>
          </cell>
          <cell r="I18">
            <v>44000</v>
          </cell>
          <cell r="J18">
            <v>44000</v>
          </cell>
          <cell r="K18">
            <v>44000</v>
          </cell>
        </row>
        <row r="24">
          <cell r="C24">
            <v>102721.98999999998</v>
          </cell>
          <cell r="D24">
            <v>18098.100000000002</v>
          </cell>
          <cell r="E24">
            <v>9388.9100000000035</v>
          </cell>
          <cell r="F24">
            <v>20668.28</v>
          </cell>
          <cell r="G24">
            <v>32893.550000000003</v>
          </cell>
          <cell r="H24">
            <v>29690.670000000002</v>
          </cell>
          <cell r="I24">
            <v>22205.157145459118</v>
          </cell>
          <cell r="J24">
            <v>22205.157145459118</v>
          </cell>
          <cell r="K24">
            <v>22205.157145459118</v>
          </cell>
          <cell r="L24">
            <v>23789.232510700818</v>
          </cell>
          <cell r="M24">
            <v>23789.232510700818</v>
          </cell>
          <cell r="N24">
            <v>23789.232510700818</v>
          </cell>
        </row>
        <row r="25">
          <cell r="C25">
            <v>1639.9999999999998</v>
          </cell>
          <cell r="D25">
            <v>43.640000000000043</v>
          </cell>
          <cell r="E25">
            <v>-177.32</v>
          </cell>
          <cell r="F25">
            <v>-2.08</v>
          </cell>
          <cell r="G25">
            <v>14.970000000000002</v>
          </cell>
          <cell r="H25">
            <v>2.57</v>
          </cell>
          <cell r="I25">
            <v>158.30191411948655</v>
          </cell>
          <cell r="J25">
            <v>158.30191411948655</v>
          </cell>
          <cell r="K25">
            <v>158.30191411948655</v>
          </cell>
          <cell r="L25">
            <v>169.59488362132888</v>
          </cell>
          <cell r="M25">
            <v>169.59488362132888</v>
          </cell>
          <cell r="N25">
            <v>169.59488362132888</v>
          </cell>
        </row>
        <row r="26">
          <cell r="C26">
            <v>1674.8899999999999</v>
          </cell>
          <cell r="D26">
            <v>541.69999999999993</v>
          </cell>
          <cell r="E26">
            <v>-1258.2600000000002</v>
          </cell>
          <cell r="F26">
            <v>130.43</v>
          </cell>
          <cell r="G26">
            <v>8.7499999999999982</v>
          </cell>
          <cell r="H26">
            <v>2.2599999999999998</v>
          </cell>
          <cell r="I26">
            <v>114.40267061676961</v>
          </cell>
          <cell r="J26">
            <v>114.40267061676961</v>
          </cell>
          <cell r="K26">
            <v>114.40267061676961</v>
          </cell>
          <cell r="L26">
            <v>122.56394824496891</v>
          </cell>
          <cell r="M26">
            <v>122.56394824496891</v>
          </cell>
          <cell r="N26">
            <v>122.56394824496891</v>
          </cell>
        </row>
        <row r="27">
          <cell r="C27">
            <v>148.74</v>
          </cell>
          <cell r="D27">
            <v>97.74</v>
          </cell>
          <cell r="E27">
            <v>106.24</v>
          </cell>
          <cell r="F27">
            <v>12.75</v>
          </cell>
          <cell r="G27">
            <v>12.75</v>
          </cell>
          <cell r="H27">
            <v>0</v>
          </cell>
          <cell r="I27">
            <v>0</v>
          </cell>
        </row>
        <row r="28">
          <cell r="C28">
            <v>5000</v>
          </cell>
          <cell r="D28">
            <v>5000</v>
          </cell>
          <cell r="E28">
            <v>5000</v>
          </cell>
          <cell r="F28">
            <v>5000</v>
          </cell>
          <cell r="G28">
            <v>5000</v>
          </cell>
          <cell r="H28">
            <v>5000</v>
          </cell>
          <cell r="I28">
            <v>5000</v>
          </cell>
          <cell r="J28">
            <v>5000</v>
          </cell>
          <cell r="K28">
            <v>5000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5">
          <cell r="C35">
            <v>33474.340000000004</v>
          </cell>
          <cell r="D35">
            <v>25321.230000000003</v>
          </cell>
          <cell r="E35">
            <v>39053.539999999994</v>
          </cell>
          <cell r="F35">
            <v>21058.19</v>
          </cell>
          <cell r="G35">
            <v>21412.68</v>
          </cell>
          <cell r="H35">
            <v>20019.219999999994</v>
          </cell>
          <cell r="I35">
            <v>40601.718864485592</v>
          </cell>
          <cell r="J35">
            <v>15608.958704531018</v>
          </cell>
          <cell r="K35">
            <v>43260.915184325546</v>
          </cell>
          <cell r="L35">
            <v>20682.961310440078</v>
          </cell>
          <cell r="M35">
            <v>65700.187412063271</v>
          </cell>
          <cell r="N35">
            <v>11722.963207230254</v>
          </cell>
        </row>
        <row r="36">
          <cell r="C36">
            <v>3150.3100000000004</v>
          </cell>
          <cell r="D36">
            <v>26.650000000000205</v>
          </cell>
          <cell r="E36">
            <v>-325.63000000000005</v>
          </cell>
          <cell r="F36">
            <v>-3.5399999999999991</v>
          </cell>
          <cell r="G36">
            <v>27.099999999999998</v>
          </cell>
          <cell r="H36">
            <v>5.23</v>
          </cell>
          <cell r="I36">
            <v>729.31524253571342</v>
          </cell>
          <cell r="J36">
            <v>280.37856085158143</v>
          </cell>
          <cell r="K36">
            <v>777.08150621108064</v>
          </cell>
          <cell r="L36">
            <v>371.52119088422967</v>
          </cell>
          <cell r="M36">
            <v>1180.1507290121922</v>
          </cell>
          <cell r="N36">
            <v>210.57570944851918</v>
          </cell>
        </row>
        <row r="37">
          <cell r="C37">
            <v>3217.2799999999997</v>
          </cell>
          <cell r="D37">
            <v>939</v>
          </cell>
          <cell r="E37">
            <v>-2302.87</v>
          </cell>
          <cell r="F37">
            <v>238.95999999999998</v>
          </cell>
          <cell r="G37">
            <v>15.780000000000001</v>
          </cell>
          <cell r="H37">
            <v>4.4699999999999989</v>
          </cell>
          <cell r="I37">
            <v>534.9658929786948</v>
          </cell>
          <cell r="J37">
            <v>205.66273461740062</v>
          </cell>
          <cell r="K37">
            <v>570.00330946337408</v>
          </cell>
          <cell r="L37">
            <v>272.51749867569447</v>
          </cell>
          <cell r="M37">
            <v>865.66185892453689</v>
          </cell>
          <cell r="N37">
            <v>154.46108332122637</v>
          </cell>
        </row>
        <row r="38">
          <cell r="C38">
            <v>0</v>
          </cell>
          <cell r="D38">
            <v>12.75</v>
          </cell>
          <cell r="E38">
            <v>0</v>
          </cell>
          <cell r="F38">
            <v>46.75</v>
          </cell>
          <cell r="G38">
            <v>0</v>
          </cell>
          <cell r="H38">
            <v>12.75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C39">
            <v>245588</v>
          </cell>
          <cell r="D39">
            <v>245588</v>
          </cell>
          <cell r="E39">
            <v>245588</v>
          </cell>
          <cell r="F39">
            <v>245588</v>
          </cell>
          <cell r="G39">
            <v>245588</v>
          </cell>
          <cell r="H39">
            <v>245588</v>
          </cell>
          <cell r="I39">
            <v>248199</v>
          </cell>
          <cell r="J39">
            <v>248199</v>
          </cell>
          <cell r="K39">
            <v>248199</v>
          </cell>
        </row>
        <row r="40">
          <cell r="C40">
            <v>0</v>
          </cell>
          <cell r="D40">
            <v>0</v>
          </cell>
          <cell r="E40">
            <v>30150.68</v>
          </cell>
          <cell r="F40">
            <v>0</v>
          </cell>
          <cell r="G40">
            <v>0</v>
          </cell>
          <cell r="H40">
            <v>52130.400000000001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19080.940000000002</v>
          </cell>
          <cell r="D41">
            <v>0</v>
          </cell>
          <cell r="E41">
            <v>158.94999999999999</v>
          </cell>
          <cell r="F41">
            <v>37106.720000000001</v>
          </cell>
          <cell r="G41">
            <v>42</v>
          </cell>
          <cell r="H41">
            <v>0</v>
          </cell>
          <cell r="I41">
            <v>17415</v>
          </cell>
          <cell r="J41">
            <v>192</v>
          </cell>
          <cell r="K41">
            <v>47279</v>
          </cell>
          <cell r="L41">
            <v>12215</v>
          </cell>
          <cell r="M41">
            <v>64</v>
          </cell>
          <cell r="N41">
            <v>873</v>
          </cell>
        </row>
        <row r="42">
          <cell r="C42">
            <v>27573.13</v>
          </cell>
          <cell r="D42">
            <v>27573.13</v>
          </cell>
          <cell r="E42">
            <v>27573.13</v>
          </cell>
          <cell r="F42">
            <v>27573.13</v>
          </cell>
          <cell r="G42">
            <v>27573.13</v>
          </cell>
          <cell r="H42">
            <v>27573.09</v>
          </cell>
          <cell r="I42">
            <v>25193</v>
          </cell>
          <cell r="J42">
            <v>25193</v>
          </cell>
          <cell r="K42">
            <v>25193</v>
          </cell>
          <cell r="L42">
            <v>24523</v>
          </cell>
          <cell r="M42">
            <v>24523</v>
          </cell>
          <cell r="N42">
            <v>24523</v>
          </cell>
        </row>
        <row r="43">
          <cell r="C43">
            <v>16598.849999999999</v>
          </cell>
          <cell r="D43">
            <v>15182.25</v>
          </cell>
          <cell r="E43">
            <v>12466.42</v>
          </cell>
          <cell r="F43">
            <v>10993.38</v>
          </cell>
          <cell r="G43">
            <v>15015.51</v>
          </cell>
          <cell r="H43">
            <v>10886.26</v>
          </cell>
          <cell r="I43">
            <v>9046.8071913007643</v>
          </cell>
          <cell r="J43">
            <v>9046.8071913007643</v>
          </cell>
          <cell r="K43">
            <v>9046.8071913007643</v>
          </cell>
        </row>
        <row r="44">
          <cell r="C44">
            <v>26372.68</v>
          </cell>
          <cell r="D44">
            <v>20039.37</v>
          </cell>
          <cell r="E44">
            <v>15692.2</v>
          </cell>
          <cell r="F44">
            <v>-105354.85</v>
          </cell>
          <cell r="G44">
            <v>142730.79</v>
          </cell>
          <cell r="H44">
            <v>15677.17</v>
          </cell>
          <cell r="I44">
            <v>12839.193393306026</v>
          </cell>
          <cell r="J44">
            <v>12839.193393306026</v>
          </cell>
          <cell r="K44">
            <v>12839.193393306026</v>
          </cell>
        </row>
        <row r="45">
          <cell r="C45">
            <v>55870.77</v>
          </cell>
          <cell r="D45">
            <v>11950.04</v>
          </cell>
          <cell r="E45">
            <v>6562.43</v>
          </cell>
          <cell r="F45">
            <v>12969.21</v>
          </cell>
          <cell r="G45">
            <v>19059.84</v>
          </cell>
          <cell r="H45">
            <v>17434.490000000002</v>
          </cell>
          <cell r="I45">
            <v>13807.999415393204</v>
          </cell>
          <cell r="J45">
            <v>13807.999415393204</v>
          </cell>
          <cell r="K45">
            <v>13807.999415393204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018 Budget"/>
      <sheetName val="KS Budget Detail"/>
      <sheetName val="TX Rule 8.209 deferrals"/>
    </sheetNames>
    <sheetDataSet>
      <sheetData sheetId="0">
        <row r="5">
          <cell r="D5">
            <v>64500</v>
          </cell>
          <cell r="E5">
            <v>69700</v>
          </cell>
        </row>
        <row r="6">
          <cell r="D6">
            <v>48700</v>
          </cell>
          <cell r="E6">
            <v>52600</v>
          </cell>
        </row>
        <row r="21">
          <cell r="D21">
            <v>391500</v>
          </cell>
          <cell r="E21">
            <v>423000</v>
          </cell>
        </row>
        <row r="25">
          <cell r="D25">
            <v>200</v>
          </cell>
          <cell r="E25">
            <v>300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.1"/>
      <sheetName val="PIVOT"/>
      <sheetName val="DATABASE"/>
    </sheetNames>
    <sheetDataSet>
      <sheetData sheetId="0">
        <row r="15">
          <cell r="D15">
            <v>37502.46</v>
          </cell>
        </row>
        <row r="16">
          <cell r="D16">
            <v>3307</v>
          </cell>
        </row>
        <row r="17">
          <cell r="D17">
            <v>7500</v>
          </cell>
        </row>
        <row r="18">
          <cell r="D18">
            <v>125</v>
          </cell>
        </row>
        <row r="19">
          <cell r="D19">
            <v>100</v>
          </cell>
        </row>
        <row r="20">
          <cell r="D20">
            <v>500</v>
          </cell>
        </row>
        <row r="21">
          <cell r="D21">
            <v>100</v>
          </cell>
        </row>
        <row r="22">
          <cell r="D22">
            <v>150</v>
          </cell>
        </row>
        <row r="23">
          <cell r="D23">
            <v>1348.08</v>
          </cell>
        </row>
        <row r="24">
          <cell r="D24">
            <v>250</v>
          </cell>
        </row>
        <row r="25">
          <cell r="D25">
            <v>370</v>
          </cell>
        </row>
        <row r="26">
          <cell r="D26">
            <v>800</v>
          </cell>
        </row>
        <row r="27">
          <cell r="D27">
            <v>300</v>
          </cell>
        </row>
        <row r="28">
          <cell r="D28">
            <v>3825</v>
          </cell>
        </row>
        <row r="29">
          <cell r="D29">
            <v>100</v>
          </cell>
        </row>
        <row r="30">
          <cell r="D30">
            <v>175</v>
          </cell>
        </row>
        <row r="31">
          <cell r="D31">
            <v>760</v>
          </cell>
        </row>
        <row r="32">
          <cell r="D32">
            <v>10000</v>
          </cell>
        </row>
        <row r="33">
          <cell r="D33">
            <v>256</v>
          </cell>
        </row>
        <row r="34">
          <cell r="D34">
            <v>200</v>
          </cell>
        </row>
        <row r="35">
          <cell r="D35">
            <v>200</v>
          </cell>
        </row>
        <row r="36">
          <cell r="D36">
            <v>420</v>
          </cell>
        </row>
        <row r="37">
          <cell r="D37">
            <v>335</v>
          </cell>
        </row>
        <row r="38">
          <cell r="D38">
            <v>1200</v>
          </cell>
        </row>
        <row r="39">
          <cell r="D39">
            <v>305</v>
          </cell>
        </row>
        <row r="40">
          <cell r="D40">
            <v>295</v>
          </cell>
        </row>
        <row r="41">
          <cell r="D41">
            <v>150</v>
          </cell>
        </row>
        <row r="42">
          <cell r="D42">
            <v>415</v>
          </cell>
        </row>
        <row r="43">
          <cell r="D43">
            <v>5000</v>
          </cell>
        </row>
        <row r="44">
          <cell r="D44">
            <v>25</v>
          </cell>
        </row>
        <row r="45">
          <cell r="D45">
            <v>15490</v>
          </cell>
        </row>
        <row r="46">
          <cell r="D46">
            <v>200</v>
          </cell>
        </row>
        <row r="47">
          <cell r="D47">
            <v>10720.45</v>
          </cell>
        </row>
        <row r="48">
          <cell r="D48">
            <v>1000</v>
          </cell>
        </row>
        <row r="49">
          <cell r="D49">
            <v>133</v>
          </cell>
        </row>
        <row r="50">
          <cell r="D50">
            <v>255</v>
          </cell>
        </row>
        <row r="51">
          <cell r="D51">
            <v>125</v>
          </cell>
        </row>
        <row r="52">
          <cell r="D52">
            <v>30</v>
          </cell>
        </row>
        <row r="53">
          <cell r="D53">
            <v>140</v>
          </cell>
        </row>
        <row r="54">
          <cell r="D54">
            <v>750</v>
          </cell>
        </row>
        <row r="55">
          <cell r="D55">
            <v>350</v>
          </cell>
        </row>
        <row r="56">
          <cell r="D56">
            <v>1000</v>
          </cell>
        </row>
        <row r="57">
          <cell r="D57">
            <v>400</v>
          </cell>
        </row>
        <row r="58">
          <cell r="D58">
            <v>500</v>
          </cell>
        </row>
        <row r="59">
          <cell r="D59">
            <v>1525</v>
          </cell>
        </row>
        <row r="60">
          <cell r="D60">
            <v>500</v>
          </cell>
        </row>
        <row r="61">
          <cell r="D61">
            <v>130</v>
          </cell>
        </row>
        <row r="62">
          <cell r="D62">
            <v>300</v>
          </cell>
        </row>
        <row r="63">
          <cell r="D63">
            <v>250</v>
          </cell>
        </row>
        <row r="64">
          <cell r="D64">
            <v>100</v>
          </cell>
        </row>
        <row r="65">
          <cell r="D65">
            <v>975</v>
          </cell>
        </row>
        <row r="66">
          <cell r="D66">
            <v>163.19999999999999</v>
          </cell>
        </row>
        <row r="67">
          <cell r="D67">
            <v>500</v>
          </cell>
        </row>
        <row r="68">
          <cell r="D68">
            <v>60</v>
          </cell>
        </row>
        <row r="69">
          <cell r="D69">
            <v>2999.4</v>
          </cell>
        </row>
        <row r="70">
          <cell r="D70">
            <v>390</v>
          </cell>
        </row>
        <row r="71">
          <cell r="D71">
            <v>6000</v>
          </cell>
        </row>
        <row r="72">
          <cell r="D72">
            <v>0</v>
          </cell>
        </row>
        <row r="73">
          <cell r="D73">
            <v>125</v>
          </cell>
        </row>
        <row r="74">
          <cell r="D74">
            <v>250</v>
          </cell>
        </row>
        <row r="75">
          <cell r="D75">
            <v>470</v>
          </cell>
        </row>
        <row r="76">
          <cell r="D76">
            <v>50</v>
          </cell>
        </row>
        <row r="83">
          <cell r="D83">
            <v>37502.46</v>
          </cell>
        </row>
        <row r="84">
          <cell r="D84">
            <v>3307</v>
          </cell>
        </row>
        <row r="85">
          <cell r="D85">
            <v>7500</v>
          </cell>
        </row>
        <row r="86">
          <cell r="D86">
            <v>125</v>
          </cell>
        </row>
        <row r="87">
          <cell r="D87">
            <v>100</v>
          </cell>
        </row>
        <row r="88">
          <cell r="D88">
            <v>500</v>
          </cell>
        </row>
        <row r="89">
          <cell r="D89">
            <v>100</v>
          </cell>
        </row>
        <row r="90">
          <cell r="D90">
            <v>150</v>
          </cell>
        </row>
        <row r="91">
          <cell r="D91">
            <v>1348.08</v>
          </cell>
        </row>
        <row r="92">
          <cell r="D92">
            <v>250</v>
          </cell>
        </row>
        <row r="93">
          <cell r="D93">
            <v>370</v>
          </cell>
        </row>
        <row r="94">
          <cell r="D94">
            <v>800</v>
          </cell>
        </row>
        <row r="95">
          <cell r="D95">
            <v>300</v>
          </cell>
        </row>
        <row r="96">
          <cell r="D96">
            <v>3825</v>
          </cell>
        </row>
        <row r="97">
          <cell r="D97">
            <v>100</v>
          </cell>
        </row>
        <row r="98">
          <cell r="D98">
            <v>175</v>
          </cell>
        </row>
        <row r="99">
          <cell r="D99">
            <v>760</v>
          </cell>
        </row>
        <row r="100">
          <cell r="D100">
            <v>10000</v>
          </cell>
        </row>
        <row r="101">
          <cell r="D101">
            <v>256</v>
          </cell>
        </row>
        <row r="102">
          <cell r="D102">
            <v>200</v>
          </cell>
        </row>
        <row r="103">
          <cell r="D103">
            <v>200</v>
          </cell>
        </row>
        <row r="104">
          <cell r="D104">
            <v>420</v>
          </cell>
        </row>
        <row r="105">
          <cell r="D105">
            <v>335</v>
          </cell>
        </row>
        <row r="106">
          <cell r="D106">
            <v>1200</v>
          </cell>
        </row>
        <row r="107">
          <cell r="D107">
            <v>305</v>
          </cell>
        </row>
        <row r="108">
          <cell r="D108">
            <v>295</v>
          </cell>
        </row>
        <row r="109">
          <cell r="D109">
            <v>150</v>
          </cell>
        </row>
        <row r="110">
          <cell r="D110">
            <v>415</v>
          </cell>
        </row>
        <row r="111">
          <cell r="D111">
            <v>5000</v>
          </cell>
        </row>
        <row r="112">
          <cell r="D112">
            <v>25</v>
          </cell>
        </row>
        <row r="113">
          <cell r="D113">
            <v>15490</v>
          </cell>
        </row>
        <row r="114">
          <cell r="D114">
            <v>200</v>
          </cell>
        </row>
        <row r="115">
          <cell r="D115">
            <v>10720.45</v>
          </cell>
        </row>
        <row r="116">
          <cell r="D116">
            <v>1000</v>
          </cell>
        </row>
        <row r="117">
          <cell r="D117">
            <v>133</v>
          </cell>
        </row>
        <row r="118">
          <cell r="D118">
            <v>255</v>
          </cell>
        </row>
        <row r="119">
          <cell r="D119">
            <v>125</v>
          </cell>
        </row>
        <row r="120">
          <cell r="D120">
            <v>30</v>
          </cell>
        </row>
        <row r="121">
          <cell r="D121">
            <v>140</v>
          </cell>
        </row>
        <row r="122">
          <cell r="D122">
            <v>750</v>
          </cell>
        </row>
        <row r="123">
          <cell r="D123">
            <v>350</v>
          </cell>
        </row>
        <row r="124">
          <cell r="D124">
            <v>1000</v>
          </cell>
        </row>
        <row r="125">
          <cell r="D125">
            <v>400</v>
          </cell>
        </row>
        <row r="126">
          <cell r="D126">
            <v>500</v>
          </cell>
        </row>
        <row r="127">
          <cell r="D127">
            <v>1525</v>
          </cell>
        </row>
        <row r="128">
          <cell r="D128">
            <v>500</v>
          </cell>
        </row>
        <row r="129">
          <cell r="D129">
            <v>130</v>
          </cell>
        </row>
        <row r="130">
          <cell r="D130">
            <v>300</v>
          </cell>
        </row>
        <row r="131">
          <cell r="D131">
            <v>250</v>
          </cell>
        </row>
        <row r="132">
          <cell r="D132">
            <v>100</v>
          </cell>
        </row>
        <row r="133">
          <cell r="D133">
            <v>975</v>
          </cell>
        </row>
        <row r="134">
          <cell r="D134">
            <v>163.19999999999999</v>
          </cell>
        </row>
        <row r="135">
          <cell r="D135">
            <v>500</v>
          </cell>
        </row>
        <row r="136">
          <cell r="D136">
            <v>60</v>
          </cell>
        </row>
        <row r="137">
          <cell r="D137">
            <v>2999.4</v>
          </cell>
        </row>
        <row r="138">
          <cell r="D138">
            <v>390</v>
          </cell>
        </row>
        <row r="139">
          <cell r="D139">
            <v>6000</v>
          </cell>
        </row>
        <row r="140">
          <cell r="D140">
            <v>0</v>
          </cell>
        </row>
        <row r="141">
          <cell r="D141">
            <v>125</v>
          </cell>
        </row>
        <row r="142">
          <cell r="D142">
            <v>250</v>
          </cell>
        </row>
        <row r="143">
          <cell r="D143">
            <v>470</v>
          </cell>
        </row>
        <row r="144">
          <cell r="D144">
            <v>50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.2.1"/>
      <sheetName val="Support"/>
      <sheetName val="Support Details"/>
    </sheetNames>
    <sheetDataSet>
      <sheetData sheetId="0">
        <row r="15">
          <cell r="D15">
            <v>70955</v>
          </cell>
        </row>
        <row r="16">
          <cell r="D16">
            <v>23111.41</v>
          </cell>
        </row>
        <row r="17">
          <cell r="D17">
            <v>3000</v>
          </cell>
        </row>
        <row r="18">
          <cell r="D18">
            <v>8850</v>
          </cell>
        </row>
        <row r="19">
          <cell r="D19">
            <v>500</v>
          </cell>
        </row>
        <row r="20">
          <cell r="D20">
            <v>11175</v>
          </cell>
        </row>
        <row r="21">
          <cell r="D21">
            <v>178005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V Center"/>
      <sheetName val="Detail CKV"/>
      <sheetName val="Greenville"/>
      <sheetName val="Aligne"/>
    </sheetNames>
    <sheetDataSet>
      <sheetData sheetId="0">
        <row r="20">
          <cell r="L20">
            <v>2.3324339999999999E-2</v>
          </cell>
        </row>
      </sheetData>
      <sheetData sheetId="1"/>
      <sheetData sheetId="2">
        <row r="24">
          <cell r="J24">
            <v>1.550753E-2</v>
          </cell>
        </row>
      </sheetData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vert summary"/>
      <sheetName val="Div 9 adv"/>
      <sheetName val="6E0C513A2F9C450B86AA841589EF8A4"/>
      <sheetName val="Div 91 adv"/>
      <sheetName val="Div 2 adv"/>
      <sheetName val="Div 12 adv"/>
      <sheetName val="FF7FDFC85B524710987AB223481D523"/>
      <sheetName val="C0131B3DA4A74E9D8A9855EB618EDC9"/>
      <sheetName val="KY-Mid-States IS TB"/>
      <sheetName val="SSU TB IS "/>
      <sheetName val="2017 Acct 4264"/>
      <sheetName val="4264 Div 9"/>
      <sheetName val="4264 Div 91"/>
      <sheetName val="4264 Div 002"/>
      <sheetName val="FY18 4264"/>
    </sheetNames>
    <sheetDataSet>
      <sheetData sheetId="0">
        <row r="12">
          <cell r="P12">
            <v>9019.9736701316433</v>
          </cell>
        </row>
        <row r="26">
          <cell r="P26">
            <v>76811.703345893111</v>
          </cell>
        </row>
        <row r="32">
          <cell r="P32">
            <v>299672.27034322079</v>
          </cell>
        </row>
        <row r="42">
          <cell r="P42">
            <v>8016.6241776154129</v>
          </cell>
        </row>
        <row r="53">
          <cell r="P53">
            <v>111115.88966338914</v>
          </cell>
        </row>
        <row r="59">
          <cell r="P59">
            <v>812.33999999999992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9">
          <cell r="S69">
            <v>75000</v>
          </cell>
        </row>
        <row r="70">
          <cell r="S70">
            <v>4404</v>
          </cell>
        </row>
        <row r="71">
          <cell r="S71">
            <v>655809.22100000002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.6"/>
      <sheetName val="Pivot"/>
      <sheetName val="2015.2016 Rate Case Expenses"/>
    </sheetNames>
    <sheetDataSet>
      <sheetData sheetId="0">
        <row r="15">
          <cell r="D15">
            <v>16997</v>
          </cell>
        </row>
        <row r="16">
          <cell r="D16">
            <v>30058.260000000002</v>
          </cell>
        </row>
        <row r="20">
          <cell r="E20">
            <v>124286.81</v>
          </cell>
        </row>
        <row r="23">
          <cell r="E23">
            <v>11653.849999999999</v>
          </cell>
        </row>
        <row r="26">
          <cell r="E26">
            <v>130888.16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Division 009 Summary "/>
      <sheetName val="009DIV"/>
    </sheetNames>
    <sheetDataSet>
      <sheetData sheetId="0">
        <row r="19">
          <cell r="A19">
            <v>21173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Division 091 Summary"/>
      <sheetName val="091DIV"/>
    </sheetNames>
    <sheetDataSet>
      <sheetData sheetId="0">
        <row r="19">
          <cell r="D19">
            <v>43047.37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2 Non-MC IEXP Jan'17-Jun'17"/>
      <sheetName val="002 MC IEXP Jan'17-Jun'17"/>
    </sheetNames>
    <sheetDataSet>
      <sheetData sheetId="0">
        <row r="1162">
          <cell r="BN1162">
            <v>121491.4337105263</v>
          </cell>
        </row>
      </sheetData>
      <sheetData sheetId="1">
        <row r="462">
          <cell r="BN462">
            <v>23491.390884713412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2 IEXP Jan'17-Jun'17"/>
    </sheetNames>
    <sheetDataSet>
      <sheetData sheetId="0">
        <row r="154">
          <cell r="BN154">
            <v>40928.550910874976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FY17"/>
      <sheetName val="Worker's Comp from PlanIt FY17"/>
    </sheetNames>
    <sheetDataSet>
      <sheetData sheetId="0">
        <row r="68">
          <cell r="K68">
            <v>5.0053147070198381E-2</v>
          </cell>
        </row>
        <row r="76">
          <cell r="K76">
            <v>0.20103711248017939</v>
          </cell>
        </row>
        <row r="77">
          <cell r="K77">
            <v>4.0896108491550703E-2</v>
          </cell>
        </row>
        <row r="78">
          <cell r="K78">
            <v>7.558385014074652E-2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 9"/>
    </sheetNames>
    <sheetDataSet>
      <sheetData sheetId="0">
        <row r="35">
          <cell r="B35">
            <v>0.40873088709344141</v>
          </cell>
        </row>
        <row r="43">
          <cell r="B43">
            <v>0.39628036819409806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"/>
      <sheetName val="G.3"/>
      <sheetName val="Pivot Salary and Tax"/>
      <sheetName val="Pivot Restricted Stock"/>
      <sheetName val="Load Rates"/>
      <sheetName val="SERP"/>
      <sheetName val="SERP July-16 - June-17"/>
      <sheetName val="FY17 Budget MIP Accrual "/>
      <sheetName val="FY16 Budget MIP Accrual"/>
    </sheetNames>
    <sheetDataSet>
      <sheetData sheetId="0"/>
      <sheetData sheetId="1">
        <row r="20">
          <cell r="G20">
            <v>2988233.1100000003</v>
          </cell>
        </row>
        <row r="21">
          <cell r="G21">
            <v>7179963.5133100003</v>
          </cell>
        </row>
        <row r="24">
          <cell r="D24" t="str">
            <v>FY16</v>
          </cell>
          <cell r="E24" t="str">
            <v>FY17</v>
          </cell>
          <cell r="F24" t="str">
            <v>Wtd Avg</v>
          </cell>
        </row>
        <row r="25">
          <cell r="D25">
            <v>7.3999999999999996E-2</v>
          </cell>
          <cell r="E25">
            <v>0.06</v>
          </cell>
          <cell r="F25">
            <v>6.3500000000000001E-2</v>
          </cell>
        </row>
        <row r="26">
          <cell r="G26">
            <v>4157744.0100000002</v>
          </cell>
        </row>
        <row r="27">
          <cell r="D27">
            <v>0.27700000000000002</v>
          </cell>
          <cell r="E27">
            <v>0.27999999999999997</v>
          </cell>
          <cell r="F27">
            <v>0.27925</v>
          </cell>
        </row>
        <row r="31">
          <cell r="G31">
            <v>254050.24</v>
          </cell>
          <cell r="K31">
            <v>264212.24959999998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8">
          <cell r="D18">
            <v>1.9959999999999999E-3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 Plant"/>
      <sheetName val="Reserve"/>
      <sheetName val="Net Plant"/>
      <sheetName val="Capital Spending"/>
      <sheetName val="2018 Capital Budget"/>
    </sheetNames>
    <sheetDataSet>
      <sheetData sheetId="0">
        <row r="7">
          <cell r="C7">
            <v>1636435.493973881</v>
          </cell>
          <cell r="D7">
            <v>1411473.2213790265</v>
          </cell>
          <cell r="Q7">
            <v>1411420.9444197712</v>
          </cell>
          <cell r="AF7">
            <v>1411508.0726851968</v>
          </cell>
        </row>
        <row r="8">
          <cell r="C8">
            <v>9133014.5900000017</v>
          </cell>
          <cell r="D8">
            <v>9133014.5900000017</v>
          </cell>
          <cell r="Q8">
            <v>9133014.5899999999</v>
          </cell>
          <cell r="AF8">
            <v>9133014.5899999999</v>
          </cell>
        </row>
        <row r="9">
          <cell r="C9">
            <v>9332933.2638449538</v>
          </cell>
          <cell r="D9">
            <v>9784879.1724686306</v>
          </cell>
          <cell r="Q9">
            <v>9490592.8250148408</v>
          </cell>
          <cell r="AF9">
            <v>9981070.070771154</v>
          </cell>
        </row>
        <row r="10">
          <cell r="C10">
            <v>0</v>
          </cell>
          <cell r="D10">
            <v>0</v>
          </cell>
          <cell r="Q10">
            <v>0</v>
          </cell>
          <cell r="AF10">
            <v>0</v>
          </cell>
        </row>
        <row r="11">
          <cell r="C11">
            <v>0</v>
          </cell>
          <cell r="D11">
            <v>0</v>
          </cell>
          <cell r="Q11">
            <v>0</v>
          </cell>
          <cell r="AF11">
            <v>0</v>
          </cell>
        </row>
        <row r="12">
          <cell r="C12">
            <v>6119580.5634966083</v>
          </cell>
          <cell r="D12">
            <v>5126892.7352932561</v>
          </cell>
          <cell r="Q12">
            <v>5092631.8061178466</v>
          </cell>
          <cell r="AF12">
            <v>5149733.3547435291</v>
          </cell>
        </row>
        <row r="13">
          <cell r="C13">
            <v>0</v>
          </cell>
          <cell r="D13">
            <v>0</v>
          </cell>
          <cell r="Q13">
            <v>0</v>
          </cell>
          <cell r="AF13">
            <v>0</v>
          </cell>
        </row>
        <row r="14">
          <cell r="C14">
            <v>0</v>
          </cell>
          <cell r="D14">
            <v>0</v>
          </cell>
          <cell r="Q14">
            <v>0</v>
          </cell>
          <cell r="AF14">
            <v>0</v>
          </cell>
        </row>
        <row r="15">
          <cell r="C15">
            <v>63740.849999999984</v>
          </cell>
          <cell r="D15">
            <v>63740.849999999984</v>
          </cell>
          <cell r="Q15">
            <v>63740.85</v>
          </cell>
          <cell r="AF15">
            <v>63740.85</v>
          </cell>
        </row>
        <row r="16">
          <cell r="C16">
            <v>263337.89000000007</v>
          </cell>
          <cell r="D16">
            <v>263337.89000000007</v>
          </cell>
          <cell r="Q16">
            <v>263337.89</v>
          </cell>
          <cell r="AF16">
            <v>263337.89</v>
          </cell>
        </row>
        <row r="17">
          <cell r="C17">
            <v>7125.4100000000026</v>
          </cell>
          <cell r="D17">
            <v>7125.4100000000026</v>
          </cell>
          <cell r="Q17">
            <v>7125.41</v>
          </cell>
          <cell r="AF17">
            <v>7125.41</v>
          </cell>
        </row>
        <row r="18">
          <cell r="C18">
            <v>0</v>
          </cell>
          <cell r="D18">
            <v>0</v>
          </cell>
          <cell r="Q18">
            <v>0</v>
          </cell>
          <cell r="AF18">
            <v>0</v>
          </cell>
        </row>
        <row r="19">
          <cell r="C19">
            <v>121578.56679983175</v>
          </cell>
          <cell r="D19">
            <v>121415.95157857971</v>
          </cell>
          <cell r="Q19">
            <v>96505.604240730449</v>
          </cell>
          <cell r="AF19">
            <v>138022.84980381257</v>
          </cell>
        </row>
        <row r="20">
          <cell r="C20">
            <v>76748.881889557291</v>
          </cell>
          <cell r="D20">
            <v>392536.13587012351</v>
          </cell>
          <cell r="Q20">
            <v>176760.13144960572</v>
          </cell>
          <cell r="AF20">
            <v>536386.80548380211</v>
          </cell>
        </row>
        <row r="21">
          <cell r="C21">
            <v>0</v>
          </cell>
          <cell r="D21">
            <v>0</v>
          </cell>
          <cell r="Q21">
            <v>0</v>
          </cell>
          <cell r="AF21">
            <v>0</v>
          </cell>
        </row>
        <row r="22">
          <cell r="C22">
            <v>1788308.1200000008</v>
          </cell>
          <cell r="D22">
            <v>1788308.1200000008</v>
          </cell>
          <cell r="Q22">
            <v>1788308.12</v>
          </cell>
          <cell r="AF22">
            <v>1788308.12</v>
          </cell>
        </row>
        <row r="23">
          <cell r="C23">
            <v>8824.3399999999983</v>
          </cell>
          <cell r="D23">
            <v>8824.3399999999983</v>
          </cell>
          <cell r="Q23">
            <v>8824.34</v>
          </cell>
          <cell r="AF23">
            <v>8824.34</v>
          </cell>
        </row>
        <row r="24">
          <cell r="C24">
            <v>136509.51999999999</v>
          </cell>
          <cell r="D24">
            <v>136509.51999999999</v>
          </cell>
          <cell r="Q24">
            <v>136509.51999999999</v>
          </cell>
          <cell r="AF24">
            <v>136509.51999999999</v>
          </cell>
        </row>
        <row r="25">
          <cell r="C25">
            <v>7388.39</v>
          </cell>
          <cell r="D25">
            <v>7388.39</v>
          </cell>
          <cell r="Q25">
            <v>7388.39</v>
          </cell>
          <cell r="AF25">
            <v>7388.39</v>
          </cell>
        </row>
        <row r="26">
          <cell r="C26">
            <v>162267.97</v>
          </cell>
          <cell r="D26">
            <v>162267.97</v>
          </cell>
          <cell r="Q26">
            <v>162267.97</v>
          </cell>
          <cell r="AF26">
            <v>162267.97</v>
          </cell>
        </row>
        <row r="27">
          <cell r="C27">
            <v>34681158.660527818</v>
          </cell>
          <cell r="D27">
            <v>35932078.376975782</v>
          </cell>
          <cell r="Q27">
            <v>35071126.966007173</v>
          </cell>
          <cell r="AF27">
            <v>36506045.984288201</v>
          </cell>
        </row>
        <row r="28">
          <cell r="C28">
            <v>19005572.419999994</v>
          </cell>
          <cell r="D28">
            <v>19005572.419999994</v>
          </cell>
          <cell r="Q28">
            <v>19005572.419999998</v>
          </cell>
          <cell r="AF28">
            <v>19005572.419999998</v>
          </cell>
        </row>
        <row r="29">
          <cell r="C29">
            <v>3548953.2299999991</v>
          </cell>
          <cell r="D29">
            <v>3548953.2299999991</v>
          </cell>
          <cell r="Q29">
            <v>3548953.23</v>
          </cell>
          <cell r="AF29">
            <v>3548953.23</v>
          </cell>
        </row>
        <row r="30">
          <cell r="C30">
            <v>0</v>
          </cell>
          <cell r="D30">
            <v>0</v>
          </cell>
          <cell r="Q30">
            <v>0</v>
          </cell>
          <cell r="AF30">
            <v>0</v>
          </cell>
        </row>
        <row r="31">
          <cell r="C31">
            <v>0</v>
          </cell>
          <cell r="D31">
            <v>0</v>
          </cell>
          <cell r="Q31">
            <v>0</v>
          </cell>
          <cell r="AF31">
            <v>0</v>
          </cell>
        </row>
        <row r="32">
          <cell r="C32">
            <v>1812255.4885791345</v>
          </cell>
          <cell r="D32">
            <v>1879606.2532307121</v>
          </cell>
          <cell r="Q32">
            <v>1832419.679885576</v>
          </cell>
          <cell r="AF32">
            <v>1911063.9687941358</v>
          </cell>
        </row>
        <row r="33">
          <cell r="C33">
            <v>1473097.1146971728</v>
          </cell>
          <cell r="D33">
            <v>1471233.2827713727</v>
          </cell>
          <cell r="Q33">
            <v>1472508.4687512559</v>
          </cell>
          <cell r="AF33">
            <v>1470383.1587847839</v>
          </cell>
        </row>
        <row r="34">
          <cell r="C34">
            <v>63125893.091210872</v>
          </cell>
          <cell r="D34">
            <v>73682455.560015619</v>
          </cell>
          <cell r="Q34">
            <v>66470184.967220388</v>
          </cell>
          <cell r="AF34">
            <v>78490635.955212444</v>
          </cell>
        </row>
        <row r="35">
          <cell r="C35">
            <v>39251.620000000003</v>
          </cell>
          <cell r="D35">
            <v>39251.620000000003</v>
          </cell>
          <cell r="Q35">
            <v>39251.620000000003</v>
          </cell>
          <cell r="AF35">
            <v>39251.620000000003</v>
          </cell>
        </row>
        <row r="36">
          <cell r="C36">
            <v>1628899.91</v>
          </cell>
          <cell r="D36">
            <v>1628899.91</v>
          </cell>
          <cell r="Q36">
            <v>1628899.91</v>
          </cell>
          <cell r="AF36">
            <v>1628899.91</v>
          </cell>
        </row>
        <row r="37">
          <cell r="C37">
            <v>961255.64000000013</v>
          </cell>
          <cell r="D37">
            <v>961255.64000000013</v>
          </cell>
          <cell r="Q37">
            <v>961255.64</v>
          </cell>
          <cell r="AF37">
            <v>961255.64</v>
          </cell>
        </row>
        <row r="38">
          <cell r="C38">
            <v>60170.359999999993</v>
          </cell>
          <cell r="D38">
            <v>60170.359999999993</v>
          </cell>
          <cell r="Q38">
            <v>60170.36</v>
          </cell>
          <cell r="AF38">
            <v>60170.36</v>
          </cell>
        </row>
        <row r="39">
          <cell r="C39">
            <v>0</v>
          </cell>
          <cell r="D39">
            <v>0</v>
          </cell>
          <cell r="Q39">
            <v>0</v>
          </cell>
          <cell r="AF39">
            <v>0</v>
          </cell>
        </row>
        <row r="40">
          <cell r="C40">
            <v>326577.04995390249</v>
          </cell>
          <cell r="D40">
            <v>396158.23124392692</v>
          </cell>
          <cell r="Q40">
            <v>351204.64984342962</v>
          </cell>
          <cell r="AF40">
            <v>426127.28551092511</v>
          </cell>
        </row>
        <row r="41">
          <cell r="C41">
            <v>19325874.901538465</v>
          </cell>
          <cell r="D41">
            <v>19396382.18</v>
          </cell>
          <cell r="Q41">
            <v>19396382.179999996</v>
          </cell>
          <cell r="AF41">
            <v>19396382.179999996</v>
          </cell>
        </row>
        <row r="42">
          <cell r="C42">
            <v>297703.32704114646</v>
          </cell>
          <cell r="D42">
            <v>303061.46135404526</v>
          </cell>
          <cell r="Q42">
            <v>299424.38376368739</v>
          </cell>
          <cell r="AF42">
            <v>305486.17974761716</v>
          </cell>
        </row>
        <row r="43">
          <cell r="C43">
            <v>346279.97708579502</v>
          </cell>
          <cell r="D43">
            <v>353032.12878796458</v>
          </cell>
          <cell r="Q43">
            <v>348448.79839658114</v>
          </cell>
          <cell r="AF43">
            <v>356087.68238222011</v>
          </cell>
        </row>
        <row r="44">
          <cell r="C44">
            <v>17551622.810899321</v>
          </cell>
          <cell r="D44">
            <v>17975135.079030987</v>
          </cell>
          <cell r="Q44">
            <v>17687656.864889119</v>
          </cell>
          <cell r="AF44">
            <v>18166787.221792232</v>
          </cell>
        </row>
        <row r="50">
          <cell r="C50">
            <v>2874239.86</v>
          </cell>
          <cell r="D50">
            <v>2874239.86</v>
          </cell>
          <cell r="Q50">
            <v>2874239.86</v>
          </cell>
          <cell r="AF50">
            <v>2874239.86</v>
          </cell>
        </row>
        <row r="51">
          <cell r="C51">
            <v>1887122.8799999992</v>
          </cell>
          <cell r="D51">
            <v>1887122.8799999992</v>
          </cell>
          <cell r="Q51">
            <v>1887122.88</v>
          </cell>
          <cell r="AF51">
            <v>1887122.88</v>
          </cell>
        </row>
        <row r="52">
          <cell r="C52">
            <v>12620665.26</v>
          </cell>
          <cell r="D52">
            <v>12620665.26</v>
          </cell>
          <cell r="Q52">
            <v>12620665.26</v>
          </cell>
          <cell r="AF52">
            <v>12620665.26</v>
          </cell>
        </row>
        <row r="53">
          <cell r="C53">
            <v>2820613.55</v>
          </cell>
          <cell r="D53">
            <v>2820613.55</v>
          </cell>
          <cell r="Q53">
            <v>2820613.55</v>
          </cell>
          <cell r="AF53">
            <v>2820613.55</v>
          </cell>
        </row>
        <row r="54">
          <cell r="C54">
            <v>12646969.404175978</v>
          </cell>
          <cell r="D54">
            <v>20859932.702454388</v>
          </cell>
          <cell r="Q54">
            <v>15226913.214719897</v>
          </cell>
          <cell r="AF54">
            <v>24615279.027610719</v>
          </cell>
        </row>
        <row r="55">
          <cell r="C55">
            <v>2374128.36787776</v>
          </cell>
          <cell r="D55">
            <v>2438351.7380636302</v>
          </cell>
          <cell r="Q55">
            <v>2393125.4633110939</v>
          </cell>
          <cell r="AF55">
            <v>2468502.5878986544</v>
          </cell>
        </row>
        <row r="56">
          <cell r="C56">
            <v>0</v>
          </cell>
          <cell r="D56">
            <v>0</v>
          </cell>
          <cell r="Q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Q57">
            <v>0</v>
          </cell>
          <cell r="AF57">
            <v>0</v>
          </cell>
        </row>
        <row r="58">
          <cell r="C58">
            <v>0</v>
          </cell>
          <cell r="D58">
            <v>0</v>
          </cell>
          <cell r="Q58">
            <v>0</v>
          </cell>
          <cell r="AF58">
            <v>0</v>
          </cell>
        </row>
        <row r="59">
          <cell r="C59">
            <v>443356.88050766505</v>
          </cell>
          <cell r="D59">
            <v>2006914.2984162667</v>
          </cell>
          <cell r="Q59">
            <v>895316.76979955123</v>
          </cell>
          <cell r="AF59">
            <v>2747979.3174940771</v>
          </cell>
        </row>
        <row r="60">
          <cell r="C60">
            <v>96290.219999999987</v>
          </cell>
          <cell r="D60">
            <v>96290.219999999987</v>
          </cell>
          <cell r="Q60">
            <v>96290.22</v>
          </cell>
          <cell r="AF60">
            <v>96290.22</v>
          </cell>
        </row>
        <row r="61">
          <cell r="C61">
            <v>347774.5</v>
          </cell>
          <cell r="D61">
            <v>347774.5</v>
          </cell>
          <cell r="Q61">
            <v>347774.5</v>
          </cell>
          <cell r="AF61">
            <v>347774.5</v>
          </cell>
        </row>
        <row r="62">
          <cell r="C62">
            <v>23632.070000000003</v>
          </cell>
          <cell r="D62">
            <v>23632.070000000003</v>
          </cell>
          <cell r="Q62">
            <v>23632.07</v>
          </cell>
          <cell r="AF62">
            <v>23632.07</v>
          </cell>
        </row>
        <row r="63">
          <cell r="C63">
            <v>1913117.1099999996</v>
          </cell>
          <cell r="D63">
            <v>1913117.1099999996</v>
          </cell>
          <cell r="Q63">
            <v>1913117.11</v>
          </cell>
          <cell r="AF63">
            <v>1913117.11</v>
          </cell>
        </row>
        <row r="64">
          <cell r="C64">
            <v>294319.45000000007</v>
          </cell>
          <cell r="D64">
            <v>294319.45000000007</v>
          </cell>
          <cell r="Q64">
            <v>294319.45</v>
          </cell>
          <cell r="AF64">
            <v>294319.45</v>
          </cell>
        </row>
        <row r="65">
          <cell r="C65">
            <v>70015.660000000018</v>
          </cell>
          <cell r="D65">
            <v>70015.660000000018</v>
          </cell>
          <cell r="Q65">
            <v>70015.66</v>
          </cell>
          <cell r="AF65">
            <v>70015.66</v>
          </cell>
        </row>
        <row r="66">
          <cell r="C66">
            <v>509282.84999999992</v>
          </cell>
          <cell r="D66">
            <v>509282.84999999992</v>
          </cell>
          <cell r="Q66">
            <v>509282.85</v>
          </cell>
          <cell r="AF66">
            <v>509282.85</v>
          </cell>
        </row>
        <row r="67">
          <cell r="C67">
            <v>629166.46</v>
          </cell>
          <cell r="D67">
            <v>629166.46</v>
          </cell>
          <cell r="Q67">
            <v>629166.46</v>
          </cell>
          <cell r="AF67">
            <v>629166.46</v>
          </cell>
        </row>
        <row r="68">
          <cell r="C68">
            <v>9310809.4759418741</v>
          </cell>
          <cell r="D68">
            <v>9312040.3817340173</v>
          </cell>
          <cell r="Q68">
            <v>9311156.1556295324</v>
          </cell>
          <cell r="AF68">
            <v>9312629.8658036739</v>
          </cell>
        </row>
        <row r="69">
          <cell r="C69">
            <v>1891144.6999999995</v>
          </cell>
          <cell r="D69">
            <v>1891144.6999999995</v>
          </cell>
          <cell r="Q69">
            <v>1891144.7000000002</v>
          </cell>
          <cell r="AF69">
            <v>1891144.7000000002</v>
          </cell>
        </row>
        <row r="70">
          <cell r="C70">
            <v>629225.62</v>
          </cell>
          <cell r="D70">
            <v>629225.62</v>
          </cell>
          <cell r="Q70">
            <v>629225.62</v>
          </cell>
          <cell r="AF70">
            <v>629225.62</v>
          </cell>
        </row>
        <row r="71">
          <cell r="C71">
            <v>866038.23867797712</v>
          </cell>
          <cell r="D71">
            <v>926170.69767124567</v>
          </cell>
          <cell r="Q71">
            <v>883541.41595145303</v>
          </cell>
          <cell r="AF71">
            <v>954590.21881777409</v>
          </cell>
        </row>
        <row r="72">
          <cell r="C72">
            <v>190246.97000000003</v>
          </cell>
          <cell r="D72">
            <v>190246.97000000003</v>
          </cell>
          <cell r="Q72">
            <v>190246.97</v>
          </cell>
          <cell r="AF72">
            <v>190246.97</v>
          </cell>
        </row>
        <row r="73">
          <cell r="C73">
            <v>88560536.282342181</v>
          </cell>
          <cell r="D73">
            <v>90020744.762595102</v>
          </cell>
          <cell r="Q73">
            <v>88964074.633340657</v>
          </cell>
          <cell r="AF73">
            <v>90725191.515431374</v>
          </cell>
        </row>
        <row r="74">
          <cell r="C74">
            <v>130348.40180374039</v>
          </cell>
          <cell r="D74">
            <v>260294.75824396341</v>
          </cell>
          <cell r="Q74">
            <v>169959.94333239601</v>
          </cell>
          <cell r="AF74">
            <v>320517.96818500827</v>
          </cell>
        </row>
        <row r="75">
          <cell r="C75">
            <v>239791.19029017878</v>
          </cell>
          <cell r="D75">
            <v>290739.59266415105</v>
          </cell>
          <cell r="Q75">
            <v>258414.52118249593</v>
          </cell>
          <cell r="AF75">
            <v>312289.64031858783</v>
          </cell>
        </row>
        <row r="76">
          <cell r="C76">
            <v>104927.82915188149</v>
          </cell>
          <cell r="D76">
            <v>122539.97815722387</v>
          </cell>
          <cell r="Q76">
            <v>110226.79273292156</v>
          </cell>
          <cell r="AF76">
            <v>130748.76844009206</v>
          </cell>
        </row>
        <row r="77">
          <cell r="C77">
            <v>20560.16</v>
          </cell>
          <cell r="D77">
            <v>20560.16</v>
          </cell>
          <cell r="Q77">
            <v>20560.16</v>
          </cell>
          <cell r="AF77">
            <v>20560.16</v>
          </cell>
        </row>
        <row r="78">
          <cell r="C78">
            <v>0</v>
          </cell>
          <cell r="D78">
            <v>0</v>
          </cell>
          <cell r="Q78">
            <v>0</v>
          </cell>
          <cell r="AF78">
            <v>0</v>
          </cell>
        </row>
        <row r="84">
          <cell r="C84">
            <v>185309.27</v>
          </cell>
          <cell r="D84">
            <v>185309.27</v>
          </cell>
          <cell r="Q84">
            <v>185309.27</v>
          </cell>
          <cell r="AF84">
            <v>185309.27</v>
          </cell>
        </row>
        <row r="85">
          <cell r="C85">
            <v>1109551.68</v>
          </cell>
          <cell r="D85">
            <v>1109551.68</v>
          </cell>
          <cell r="Q85">
            <v>1109551.68</v>
          </cell>
          <cell r="AF85">
            <v>1109551.68</v>
          </cell>
        </row>
        <row r="86">
          <cell r="C86">
            <v>179338.52</v>
          </cell>
          <cell r="D86">
            <v>179338.52</v>
          </cell>
          <cell r="Q86">
            <v>179338.52</v>
          </cell>
          <cell r="AF86">
            <v>179338.52</v>
          </cell>
        </row>
        <row r="87">
          <cell r="C87">
            <v>15383.910000000002</v>
          </cell>
          <cell r="D87">
            <v>15383.910000000002</v>
          </cell>
          <cell r="Q87">
            <v>15383.91</v>
          </cell>
          <cell r="AF87">
            <v>15383.91</v>
          </cell>
        </row>
        <row r="88">
          <cell r="C88">
            <v>38834</v>
          </cell>
          <cell r="D88">
            <v>38834</v>
          </cell>
          <cell r="Q88">
            <v>38834</v>
          </cell>
          <cell r="AF88">
            <v>38834</v>
          </cell>
        </row>
        <row r="89">
          <cell r="C89">
            <v>41397.210000000006</v>
          </cell>
          <cell r="D89">
            <v>41397.210000000006</v>
          </cell>
          <cell r="Q89">
            <v>41397.21</v>
          </cell>
          <cell r="AF89">
            <v>41397.21</v>
          </cell>
        </row>
        <row r="90">
          <cell r="C90">
            <v>0</v>
          </cell>
          <cell r="D90">
            <v>0</v>
          </cell>
          <cell r="Q90">
            <v>0</v>
          </cell>
          <cell r="AF90">
            <v>0</v>
          </cell>
        </row>
        <row r="91">
          <cell r="C91">
            <v>0</v>
          </cell>
          <cell r="D91">
            <v>0</v>
          </cell>
          <cell r="Q91">
            <v>0</v>
          </cell>
          <cell r="AF91">
            <v>0</v>
          </cell>
        </row>
        <row r="92">
          <cell r="C92">
            <v>27284.69</v>
          </cell>
          <cell r="D92">
            <v>27284.69</v>
          </cell>
          <cell r="Q92">
            <v>27284.69</v>
          </cell>
          <cell r="AF92">
            <v>27284.69</v>
          </cell>
        </row>
        <row r="93">
          <cell r="C93">
            <v>0</v>
          </cell>
          <cell r="D93">
            <v>0</v>
          </cell>
          <cell r="Q93">
            <v>0</v>
          </cell>
          <cell r="AF93">
            <v>0</v>
          </cell>
        </row>
        <row r="94">
          <cell r="C94">
            <v>172787.49461538458</v>
          </cell>
          <cell r="D94">
            <v>181813.78396400355</v>
          </cell>
          <cell r="Q94">
            <v>175867.44</v>
          </cell>
          <cell r="AF94">
            <v>186174.43620427285</v>
          </cell>
        </row>
        <row r="95">
          <cell r="C95">
            <v>20515.689999999999</v>
          </cell>
          <cell r="D95">
            <v>20515.689999999999</v>
          </cell>
          <cell r="Q95">
            <v>20515.689999999999</v>
          </cell>
          <cell r="AF95">
            <v>20515.689999999999</v>
          </cell>
        </row>
        <row r="96">
          <cell r="C96">
            <v>34653.230769230766</v>
          </cell>
          <cell r="D96">
            <v>54266.948343688746</v>
          </cell>
          <cell r="Q96">
            <v>37541</v>
          </cell>
          <cell r="AF96">
            <v>66532.643795727156</v>
          </cell>
        </row>
        <row r="97">
          <cell r="C97">
            <v>0</v>
          </cell>
          <cell r="D97">
            <v>0</v>
          </cell>
          <cell r="Q97">
            <v>0</v>
          </cell>
          <cell r="AF97">
            <v>0</v>
          </cell>
        </row>
        <row r="98">
          <cell r="C98">
            <v>0</v>
          </cell>
          <cell r="D98">
            <v>0</v>
          </cell>
          <cell r="Q98">
            <v>0</v>
          </cell>
          <cell r="AF98">
            <v>0</v>
          </cell>
        </row>
        <row r="99">
          <cell r="C99">
            <v>814166.88000000012</v>
          </cell>
          <cell r="D99">
            <v>814166.88000000012</v>
          </cell>
          <cell r="Q99">
            <v>814166.88</v>
          </cell>
          <cell r="AF99">
            <v>814166.88</v>
          </cell>
        </row>
        <row r="100">
          <cell r="C100">
            <v>0</v>
          </cell>
          <cell r="D100">
            <v>0</v>
          </cell>
          <cell r="Q100">
            <v>0</v>
          </cell>
          <cell r="AF100">
            <v>0</v>
          </cell>
        </row>
        <row r="101">
          <cell r="C101">
            <v>0</v>
          </cell>
          <cell r="D101">
            <v>0</v>
          </cell>
          <cell r="Q101">
            <v>0</v>
          </cell>
          <cell r="AF101">
            <v>0</v>
          </cell>
        </row>
        <row r="102">
          <cell r="C102">
            <v>0</v>
          </cell>
          <cell r="D102">
            <v>0</v>
          </cell>
          <cell r="Q102">
            <v>0</v>
          </cell>
          <cell r="AF102">
            <v>0</v>
          </cell>
        </row>
        <row r="103">
          <cell r="C103">
            <v>0</v>
          </cell>
          <cell r="D103">
            <v>0</v>
          </cell>
          <cell r="Q103">
            <v>0</v>
          </cell>
          <cell r="AF103">
            <v>0</v>
          </cell>
        </row>
        <row r="104">
          <cell r="C104">
            <v>74189.619999999981</v>
          </cell>
          <cell r="D104">
            <v>74189.619999999981</v>
          </cell>
          <cell r="Q104">
            <v>74189.619999999966</v>
          </cell>
          <cell r="AF104">
            <v>74189.619999999966</v>
          </cell>
        </row>
        <row r="105">
          <cell r="C105">
            <v>35063.770000000004</v>
          </cell>
          <cell r="D105">
            <v>35063.770000000004</v>
          </cell>
          <cell r="Q105">
            <v>35063.769999999997</v>
          </cell>
          <cell r="AF105">
            <v>35063.769999999997</v>
          </cell>
        </row>
        <row r="106">
          <cell r="C106">
            <v>828509.36</v>
          </cell>
          <cell r="D106">
            <v>828509.36</v>
          </cell>
          <cell r="Q106">
            <v>828509.36</v>
          </cell>
          <cell r="AF106">
            <v>828509.36</v>
          </cell>
        </row>
        <row r="112">
          <cell r="C112">
            <v>8329.7199999999993</v>
          </cell>
          <cell r="D112">
            <v>8329.7199999999993</v>
          </cell>
          <cell r="Q112">
            <v>8329.7199999999993</v>
          </cell>
          <cell r="AF112">
            <v>8329.7199999999993</v>
          </cell>
        </row>
        <row r="113">
          <cell r="C113">
            <v>119852.68999999996</v>
          </cell>
          <cell r="D113">
            <v>119852.68999999996</v>
          </cell>
          <cell r="Q113">
            <v>119852.69</v>
          </cell>
          <cell r="AF113">
            <v>119852.69</v>
          </cell>
        </row>
        <row r="114">
          <cell r="C114">
            <v>0</v>
          </cell>
          <cell r="D114">
            <v>0</v>
          </cell>
          <cell r="Q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Q115">
            <v>0</v>
          </cell>
          <cell r="AF115">
            <v>0</v>
          </cell>
        </row>
        <row r="116">
          <cell r="C116">
            <v>0</v>
          </cell>
          <cell r="D116">
            <v>0</v>
          </cell>
          <cell r="Q116">
            <v>0</v>
          </cell>
          <cell r="AF116">
            <v>0</v>
          </cell>
        </row>
        <row r="117">
          <cell r="C117">
            <v>261126.68999999997</v>
          </cell>
          <cell r="D117">
            <v>261126.68999999997</v>
          </cell>
          <cell r="Q117">
            <v>261126.69</v>
          </cell>
          <cell r="AF117">
            <v>261126.69</v>
          </cell>
        </row>
        <row r="118">
          <cell r="C118">
            <v>4681.5800000000008</v>
          </cell>
          <cell r="D118">
            <v>4681.5800000000008</v>
          </cell>
          <cell r="Q118">
            <v>4681.58</v>
          </cell>
          <cell r="AF118">
            <v>4681.58</v>
          </cell>
        </row>
        <row r="119">
          <cell r="C119">
            <v>17916.189999999999</v>
          </cell>
          <cell r="D119">
            <v>17916.189999999999</v>
          </cell>
          <cell r="Q119">
            <v>17916.189999999999</v>
          </cell>
          <cell r="AF119">
            <v>17916.189999999999</v>
          </cell>
        </row>
        <row r="120">
          <cell r="C120">
            <v>153261.30000000002</v>
          </cell>
          <cell r="D120">
            <v>153261.30000000002</v>
          </cell>
          <cell r="Q120">
            <v>153261.29999999999</v>
          </cell>
          <cell r="AF120">
            <v>153261.29999999999</v>
          </cell>
        </row>
        <row r="121">
          <cell r="C121">
            <v>23138.38</v>
          </cell>
          <cell r="D121">
            <v>23138.38</v>
          </cell>
          <cell r="Q121">
            <v>23138.38</v>
          </cell>
          <cell r="AF121">
            <v>23138.38</v>
          </cell>
        </row>
        <row r="122">
          <cell r="C122">
            <v>137442.53</v>
          </cell>
          <cell r="D122">
            <v>137442.53</v>
          </cell>
          <cell r="Q122">
            <v>137442.53</v>
          </cell>
          <cell r="AF122">
            <v>137442.53</v>
          </cell>
        </row>
        <row r="123">
          <cell r="C123">
            <v>7464274.1830769219</v>
          </cell>
          <cell r="D123">
            <v>7430333.9399999985</v>
          </cell>
          <cell r="Q123">
            <v>7430333.9400000004</v>
          </cell>
          <cell r="AF123">
            <v>7430333.9400000004</v>
          </cell>
        </row>
        <row r="124">
          <cell r="C124">
            <v>1699998.5399999993</v>
          </cell>
          <cell r="D124">
            <v>1699998.5399999993</v>
          </cell>
          <cell r="Q124">
            <v>1699998.54</v>
          </cell>
          <cell r="AF124">
            <v>1699998.54</v>
          </cell>
        </row>
        <row r="125">
          <cell r="C125">
            <v>415818.86</v>
          </cell>
          <cell r="D125">
            <v>415818.86</v>
          </cell>
          <cell r="Q125">
            <v>415818.86</v>
          </cell>
          <cell r="AF125">
            <v>415818.86</v>
          </cell>
        </row>
        <row r="126">
          <cell r="C126">
            <v>1694832.9600000007</v>
          </cell>
          <cell r="D126">
            <v>1694832.9600000007</v>
          </cell>
          <cell r="Q126">
            <v>1694832.96</v>
          </cell>
          <cell r="AF126">
            <v>1694832.96</v>
          </cell>
        </row>
        <row r="127">
          <cell r="C127">
            <v>178530.09000000003</v>
          </cell>
          <cell r="D127">
            <v>178530.09000000003</v>
          </cell>
          <cell r="Q127">
            <v>178530.09</v>
          </cell>
          <cell r="AF127">
            <v>178530.09</v>
          </cell>
        </row>
        <row r="128">
          <cell r="C128">
            <v>54614.270000000011</v>
          </cell>
          <cell r="D128">
            <v>54614.270000000011</v>
          </cell>
          <cell r="Q128">
            <v>54614.27</v>
          </cell>
          <cell r="AF128">
            <v>54614.27</v>
          </cell>
        </row>
        <row r="129">
          <cell r="C129">
            <v>178496.89999999994</v>
          </cell>
          <cell r="D129">
            <v>178496.89999999994</v>
          </cell>
          <cell r="Q129">
            <v>178496.9</v>
          </cell>
          <cell r="AF129">
            <v>178496.9</v>
          </cell>
        </row>
        <row r="130">
          <cell r="C130">
            <v>209458.21</v>
          </cell>
          <cell r="D130">
            <v>209458.21</v>
          </cell>
          <cell r="Q130">
            <v>209458.21</v>
          </cell>
          <cell r="AF130">
            <v>209458.21</v>
          </cell>
        </row>
        <row r="131">
          <cell r="C131">
            <v>923446.05000000016</v>
          </cell>
          <cell r="D131">
            <v>923446.05000000016</v>
          </cell>
          <cell r="Q131">
            <v>923446.05</v>
          </cell>
          <cell r="AF131">
            <v>923446.05</v>
          </cell>
        </row>
        <row r="132">
          <cell r="C132">
            <v>284401.8336964178</v>
          </cell>
          <cell r="D132">
            <v>439116.75239859428</v>
          </cell>
          <cell r="Q132">
            <v>343935.49271612481</v>
          </cell>
          <cell r="AF132">
            <v>481913.9747228034</v>
          </cell>
        </row>
        <row r="133">
          <cell r="C133">
            <v>414663.45000000013</v>
          </cell>
          <cell r="D133">
            <v>414663.45000000013</v>
          </cell>
          <cell r="Q133">
            <v>414663.45</v>
          </cell>
          <cell r="AF133">
            <v>414663.45</v>
          </cell>
        </row>
        <row r="134">
          <cell r="C134">
            <v>26970.37</v>
          </cell>
          <cell r="D134">
            <v>26970.37</v>
          </cell>
          <cell r="Q134">
            <v>26970.37</v>
          </cell>
          <cell r="AF134">
            <v>26970.37</v>
          </cell>
        </row>
        <row r="135">
          <cell r="C135">
            <v>867772</v>
          </cell>
          <cell r="D135">
            <v>867772</v>
          </cell>
          <cell r="Q135">
            <v>867772</v>
          </cell>
          <cell r="AF135">
            <v>867772</v>
          </cell>
        </row>
        <row r="136">
          <cell r="C136">
            <v>49001.719999999987</v>
          </cell>
          <cell r="D136">
            <v>49001.719999999987</v>
          </cell>
          <cell r="Q136">
            <v>49001.72</v>
          </cell>
          <cell r="AF136">
            <v>49001.72</v>
          </cell>
        </row>
        <row r="137">
          <cell r="C137">
            <v>60826.290000000008</v>
          </cell>
          <cell r="D137">
            <v>60826.290000000008</v>
          </cell>
          <cell r="Q137">
            <v>60826.29</v>
          </cell>
          <cell r="AF137">
            <v>60826.29</v>
          </cell>
        </row>
        <row r="138">
          <cell r="C138">
            <v>158925.43999999997</v>
          </cell>
          <cell r="D138">
            <v>158925.43999999997</v>
          </cell>
          <cell r="Q138">
            <v>158925.44</v>
          </cell>
          <cell r="AF138">
            <v>158925.44</v>
          </cell>
        </row>
        <row r="139">
          <cell r="C139">
            <v>27644378.737692304</v>
          </cell>
          <cell r="D139">
            <v>27643441.629999999</v>
          </cell>
          <cell r="Q139">
            <v>27643441.630000003</v>
          </cell>
          <cell r="AF139">
            <v>27643441.630000003</v>
          </cell>
        </row>
        <row r="140">
          <cell r="C140">
            <v>731466.6399999999</v>
          </cell>
          <cell r="D140">
            <v>731466.6399999999</v>
          </cell>
          <cell r="Q140">
            <v>731466.64</v>
          </cell>
          <cell r="AF140">
            <v>731466.64</v>
          </cell>
        </row>
        <row r="141">
          <cell r="C141">
            <v>2269555.91</v>
          </cell>
          <cell r="D141">
            <v>2269555.91</v>
          </cell>
          <cell r="Q141">
            <v>2269555.91</v>
          </cell>
          <cell r="AF141">
            <v>2269555.91</v>
          </cell>
        </row>
        <row r="142">
          <cell r="C142">
            <v>531166.79</v>
          </cell>
          <cell r="D142">
            <v>531166.79</v>
          </cell>
          <cell r="Q142">
            <v>531166.79</v>
          </cell>
          <cell r="AF142">
            <v>531166.79</v>
          </cell>
        </row>
        <row r="143">
          <cell r="C143">
            <v>37326.419999999991</v>
          </cell>
          <cell r="D143">
            <v>37326.419999999991</v>
          </cell>
          <cell r="Q143">
            <v>37326.42</v>
          </cell>
          <cell r="AF143">
            <v>37326.42</v>
          </cell>
        </row>
        <row r="144">
          <cell r="C144">
            <v>2428380.5264732754</v>
          </cell>
          <cell r="D144">
            <v>3231772.0035037072</v>
          </cell>
          <cell r="Q144">
            <v>2729252.788302395</v>
          </cell>
          <cell r="AF144">
            <v>3457724.3248630208</v>
          </cell>
        </row>
        <row r="145">
          <cell r="C145">
            <v>2783.89</v>
          </cell>
          <cell r="D145">
            <v>2783.89</v>
          </cell>
          <cell r="Q145">
            <v>2783.89</v>
          </cell>
          <cell r="AF145">
            <v>2783.89</v>
          </cell>
        </row>
        <row r="146">
          <cell r="C146">
            <v>336167.54</v>
          </cell>
          <cell r="D146">
            <v>336167.54</v>
          </cell>
          <cell r="Q146">
            <v>336167.54</v>
          </cell>
          <cell r="AF146">
            <v>336167.54</v>
          </cell>
        </row>
        <row r="147">
          <cell r="C147">
            <v>99818.12999999999</v>
          </cell>
          <cell r="D147">
            <v>99818.12999999999</v>
          </cell>
          <cell r="Q147">
            <v>99818.13</v>
          </cell>
          <cell r="AF147">
            <v>99818.13</v>
          </cell>
        </row>
        <row r="148">
          <cell r="C148">
            <v>46264.189999999995</v>
          </cell>
          <cell r="D148">
            <v>46264.189999999995</v>
          </cell>
          <cell r="Q148">
            <v>46264.19</v>
          </cell>
          <cell r="AF148">
            <v>46264.19</v>
          </cell>
        </row>
        <row r="149">
          <cell r="C149">
            <v>4005.0800000000013</v>
          </cell>
          <cell r="D149">
            <v>4005.0800000000013</v>
          </cell>
          <cell r="Q149">
            <v>4005.08</v>
          </cell>
          <cell r="AF149">
            <v>4005.08</v>
          </cell>
        </row>
        <row r="150">
          <cell r="C150">
            <v>20931756.50472464</v>
          </cell>
          <cell r="D150">
            <v>20712559.000218406</v>
          </cell>
          <cell r="Q150">
            <v>20839824.191419367</v>
          </cell>
          <cell r="AF150">
            <v>20655335.585649919</v>
          </cell>
        </row>
        <row r="151">
          <cell r="C151">
            <v>139186816.52012223</v>
          </cell>
          <cell r="D151">
            <v>140488694.34852239</v>
          </cell>
          <cell r="Q151">
            <v>139633199.75526756</v>
          </cell>
          <cell r="AF151">
            <v>140873358.22486562</v>
          </cell>
        </row>
        <row r="152">
          <cell r="C152">
            <v>97764861.214369506</v>
          </cell>
          <cell r="D152">
            <v>125040068.23160912</v>
          </cell>
          <cell r="Q152">
            <v>108190082.43696019</v>
          </cell>
          <cell r="AF152">
            <v>132616481.80944051</v>
          </cell>
        </row>
        <row r="153">
          <cell r="C153">
            <v>9597586.2010076065</v>
          </cell>
          <cell r="D153">
            <v>13616672.591601254</v>
          </cell>
          <cell r="Q153">
            <v>11143482.702178247</v>
          </cell>
          <cell r="AF153">
            <v>14728715.633485029</v>
          </cell>
        </row>
        <row r="154">
          <cell r="C154">
            <v>4016209.7106458554</v>
          </cell>
          <cell r="D154">
            <v>5018152.1710744491</v>
          </cell>
          <cell r="Q154">
            <v>4390986.3751828903</v>
          </cell>
          <cell r="AF154">
            <v>5300150.4771533329</v>
          </cell>
        </row>
        <row r="155">
          <cell r="C155">
            <v>1753407.2767088378</v>
          </cell>
          <cell r="D155">
            <v>2811184.1186289769</v>
          </cell>
          <cell r="Q155">
            <v>2137219.850208587</v>
          </cell>
          <cell r="AF155">
            <v>3114224.8509158269</v>
          </cell>
        </row>
        <row r="156">
          <cell r="C156">
            <v>115920465.59676665</v>
          </cell>
          <cell r="D156">
            <v>139868620.0155507</v>
          </cell>
          <cell r="Q156">
            <v>125090928.6933367</v>
          </cell>
          <cell r="AF156">
            <v>146513248.83287457</v>
          </cell>
        </row>
        <row r="157">
          <cell r="C157">
            <v>30218955.663557205</v>
          </cell>
          <cell r="D157">
            <v>41724894.701585218</v>
          </cell>
          <cell r="Q157">
            <v>34572059.045847826</v>
          </cell>
          <cell r="AF157">
            <v>44941089.768012822</v>
          </cell>
        </row>
        <row r="158">
          <cell r="C158">
            <v>55326917.089017496</v>
          </cell>
          <cell r="D158">
            <v>56980787.1217167</v>
          </cell>
          <cell r="Q158">
            <v>55930896.950776473</v>
          </cell>
          <cell r="AF158">
            <v>57452858.863692269</v>
          </cell>
        </row>
        <row r="159">
          <cell r="C159">
            <v>10650748.706396315</v>
          </cell>
          <cell r="D159">
            <v>11717794.277451711</v>
          </cell>
          <cell r="Q159">
            <v>11066326.556323143</v>
          </cell>
          <cell r="AF159">
            <v>12010719.680952335</v>
          </cell>
        </row>
        <row r="160">
          <cell r="C160">
            <v>199426.48544288758</v>
          </cell>
          <cell r="D160">
            <v>249551.83348966861</v>
          </cell>
          <cell r="Q160">
            <v>218301.06872914961</v>
          </cell>
          <cell r="AF160">
            <v>263603.40132685943</v>
          </cell>
        </row>
        <row r="161">
          <cell r="C161">
            <v>5160498.8037676439</v>
          </cell>
          <cell r="D161">
            <v>5237632.693020015</v>
          </cell>
          <cell r="Q161">
            <v>5189649.8545054561</v>
          </cell>
          <cell r="AF161">
            <v>5259207.65656331</v>
          </cell>
        </row>
        <row r="162">
          <cell r="C162">
            <v>1211697.3000000003</v>
          </cell>
          <cell r="D162">
            <v>1211697.3000000003</v>
          </cell>
          <cell r="Q162">
            <v>1211697.3</v>
          </cell>
          <cell r="AF162">
            <v>1211697.3</v>
          </cell>
        </row>
        <row r="163">
          <cell r="C163">
            <v>7142325.9952791734</v>
          </cell>
          <cell r="D163">
            <v>7148202.0262166616</v>
          </cell>
          <cell r="Q163">
            <v>7144406.4734884454</v>
          </cell>
          <cell r="AF163">
            <v>7149908.6553839436</v>
          </cell>
        </row>
        <row r="164">
          <cell r="C164">
            <v>173114.85000000003</v>
          </cell>
          <cell r="D164">
            <v>173114.85000000003</v>
          </cell>
          <cell r="Q164">
            <v>173114.85</v>
          </cell>
          <cell r="AF164">
            <v>173114.85</v>
          </cell>
        </row>
        <row r="165">
          <cell r="C165">
            <v>709199.17999999982</v>
          </cell>
          <cell r="D165">
            <v>709199.17999999982</v>
          </cell>
          <cell r="Q165">
            <v>709199.18</v>
          </cell>
          <cell r="AF165">
            <v>709199.18</v>
          </cell>
        </row>
        <row r="166">
          <cell r="C166">
            <v>12954.74</v>
          </cell>
          <cell r="D166">
            <v>12954.74</v>
          </cell>
          <cell r="Q166">
            <v>12954.74</v>
          </cell>
          <cell r="AF166">
            <v>12954.74</v>
          </cell>
        </row>
        <row r="167">
          <cell r="C167">
            <v>1246194.18</v>
          </cell>
          <cell r="D167">
            <v>1246194.18</v>
          </cell>
          <cell r="Q167">
            <v>1246194.18</v>
          </cell>
          <cell r="AF167">
            <v>1246194.18</v>
          </cell>
        </row>
        <row r="168">
          <cell r="C168">
            <v>1794619.1000000003</v>
          </cell>
          <cell r="D168">
            <v>1794619.1000000003</v>
          </cell>
          <cell r="Q168">
            <v>1794619.1</v>
          </cell>
          <cell r="AF168">
            <v>1794619.1</v>
          </cell>
        </row>
        <row r="169">
          <cell r="C169">
            <v>0</v>
          </cell>
          <cell r="D169">
            <v>0</v>
          </cell>
          <cell r="Q169">
            <v>0</v>
          </cell>
          <cell r="AF169">
            <v>0</v>
          </cell>
        </row>
        <row r="170">
          <cell r="C170">
            <v>245236.79076923072</v>
          </cell>
          <cell r="D170">
            <v>220986.89999999994</v>
          </cell>
          <cell r="Q170">
            <v>220986.90000000002</v>
          </cell>
          <cell r="AF170">
            <v>220986.90000000002</v>
          </cell>
        </row>
        <row r="171">
          <cell r="C171">
            <v>1322.6838461538462</v>
          </cell>
          <cell r="D171">
            <v>0</v>
          </cell>
          <cell r="Q171">
            <v>0</v>
          </cell>
          <cell r="AF171">
            <v>0</v>
          </cell>
        </row>
        <row r="172">
          <cell r="C172">
            <v>3457519.0385784637</v>
          </cell>
          <cell r="D172">
            <v>5455993.2745073829</v>
          </cell>
          <cell r="Q172">
            <v>4189376.1161897252</v>
          </cell>
          <cell r="AF172">
            <v>6025513.9585687099</v>
          </cell>
        </row>
        <row r="173">
          <cell r="C173">
            <v>39610.080000000009</v>
          </cell>
          <cell r="D173">
            <v>39610.080000000009</v>
          </cell>
          <cell r="Q173">
            <v>39610.080000000002</v>
          </cell>
          <cell r="AF173">
            <v>39610.080000000002</v>
          </cell>
        </row>
        <row r="174">
          <cell r="C174">
            <v>62747.290000000008</v>
          </cell>
          <cell r="D174">
            <v>62747.290000000008</v>
          </cell>
          <cell r="Q174">
            <v>62747.29</v>
          </cell>
          <cell r="AF174">
            <v>62747.29</v>
          </cell>
        </row>
        <row r="175">
          <cell r="C175">
            <v>19427.230000000003</v>
          </cell>
          <cell r="D175">
            <v>19427.230000000003</v>
          </cell>
          <cell r="Q175">
            <v>19427.23</v>
          </cell>
          <cell r="AF175">
            <v>19427.23</v>
          </cell>
        </row>
        <row r="176">
          <cell r="C176">
            <v>358964.51999999996</v>
          </cell>
          <cell r="D176">
            <v>358964.51999999996</v>
          </cell>
          <cell r="Q176">
            <v>358964.52</v>
          </cell>
          <cell r="AF176">
            <v>358964.52</v>
          </cell>
        </row>
        <row r="177">
          <cell r="C177">
            <v>0</v>
          </cell>
          <cell r="D177">
            <v>0</v>
          </cell>
          <cell r="Q177">
            <v>0</v>
          </cell>
          <cell r="AF177">
            <v>0</v>
          </cell>
        </row>
        <row r="178">
          <cell r="C178">
            <v>0</v>
          </cell>
          <cell r="D178">
            <v>0</v>
          </cell>
          <cell r="Q178">
            <v>0</v>
          </cell>
          <cell r="AF178">
            <v>0</v>
          </cell>
        </row>
        <row r="179">
          <cell r="C179">
            <v>0</v>
          </cell>
          <cell r="D179">
            <v>0</v>
          </cell>
          <cell r="Q179">
            <v>0</v>
          </cell>
          <cell r="AF179">
            <v>0</v>
          </cell>
        </row>
        <row r="180">
          <cell r="C180">
            <v>3858367.8156924802</v>
          </cell>
          <cell r="D180">
            <v>3791155.2795283841</v>
          </cell>
          <cell r="Q180">
            <v>3832806.2211540877</v>
          </cell>
          <cell r="AF180">
            <v>3772427.3848281614</v>
          </cell>
        </row>
        <row r="181">
          <cell r="C181">
            <v>0</v>
          </cell>
          <cell r="D181">
            <v>0</v>
          </cell>
          <cell r="Q181">
            <v>14389.76</v>
          </cell>
          <cell r="AF181">
            <v>14389.76</v>
          </cell>
        </row>
        <row r="182">
          <cell r="C182">
            <v>0</v>
          </cell>
          <cell r="D182">
            <v>0</v>
          </cell>
          <cell r="Q182">
            <v>0</v>
          </cell>
          <cell r="AF182">
            <v>0</v>
          </cell>
        </row>
        <row r="183">
          <cell r="C183">
            <v>134598.85999999993</v>
          </cell>
          <cell r="D183">
            <v>134598.85999999993</v>
          </cell>
          <cell r="Q183">
            <v>134598.85999999999</v>
          </cell>
          <cell r="AF183">
            <v>134598.85999999999</v>
          </cell>
        </row>
        <row r="184">
          <cell r="C184">
            <v>1330835.4375630915</v>
          </cell>
          <cell r="D184">
            <v>1770508.9860929651</v>
          </cell>
          <cell r="Q184">
            <v>1497304.664638296</v>
          </cell>
          <cell r="AF184">
            <v>1893352.3496315097</v>
          </cell>
        </row>
        <row r="185">
          <cell r="C185">
            <v>0</v>
          </cell>
          <cell r="D185">
            <v>0</v>
          </cell>
          <cell r="Q185">
            <v>0</v>
          </cell>
          <cell r="AF185">
            <v>0</v>
          </cell>
        </row>
        <row r="186">
          <cell r="C186">
            <v>123514.83000000002</v>
          </cell>
          <cell r="D186">
            <v>123514.83000000002</v>
          </cell>
          <cell r="Q186">
            <v>123514.83</v>
          </cell>
          <cell r="AF186">
            <v>123514.83</v>
          </cell>
        </row>
        <row r="204">
          <cell r="C204">
            <v>7920492.2315384597</v>
          </cell>
          <cell r="D204">
            <v>8866626.7499999981</v>
          </cell>
          <cell r="Q204">
            <v>8866626.7499999981</v>
          </cell>
          <cell r="AF204">
            <v>8866626.7499999981</v>
          </cell>
        </row>
        <row r="208">
          <cell r="C208">
            <v>2948970.1623076922</v>
          </cell>
          <cell r="D208">
            <v>3382555.2100000004</v>
          </cell>
          <cell r="Q208">
            <v>3382555.21</v>
          </cell>
          <cell r="AF208">
            <v>3382555.21</v>
          </cell>
        </row>
        <row r="212">
          <cell r="C212">
            <v>-3344.0230769230757</v>
          </cell>
          <cell r="D212">
            <v>-10502.070000000003</v>
          </cell>
          <cell r="Q212">
            <v>-10502.07</v>
          </cell>
          <cell r="AF212">
            <v>-10502.07</v>
          </cell>
        </row>
        <row r="216">
          <cell r="C216">
            <v>21588717.546153843</v>
          </cell>
          <cell r="D216">
            <v>26845504.509999994</v>
          </cell>
          <cell r="Q216">
            <v>26845504.509999994</v>
          </cell>
          <cell r="AF216">
            <v>26845504.509999994</v>
          </cell>
        </row>
      </sheetData>
      <sheetData sheetId="1">
        <row r="7">
          <cell r="C7">
            <v>451140.6569037576</v>
          </cell>
          <cell r="D7">
            <v>502209.88907236391</v>
          </cell>
          <cell r="Q7">
            <v>470346.30362341501</v>
          </cell>
          <cell r="AF7">
            <v>523452.76503106847</v>
          </cell>
          <cell r="BK7">
            <v>42485.43138220167</v>
          </cell>
        </row>
        <row r="8">
          <cell r="C8">
            <v>3233790.5833483269</v>
          </cell>
          <cell r="D8">
            <v>3631587.2939487495</v>
          </cell>
          <cell r="Q8">
            <v>3425409.4895795002</v>
          </cell>
          <cell r="AF8">
            <v>3769039.1635282491</v>
          </cell>
          <cell r="BK8">
            <v>274903.73915899993</v>
          </cell>
        </row>
        <row r="9">
          <cell r="C9">
            <v>9190905.8588171974</v>
          </cell>
          <cell r="D9">
            <v>9588019.4979559667</v>
          </cell>
          <cell r="Q9">
            <v>9352081.261483293</v>
          </cell>
          <cell r="AF9">
            <v>9748263.6019909102</v>
          </cell>
          <cell r="BK9">
            <v>318539.92345479981</v>
          </cell>
        </row>
        <row r="10">
          <cell r="C10">
            <v>-3.9999999999999994E-2</v>
          </cell>
          <cell r="D10">
            <v>-3.9999999999999994E-2</v>
          </cell>
          <cell r="Q10">
            <v>-0.04</v>
          </cell>
          <cell r="AF10">
            <v>-0.04</v>
          </cell>
          <cell r="BK10">
            <v>0</v>
          </cell>
        </row>
        <row r="11">
          <cell r="C11">
            <v>-7.9999999999999988E-2</v>
          </cell>
          <cell r="D11">
            <v>-7.9999999999999988E-2</v>
          </cell>
          <cell r="Q11">
            <v>-0.08</v>
          </cell>
          <cell r="AF11">
            <v>-0.08</v>
          </cell>
          <cell r="BK11">
            <v>0</v>
          </cell>
        </row>
        <row r="12">
          <cell r="C12">
            <v>2682949.1026425627</v>
          </cell>
          <cell r="D12">
            <v>1893904.2491459823</v>
          </cell>
          <cell r="Q12">
            <v>1741999.8427880045</v>
          </cell>
          <cell r="AF12">
            <v>1995592.5980745561</v>
          </cell>
          <cell r="BK12">
            <v>203100.32636179886</v>
          </cell>
        </row>
        <row r="13">
          <cell r="C13">
            <v>0.61384615384615382</v>
          </cell>
          <cell r="D13">
            <v>0.84</v>
          </cell>
          <cell r="Q13">
            <v>0.84000000000000008</v>
          </cell>
          <cell r="AF13">
            <v>0.84000000000000008</v>
          </cell>
          <cell r="BK13">
            <v>0</v>
          </cell>
        </row>
        <row r="14">
          <cell r="C14">
            <v>0.2192307692307692</v>
          </cell>
          <cell r="D14">
            <v>0.29999999999999993</v>
          </cell>
          <cell r="Q14">
            <v>0.3</v>
          </cell>
          <cell r="AF14">
            <v>0.3</v>
          </cell>
          <cell r="BK14">
            <v>0</v>
          </cell>
        </row>
        <row r="15">
          <cell r="C15">
            <v>30180.531982846154</v>
          </cell>
          <cell r="D15">
            <v>42040.395554999974</v>
          </cell>
          <cell r="Q15">
            <v>34219.260221999997</v>
          </cell>
          <cell r="AF15">
            <v>47254.485776999958</v>
          </cell>
          <cell r="BK15">
            <v>10428.180444000001</v>
          </cell>
        </row>
        <row r="16">
          <cell r="C16">
            <v>90224.430070230723</v>
          </cell>
          <cell r="D16">
            <v>91956.997794999916</v>
          </cell>
          <cell r="Q16">
            <v>91745.37311799996</v>
          </cell>
          <cell r="AF16">
            <v>92098.080912999911</v>
          </cell>
          <cell r="BK16">
            <v>282.16623600000003</v>
          </cell>
        </row>
        <row r="17">
          <cell r="C17">
            <v>4309.1392307692295</v>
          </cell>
          <cell r="D17">
            <v>4474.4899999999989</v>
          </cell>
          <cell r="Q17">
            <v>4474.4899999999989</v>
          </cell>
          <cell r="AF17">
            <v>4474.4899999999989</v>
          </cell>
          <cell r="BK17">
            <v>0</v>
          </cell>
        </row>
        <row r="18">
          <cell r="C18">
            <v>0</v>
          </cell>
          <cell r="D18">
            <v>0</v>
          </cell>
          <cell r="Q18">
            <v>0</v>
          </cell>
          <cell r="AF18">
            <v>0</v>
          </cell>
          <cell r="BK18">
            <v>0</v>
          </cell>
        </row>
        <row r="19">
          <cell r="C19">
            <v>65440.53908129943</v>
          </cell>
          <cell r="D19">
            <v>51879.741224231475</v>
          </cell>
          <cell r="Q19">
            <v>32087.850994335611</v>
          </cell>
          <cell r="AF19">
            <v>70648.548158358768</v>
          </cell>
          <cell r="BK19">
            <v>33858.632992884741</v>
          </cell>
        </row>
        <row r="20">
          <cell r="C20">
            <v>1264.2892307692362</v>
          </cell>
          <cell r="D20">
            <v>-16426.899999999991</v>
          </cell>
          <cell r="Q20">
            <v>-16426.899999999991</v>
          </cell>
          <cell r="AF20">
            <v>-16426.899999999991</v>
          </cell>
          <cell r="BK20">
            <v>0</v>
          </cell>
        </row>
        <row r="21">
          <cell r="C21">
            <v>0</v>
          </cell>
          <cell r="D21">
            <v>0</v>
          </cell>
          <cell r="Q21">
            <v>0</v>
          </cell>
          <cell r="AF21">
            <v>0</v>
          </cell>
          <cell r="BK21">
            <v>0</v>
          </cell>
        </row>
        <row r="22">
          <cell r="C22">
            <v>1214409.3201390386</v>
          </cell>
          <cell r="D22">
            <v>1231889.8498624994</v>
          </cell>
          <cell r="Q22">
            <v>1231502.6819450001</v>
          </cell>
          <cell r="AF22">
            <v>1232147.9618074989</v>
          </cell>
          <cell r="BK22">
            <v>516.2238900000001</v>
          </cell>
        </row>
        <row r="23">
          <cell r="C23">
            <v>4278.8724699999993</v>
          </cell>
          <cell r="D23">
            <v>9260.2051900000042</v>
          </cell>
          <cell r="Q23">
            <v>7263.753459999999</v>
          </cell>
          <cell r="AF23">
            <v>9260.2051900000006</v>
          </cell>
          <cell r="BK23">
            <v>0</v>
          </cell>
        </row>
        <row r="24">
          <cell r="C24">
            <v>39725.756169557702</v>
          </cell>
          <cell r="D24">
            <v>40865.167288749995</v>
          </cell>
          <cell r="Q24">
            <v>40572.032915500014</v>
          </cell>
          <cell r="AF24">
            <v>41060.590204249995</v>
          </cell>
          <cell r="BK24">
            <v>390.84583099999992</v>
          </cell>
        </row>
        <row r="25">
          <cell r="C25">
            <v>1725.9728709807698</v>
          </cell>
          <cell r="D25">
            <v>7697.3175261346187</v>
          </cell>
          <cell r="Q25">
            <v>4891.0178065000009</v>
          </cell>
          <cell r="AF25">
            <v>7752.343010833335</v>
          </cell>
          <cell r="BK25">
            <v>715.33130108333341</v>
          </cell>
        </row>
        <row r="26">
          <cell r="C26">
            <v>164534.10307692311</v>
          </cell>
          <cell r="D26">
            <v>164784.07000000004</v>
          </cell>
          <cell r="Q26">
            <v>164784.07</v>
          </cell>
          <cell r="AF26">
            <v>164784.07</v>
          </cell>
          <cell r="BK26">
            <v>0</v>
          </cell>
        </row>
        <row r="27">
          <cell r="C27">
            <v>18178041.039575223</v>
          </cell>
          <cell r="D27">
            <v>20569772.851769973</v>
          </cell>
          <cell r="Q27">
            <v>19218476.652707987</v>
          </cell>
          <cell r="AF27">
            <v>21470636.984477963</v>
          </cell>
          <cell r="BK27">
            <v>1801728.2654160003</v>
          </cell>
        </row>
        <row r="28">
          <cell r="C28">
            <v>15625201.039693709</v>
          </cell>
          <cell r="D28">
            <v>16180853.774298741</v>
          </cell>
          <cell r="Q28">
            <v>15943162.631719494</v>
          </cell>
          <cell r="AF28">
            <v>16339314.536018241</v>
          </cell>
          <cell r="BK28">
            <v>316921.52343900001</v>
          </cell>
        </row>
        <row r="29">
          <cell r="C29">
            <v>2213188.7976923073</v>
          </cell>
          <cell r="D29">
            <v>2251878.1799999992</v>
          </cell>
          <cell r="Q29">
            <v>2251878.1799999988</v>
          </cell>
          <cell r="AF29">
            <v>2251878.1799999988</v>
          </cell>
          <cell r="BK29">
            <v>0</v>
          </cell>
        </row>
        <row r="30">
          <cell r="C30">
            <v>0</v>
          </cell>
          <cell r="D30">
            <v>0</v>
          </cell>
          <cell r="Q30">
            <v>0</v>
          </cell>
          <cell r="AF30">
            <v>0</v>
          </cell>
          <cell r="BK30">
            <v>0</v>
          </cell>
        </row>
        <row r="31">
          <cell r="C31">
            <v>0</v>
          </cell>
          <cell r="D31">
            <v>0</v>
          </cell>
          <cell r="Q31">
            <v>0</v>
          </cell>
          <cell r="AF31">
            <v>0</v>
          </cell>
          <cell r="BK31">
            <v>0</v>
          </cell>
        </row>
        <row r="32">
          <cell r="C32">
            <v>885643.68061085232</v>
          </cell>
          <cell r="D32">
            <v>1017107.8487541006</v>
          </cell>
          <cell r="Q32">
            <v>945142.21602611046</v>
          </cell>
          <cell r="AF32">
            <v>1065059.2760894618</v>
          </cell>
          <cell r="BK32">
            <v>95919.791029699685</v>
          </cell>
        </row>
        <row r="33">
          <cell r="C33">
            <v>1132176.8166643826</v>
          </cell>
          <cell r="D33">
            <v>2485988.1420179764</v>
          </cell>
          <cell r="Q33">
            <v>2485988.1420179773</v>
          </cell>
          <cell r="AF33">
            <v>2485988.1420179773</v>
          </cell>
          <cell r="BK33">
            <v>0</v>
          </cell>
        </row>
        <row r="34">
          <cell r="C34">
            <v>28650210.947212145</v>
          </cell>
          <cell r="D34">
            <v>29230839.146969978</v>
          </cell>
          <cell r="Q34">
            <v>29228048.356787995</v>
          </cell>
          <cell r="AF34">
            <v>29232699.673757985</v>
          </cell>
          <cell r="BK34">
            <v>3721.0535760000002</v>
          </cell>
        </row>
        <row r="35">
          <cell r="C35">
            <v>41754.133076923077</v>
          </cell>
          <cell r="D35">
            <v>42121.86</v>
          </cell>
          <cell r="Q35">
            <v>42121.860000000015</v>
          </cell>
          <cell r="AF35">
            <v>42121.860000000015</v>
          </cell>
          <cell r="BK35">
            <v>0</v>
          </cell>
        </row>
        <row r="36">
          <cell r="C36">
            <v>1014856.0558586922</v>
          </cell>
          <cell r="D36">
            <v>1109170.4615450008</v>
          </cell>
          <cell r="Q36">
            <v>1058776.6346179999</v>
          </cell>
          <cell r="AF36">
            <v>1142766.3461630014</v>
          </cell>
          <cell r="BK36">
            <v>67191.769235999993</v>
          </cell>
        </row>
        <row r="37">
          <cell r="C37">
            <v>378352.14252746163</v>
          </cell>
          <cell r="D37">
            <v>400371.59775499988</v>
          </cell>
          <cell r="Q37">
            <v>393200.795102</v>
          </cell>
          <cell r="AF37">
            <v>405152.1328569997</v>
          </cell>
          <cell r="BK37">
            <v>9561.0702039999996</v>
          </cell>
        </row>
        <row r="38">
          <cell r="C38">
            <v>38463.109230769223</v>
          </cell>
          <cell r="D38">
            <v>39028.929999999986</v>
          </cell>
          <cell r="Q38">
            <v>39028.929999999978</v>
          </cell>
          <cell r="AF38">
            <v>39028.929999999978</v>
          </cell>
          <cell r="BK38">
            <v>0</v>
          </cell>
        </row>
        <row r="39">
          <cell r="C39">
            <v>0</v>
          </cell>
          <cell r="D39">
            <v>0</v>
          </cell>
          <cell r="Q39">
            <v>0</v>
          </cell>
          <cell r="AF39">
            <v>0</v>
          </cell>
          <cell r="BK39">
            <v>0</v>
          </cell>
        </row>
        <row r="40">
          <cell r="C40">
            <v>190537.76839292308</v>
          </cell>
          <cell r="D40">
            <v>488022.76766599994</v>
          </cell>
          <cell r="Q40">
            <v>488022.76766599994</v>
          </cell>
          <cell r="AF40">
            <v>488022.76766599994</v>
          </cell>
          <cell r="BK40">
            <v>0</v>
          </cell>
        </row>
        <row r="41">
          <cell r="C41">
            <v>11053952.16656488</v>
          </cell>
          <cell r="D41">
            <v>11256106.523744555</v>
          </cell>
          <cell r="Q41">
            <v>11235896.194776256</v>
          </cell>
          <cell r="AF41">
            <v>11269680.320534788</v>
          </cell>
          <cell r="BK41">
            <v>27081.432444961738</v>
          </cell>
        </row>
        <row r="42">
          <cell r="C42">
            <v>26225.754576488209</v>
          </cell>
          <cell r="D42">
            <v>54530.786236113403</v>
          </cell>
          <cell r="Q42">
            <v>37347.757370826643</v>
          </cell>
          <cell r="AF42">
            <v>66078.371264057118</v>
          </cell>
          <cell r="BK42">
            <v>23034.296638170734</v>
          </cell>
        </row>
        <row r="43">
          <cell r="C43">
            <v>16677.015384615381</v>
          </cell>
          <cell r="D43">
            <v>18754.519999999997</v>
          </cell>
          <cell r="Q43">
            <v>18754.52</v>
          </cell>
          <cell r="AF43">
            <v>18754.52</v>
          </cell>
          <cell r="BK43">
            <v>0</v>
          </cell>
        </row>
        <row r="44">
          <cell r="C44">
            <v>2056104.0661538464</v>
          </cell>
          <cell r="D44">
            <v>2305883.5300000003</v>
          </cell>
          <cell r="Q44">
            <v>2305883.5299999998</v>
          </cell>
          <cell r="AF44">
            <v>2305883.5299999998</v>
          </cell>
          <cell r="BK44">
            <v>0</v>
          </cell>
        </row>
        <row r="45">
          <cell r="C45">
            <v>0</v>
          </cell>
          <cell r="D45">
            <v>0</v>
          </cell>
          <cell r="Q45">
            <v>0</v>
          </cell>
          <cell r="AF45">
            <v>0</v>
          </cell>
        </row>
        <row r="50">
          <cell r="C50">
            <v>0</v>
          </cell>
          <cell r="D50">
            <v>0</v>
          </cell>
          <cell r="Q50">
            <v>0</v>
          </cell>
          <cell r="AF50">
            <v>0</v>
          </cell>
          <cell r="BK50">
            <v>0</v>
          </cell>
        </row>
        <row r="51">
          <cell r="C51">
            <v>0</v>
          </cell>
          <cell r="D51">
            <v>0</v>
          </cell>
          <cell r="Q51">
            <v>0</v>
          </cell>
          <cell r="AF51">
            <v>0</v>
          </cell>
          <cell r="BK51">
            <v>0</v>
          </cell>
        </row>
        <row r="52">
          <cell r="C52">
            <v>1416352.7632746543</v>
          </cell>
          <cell r="D52">
            <v>1894620.2404075009</v>
          </cell>
          <cell r="Q52">
            <v>1609708.7221630008</v>
          </cell>
          <cell r="AF52">
            <v>2084561.2525705013</v>
          </cell>
          <cell r="BK52">
            <v>379882.0243259999</v>
          </cell>
        </row>
        <row r="53">
          <cell r="C53">
            <v>1543296.3558197112</v>
          </cell>
          <cell r="D53">
            <v>1660006.7654687499</v>
          </cell>
          <cell r="Q53">
            <v>1591254.3101874995</v>
          </cell>
          <cell r="AF53">
            <v>1705841.7356562498</v>
          </cell>
          <cell r="BK53">
            <v>91669.940375000006</v>
          </cell>
        </row>
        <row r="54">
          <cell r="C54">
            <v>2356589.6862157737</v>
          </cell>
          <cell r="D54">
            <v>2982734.9956626217</v>
          </cell>
          <cell r="Q54">
            <v>2562060.2035212498</v>
          </cell>
          <cell r="AF54">
            <v>3318656.1903542946</v>
          </cell>
          <cell r="BK54">
            <v>637303.63470947754</v>
          </cell>
        </row>
        <row r="55">
          <cell r="C55">
            <v>729487.19157028082</v>
          </cell>
          <cell r="D55">
            <v>847930.27916942246</v>
          </cell>
          <cell r="Q55">
            <v>776041.88750602922</v>
          </cell>
          <cell r="AF55">
            <v>896441.80512681208</v>
          </cell>
          <cell r="BK55">
            <v>96658.226631775353</v>
          </cell>
        </row>
        <row r="56">
          <cell r="C56">
            <v>0</v>
          </cell>
          <cell r="D56">
            <v>0</v>
          </cell>
          <cell r="Q56">
            <v>0</v>
          </cell>
          <cell r="AF56">
            <v>0</v>
          </cell>
          <cell r="BK56">
            <v>0</v>
          </cell>
        </row>
        <row r="57">
          <cell r="C57">
            <v>0</v>
          </cell>
          <cell r="D57">
            <v>0</v>
          </cell>
          <cell r="Q57">
            <v>0</v>
          </cell>
          <cell r="AF57">
            <v>0</v>
          </cell>
          <cell r="BK57">
            <v>0</v>
          </cell>
        </row>
        <row r="58">
          <cell r="C58">
            <v>0</v>
          </cell>
          <cell r="D58">
            <v>0</v>
          </cell>
          <cell r="Q58">
            <v>0</v>
          </cell>
          <cell r="AF58">
            <v>0</v>
          </cell>
          <cell r="BK58">
            <v>0</v>
          </cell>
        </row>
        <row r="59">
          <cell r="C59">
            <v>26220.305556440966</v>
          </cell>
          <cell r="D59">
            <v>82371.93243963398</v>
          </cell>
          <cell r="Q59">
            <v>35809.322112440314</v>
          </cell>
          <cell r="AF59">
            <v>127815.03619517521</v>
          </cell>
          <cell r="BK59">
            <v>81919.320780240945</v>
          </cell>
        </row>
        <row r="60">
          <cell r="C60">
            <v>89588.819816076968</v>
          </cell>
          <cell r="D60">
            <v>96772.552620000075</v>
          </cell>
          <cell r="Q60">
            <v>93580.902174000061</v>
          </cell>
          <cell r="AF60">
            <v>96926.987319000094</v>
          </cell>
          <cell r="BK60">
            <v>1338.4340580000001</v>
          </cell>
        </row>
        <row r="61">
          <cell r="C61">
            <v>85529.135375961501</v>
          </cell>
          <cell r="D61">
            <v>122110.55706249994</v>
          </cell>
          <cell r="Q61">
            <v>100279.01282499995</v>
          </cell>
          <cell r="AF61">
            <v>136664.91988749997</v>
          </cell>
          <cell r="BK61">
            <v>29108.725649999993</v>
          </cell>
        </row>
        <row r="62">
          <cell r="C62">
            <v>14215.833870096158</v>
          </cell>
          <cell r="D62">
            <v>16935.748793750008</v>
          </cell>
          <cell r="Q62">
            <v>15154.481517500002</v>
          </cell>
          <cell r="AF62">
            <v>18123.260311250015</v>
          </cell>
          <cell r="BK62">
            <v>2375.0230350000002</v>
          </cell>
        </row>
        <row r="63">
          <cell r="C63">
            <v>925778.18031817325</v>
          </cell>
          <cell r="D63">
            <v>1065250.5786687499</v>
          </cell>
          <cell r="Q63">
            <v>981312.56546750001</v>
          </cell>
          <cell r="AF63">
            <v>1121209.2541362504</v>
          </cell>
          <cell r="BK63">
            <v>111917.35093500004</v>
          </cell>
        </row>
        <row r="64">
          <cell r="C64">
            <v>136221.62797644234</v>
          </cell>
          <cell r="D64">
            <v>157641.22978125021</v>
          </cell>
          <cell r="Q64">
            <v>144727.9639125001</v>
          </cell>
          <cell r="AF64">
            <v>166250.07369375028</v>
          </cell>
          <cell r="BK64">
            <v>17217.687824999997</v>
          </cell>
        </row>
        <row r="65">
          <cell r="C65">
            <v>10253.14690188462</v>
          </cell>
          <cell r="D65">
            <v>14613.385517500019</v>
          </cell>
          <cell r="Q65">
            <v>11835.514207000011</v>
          </cell>
          <cell r="AF65">
            <v>16465.299724500022</v>
          </cell>
          <cell r="BK65">
            <v>3703.8284140000001</v>
          </cell>
        </row>
        <row r="66">
          <cell r="C66">
            <v>126381.01075682694</v>
          </cell>
          <cell r="D66">
            <v>158045.21845625006</v>
          </cell>
          <cell r="Q66">
            <v>137839.42138250003</v>
          </cell>
          <cell r="AF66">
            <v>171515.74983875008</v>
          </cell>
          <cell r="BK66">
            <v>26941.062764999999</v>
          </cell>
        </row>
        <row r="67">
          <cell r="C67">
            <v>374710.72034100001</v>
          </cell>
          <cell r="D67">
            <v>477869.75459499977</v>
          </cell>
          <cell r="Q67">
            <v>416242.89983800001</v>
          </cell>
          <cell r="AF67">
            <v>518954.32443299971</v>
          </cell>
          <cell r="BK67">
            <v>82169.139675999992</v>
          </cell>
        </row>
        <row r="68">
          <cell r="C68">
            <v>3930579.7809931082</v>
          </cell>
          <cell r="D68">
            <v>5023620.4878982436</v>
          </cell>
          <cell r="Q68">
            <v>4361559.2536857566</v>
          </cell>
          <cell r="AF68">
            <v>5465022.0681487871</v>
          </cell>
          <cell r="BK68">
            <v>882786.08511253493</v>
          </cell>
        </row>
        <row r="69">
          <cell r="C69">
            <v>977603.79138403863</v>
          </cell>
          <cell r="D69">
            <v>1187816.0071375002</v>
          </cell>
          <cell r="Q69">
            <v>1061156.5908550003</v>
          </cell>
          <cell r="AF69">
            <v>1272255.6179925005</v>
          </cell>
          <cell r="BK69">
            <v>168879.22171000001</v>
          </cell>
        </row>
        <row r="70">
          <cell r="C70">
            <v>299516.60953588469</v>
          </cell>
          <cell r="D70">
            <v>355516.76854750008</v>
          </cell>
          <cell r="Q70">
            <v>322529.6154190001</v>
          </cell>
          <cell r="AF70">
            <v>377508.20396650006</v>
          </cell>
          <cell r="BK70">
            <v>43982.870837999995</v>
          </cell>
        </row>
        <row r="71">
          <cell r="C71">
            <v>444327.01846303942</v>
          </cell>
          <cell r="D71">
            <v>559761.45274984674</v>
          </cell>
          <cell r="Q71">
            <v>488219.95434090408</v>
          </cell>
          <cell r="AF71">
            <v>608918.78513097845</v>
          </cell>
          <cell r="BK71">
            <v>97403.740166402888</v>
          </cell>
        </row>
        <row r="72">
          <cell r="C72">
            <v>118336.55266878847</v>
          </cell>
          <cell r="D72">
            <v>134102.90763874995</v>
          </cell>
          <cell r="Q72">
            <v>124642.87705549996</v>
          </cell>
          <cell r="AF72">
            <v>140409.59469425</v>
          </cell>
          <cell r="BK72">
            <v>12613.374110999996</v>
          </cell>
        </row>
        <row r="73">
          <cell r="C73">
            <v>23087625.996291075</v>
          </cell>
          <cell r="D73">
            <v>30357682.711901881</v>
          </cell>
          <cell r="Q73">
            <v>25976081.594470952</v>
          </cell>
          <cell r="AF73">
            <v>33301289.810551211</v>
          </cell>
          <cell r="BK73">
            <v>5873180.0525449412</v>
          </cell>
        </row>
        <row r="74">
          <cell r="C74">
            <v>100449.28092524249</v>
          </cell>
          <cell r="D74">
            <v>131374.3138465721</v>
          </cell>
          <cell r="Q74">
            <v>109374.06504026496</v>
          </cell>
          <cell r="AF74">
            <v>149900.89651901685</v>
          </cell>
          <cell r="BK74">
            <v>34649.924694853325</v>
          </cell>
        </row>
        <row r="75">
          <cell r="C75">
            <v>214061.67843198564</v>
          </cell>
          <cell r="D75">
            <v>248724.98238468025</v>
          </cell>
          <cell r="Q75">
            <v>226855.75604247276</v>
          </cell>
          <cell r="AF75">
            <v>264413.83513082197</v>
          </cell>
          <cell r="BK75">
            <v>30686.966603715307</v>
          </cell>
        </row>
        <row r="76">
          <cell r="C76">
            <v>66208.56340055191</v>
          </cell>
          <cell r="D76">
            <v>75561.588721850596</v>
          </cell>
          <cell r="Q76">
            <v>69710.173994984478</v>
          </cell>
          <cell r="AF76">
            <v>79729.613985825883</v>
          </cell>
          <cell r="BK76">
            <v>8169.7541181367878</v>
          </cell>
        </row>
        <row r="77">
          <cell r="C77">
            <v>9028.6580196923096</v>
          </cell>
          <cell r="D77">
            <v>10704.55304000001</v>
          </cell>
          <cell r="Q77">
            <v>9699.1612160000059</v>
          </cell>
          <cell r="AF77">
            <v>11374.814256000012</v>
          </cell>
          <cell r="BK77">
            <v>1340.522432</v>
          </cell>
        </row>
        <row r="78">
          <cell r="C78">
            <v>0</v>
          </cell>
          <cell r="D78">
            <v>0</v>
          </cell>
          <cell r="Q78">
            <v>0</v>
          </cell>
          <cell r="AF78">
            <v>0</v>
          </cell>
          <cell r="BK78">
            <v>0</v>
          </cell>
        </row>
        <row r="79">
          <cell r="C79">
            <v>0</v>
          </cell>
          <cell r="D79">
            <v>0</v>
          </cell>
          <cell r="Q79">
            <v>0</v>
          </cell>
          <cell r="AF79">
            <v>0</v>
          </cell>
        </row>
        <row r="84">
          <cell r="C84">
            <v>0</v>
          </cell>
          <cell r="D84">
            <v>0</v>
          </cell>
          <cell r="Q84">
            <v>0</v>
          </cell>
          <cell r="AF84">
            <v>0</v>
          </cell>
          <cell r="BK84">
            <v>0</v>
          </cell>
        </row>
        <row r="85">
          <cell r="C85">
            <v>0</v>
          </cell>
          <cell r="D85">
            <v>0</v>
          </cell>
          <cell r="Q85">
            <v>0</v>
          </cell>
          <cell r="AF85">
            <v>0</v>
          </cell>
          <cell r="BK85">
            <v>0</v>
          </cell>
        </row>
        <row r="86">
          <cell r="C86">
            <v>94959.474352923091</v>
          </cell>
          <cell r="D86">
            <v>100967.31042000002</v>
          </cell>
          <cell r="Q86">
            <v>97362.606168000028</v>
          </cell>
          <cell r="AF86">
            <v>103370.44658800002</v>
          </cell>
          <cell r="BK86">
            <v>4806.2723359999991</v>
          </cell>
        </row>
        <row r="87">
          <cell r="C87">
            <v>7687.1400811730773</v>
          </cell>
          <cell r="D87">
            <v>9096.690753750001</v>
          </cell>
          <cell r="Q87">
            <v>8250.9603015000012</v>
          </cell>
          <cell r="AF87">
            <v>9660.5110552500009</v>
          </cell>
          <cell r="BK87">
            <v>1127.6406030000001</v>
          </cell>
        </row>
        <row r="88">
          <cell r="C88">
            <v>38834</v>
          </cell>
          <cell r="D88">
            <v>38834</v>
          </cell>
          <cell r="Q88">
            <v>38834</v>
          </cell>
          <cell r="AF88">
            <v>38834</v>
          </cell>
          <cell r="BK88">
            <v>0</v>
          </cell>
        </row>
        <row r="89">
          <cell r="C89">
            <v>41397.210000000006</v>
          </cell>
          <cell r="D89">
            <v>41397.210000000006</v>
          </cell>
          <cell r="Q89">
            <v>41397.21</v>
          </cell>
          <cell r="AF89">
            <v>41397.21</v>
          </cell>
          <cell r="BK89">
            <v>0</v>
          </cell>
        </row>
        <row r="90">
          <cell r="C90">
            <v>0</v>
          </cell>
          <cell r="D90">
            <v>0</v>
          </cell>
          <cell r="Q90">
            <v>0</v>
          </cell>
          <cell r="AF90">
            <v>0</v>
          </cell>
          <cell r="BK90">
            <v>0</v>
          </cell>
        </row>
        <row r="91">
          <cell r="C91">
            <v>0</v>
          </cell>
          <cell r="D91">
            <v>0</v>
          </cell>
          <cell r="Q91">
            <v>0</v>
          </cell>
          <cell r="AF91">
            <v>0</v>
          </cell>
          <cell r="BK91">
            <v>0</v>
          </cell>
        </row>
        <row r="92">
          <cell r="C92">
            <v>13804.355803096152</v>
          </cell>
          <cell r="D92">
            <v>16079.221028750006</v>
          </cell>
          <cell r="Q92">
            <v>14714.304411500003</v>
          </cell>
          <cell r="AF92">
            <v>16989.165440250006</v>
          </cell>
          <cell r="BK92">
            <v>1819.888823</v>
          </cell>
        </row>
        <row r="93">
          <cell r="C93">
            <v>0</v>
          </cell>
          <cell r="D93">
            <v>0</v>
          </cell>
          <cell r="Q93">
            <v>0</v>
          </cell>
          <cell r="AF93">
            <v>0</v>
          </cell>
          <cell r="BK93">
            <v>0</v>
          </cell>
        </row>
        <row r="94">
          <cell r="C94">
            <v>128964.12405230767</v>
          </cell>
          <cell r="D94">
            <v>136527.86684060522</v>
          </cell>
          <cell r="Q94">
            <v>131937.66647999996</v>
          </cell>
          <cell r="AF94">
            <v>139631.05634934071</v>
          </cell>
          <cell r="BK94">
            <v>6183.9150513847453</v>
          </cell>
        </row>
        <row r="95">
          <cell r="C95">
            <v>6613.2205497692303</v>
          </cell>
          <cell r="D95">
            <v>7731.3251049999953</v>
          </cell>
          <cell r="Q95">
            <v>7060.4620419999974</v>
          </cell>
          <cell r="AF95">
            <v>8178.5671469999925</v>
          </cell>
          <cell r="BK95">
            <v>894.48408400000005</v>
          </cell>
        </row>
        <row r="96">
          <cell r="C96">
            <v>-9574.3647480769196</v>
          </cell>
          <cell r="D96">
            <v>-7884.9034571288748</v>
          </cell>
          <cell r="Q96">
            <v>-9039.5733499999951</v>
          </cell>
          <cell r="AF96">
            <v>-7003.6326932460779</v>
          </cell>
          <cell r="BK96">
            <v>1704.3723963036516</v>
          </cell>
        </row>
        <row r="97">
          <cell r="C97">
            <v>0</v>
          </cell>
          <cell r="D97">
            <v>0</v>
          </cell>
          <cell r="Q97">
            <v>0</v>
          </cell>
          <cell r="AF97">
            <v>0</v>
          </cell>
          <cell r="BK97">
            <v>0</v>
          </cell>
        </row>
        <row r="98">
          <cell r="C98">
            <v>0</v>
          </cell>
          <cell r="D98">
            <v>0</v>
          </cell>
          <cell r="Q98">
            <v>0</v>
          </cell>
          <cell r="AF98">
            <v>0</v>
          </cell>
          <cell r="BK98">
            <v>0</v>
          </cell>
        </row>
        <row r="99">
          <cell r="C99">
            <v>660123.8587529232</v>
          </cell>
          <cell r="D99">
            <v>695438.34842000017</v>
          </cell>
          <cell r="Q99">
            <v>674249.65536800027</v>
          </cell>
          <cell r="AF99">
            <v>709564.1437880001</v>
          </cell>
          <cell r="BK99">
            <v>28251.590736000002</v>
          </cell>
        </row>
        <row r="100">
          <cell r="C100">
            <v>0</v>
          </cell>
          <cell r="D100">
            <v>0</v>
          </cell>
          <cell r="Q100">
            <v>0</v>
          </cell>
          <cell r="AF100">
            <v>0</v>
          </cell>
          <cell r="BK100">
            <v>0</v>
          </cell>
        </row>
        <row r="101">
          <cell r="C101">
            <v>-34825.123846153838</v>
          </cell>
          <cell r="D101">
            <v>-34804.349999999991</v>
          </cell>
          <cell r="Q101">
            <v>-34804.35</v>
          </cell>
          <cell r="AF101">
            <v>-34804.35</v>
          </cell>
          <cell r="BK101">
            <v>0</v>
          </cell>
        </row>
        <row r="102">
          <cell r="C102">
            <v>0</v>
          </cell>
          <cell r="D102">
            <v>0</v>
          </cell>
          <cell r="Q102">
            <v>0</v>
          </cell>
          <cell r="AF102">
            <v>0</v>
          </cell>
          <cell r="BK102">
            <v>0</v>
          </cell>
        </row>
        <row r="103">
          <cell r="C103">
            <v>0</v>
          </cell>
          <cell r="D103">
            <v>0</v>
          </cell>
          <cell r="Q103">
            <v>0</v>
          </cell>
          <cell r="AF103">
            <v>0</v>
          </cell>
          <cell r="BK103">
            <v>0</v>
          </cell>
        </row>
        <row r="104">
          <cell r="C104">
            <v>74207.98</v>
          </cell>
          <cell r="D104">
            <v>74207.98</v>
          </cell>
          <cell r="Q104">
            <v>74207.98</v>
          </cell>
          <cell r="AF104">
            <v>74207.98</v>
          </cell>
          <cell r="BK104">
            <v>0</v>
          </cell>
        </row>
        <row r="105">
          <cell r="C105">
            <v>17282.023344788464</v>
          </cell>
          <cell r="D105">
            <v>22151.501058750026</v>
          </cell>
          <cell r="Q105">
            <v>19229.81242350001</v>
          </cell>
          <cell r="AF105">
            <v>24099.293482250036</v>
          </cell>
          <cell r="BK105">
            <v>3895.5848469999987</v>
          </cell>
        </row>
        <row r="106">
          <cell r="C106">
            <v>828509.36</v>
          </cell>
          <cell r="D106">
            <v>828509.36</v>
          </cell>
          <cell r="Q106">
            <v>828509.36</v>
          </cell>
          <cell r="AF106">
            <v>828509.36</v>
          </cell>
          <cell r="BK106">
            <v>0</v>
          </cell>
        </row>
        <row r="107">
          <cell r="C107">
            <v>52517.30000000001</v>
          </cell>
          <cell r="D107">
            <v>52517.30000000001</v>
          </cell>
          <cell r="Q107">
            <v>52517.30000000001</v>
          </cell>
          <cell r="AF107">
            <v>52517.30000000001</v>
          </cell>
        </row>
        <row r="112">
          <cell r="C112">
            <v>8329.7199999999993</v>
          </cell>
          <cell r="D112">
            <v>8329.7199999999993</v>
          </cell>
          <cell r="Q112">
            <v>8329.7199999999993</v>
          </cell>
          <cell r="AF112">
            <v>8329.7199999999993</v>
          </cell>
          <cell r="BK112">
            <v>0</v>
          </cell>
        </row>
        <row r="113">
          <cell r="C113">
            <v>119852.68999999996</v>
          </cell>
          <cell r="D113">
            <v>119852.68999999996</v>
          </cell>
          <cell r="Q113">
            <v>119852.69</v>
          </cell>
          <cell r="AF113">
            <v>119852.69</v>
          </cell>
          <cell r="BK113">
            <v>0</v>
          </cell>
        </row>
        <row r="114">
          <cell r="C114">
            <v>0</v>
          </cell>
          <cell r="D114">
            <v>0</v>
          </cell>
          <cell r="Q114">
            <v>0</v>
          </cell>
          <cell r="AF114">
            <v>0</v>
          </cell>
          <cell r="BK114">
            <v>0</v>
          </cell>
        </row>
        <row r="115">
          <cell r="C115">
            <v>0</v>
          </cell>
          <cell r="D115">
            <v>0</v>
          </cell>
          <cell r="Q115">
            <v>0</v>
          </cell>
          <cell r="AF115">
            <v>0</v>
          </cell>
          <cell r="BK115">
            <v>0</v>
          </cell>
        </row>
        <row r="116">
          <cell r="C116">
            <v>0</v>
          </cell>
          <cell r="D116">
            <v>0</v>
          </cell>
          <cell r="Q116">
            <v>0</v>
          </cell>
          <cell r="AF116">
            <v>0</v>
          </cell>
          <cell r="BK116">
            <v>0</v>
          </cell>
        </row>
        <row r="117">
          <cell r="C117">
            <v>0</v>
          </cell>
          <cell r="D117">
            <v>0</v>
          </cell>
          <cell r="Q117">
            <v>0</v>
          </cell>
          <cell r="AF117">
            <v>0</v>
          </cell>
          <cell r="BK117">
            <v>0</v>
          </cell>
        </row>
        <row r="118">
          <cell r="C118">
            <v>4421.7924548076899</v>
          </cell>
          <cell r="D118">
            <v>4436.4299374999964</v>
          </cell>
          <cell r="Q118">
            <v>4427.651974999997</v>
          </cell>
          <cell r="AF118">
            <v>4442.281912499996</v>
          </cell>
          <cell r="BK118">
            <v>11.703950000000001</v>
          </cell>
        </row>
        <row r="119">
          <cell r="C119">
            <v>5616.3354348269249</v>
          </cell>
          <cell r="D119">
            <v>5990.3304662499968</v>
          </cell>
          <cell r="Q119">
            <v>5765.9301864999998</v>
          </cell>
          <cell r="AF119">
            <v>6139.9306527499948</v>
          </cell>
          <cell r="BK119">
            <v>299.20037300000001</v>
          </cell>
        </row>
        <row r="120">
          <cell r="C120">
            <v>109407.09089730766</v>
          </cell>
          <cell r="D120">
            <v>111820.96547499996</v>
          </cell>
          <cell r="Q120">
            <v>110372.64618999996</v>
          </cell>
          <cell r="AF120">
            <v>112786.51166499994</v>
          </cell>
          <cell r="BK120">
            <v>1931.0923800000003</v>
          </cell>
        </row>
        <row r="121">
          <cell r="C121">
            <v>20006.509070615393</v>
          </cell>
          <cell r="D121">
            <v>20272.601370000008</v>
          </cell>
          <cell r="Q121">
            <v>20112.946548000007</v>
          </cell>
          <cell r="AF121">
            <v>20379.037918000002</v>
          </cell>
          <cell r="BK121">
            <v>212.87309600000006</v>
          </cell>
        </row>
        <row r="122">
          <cell r="C122">
            <v>96130.66981211539</v>
          </cell>
          <cell r="D122">
            <v>98364.101112500008</v>
          </cell>
          <cell r="Q122">
            <v>97024.036445000005</v>
          </cell>
          <cell r="AF122">
            <v>99257.477557500009</v>
          </cell>
          <cell r="BK122">
            <v>1786.7528900000004</v>
          </cell>
        </row>
        <row r="123">
          <cell r="C123">
            <v>1022096.0791402691</v>
          </cell>
          <cell r="D123">
            <v>1167489.7363025001</v>
          </cell>
          <cell r="Q123">
            <v>1059935.652521</v>
          </cell>
          <cell r="AF123">
            <v>1239192.4588235002</v>
          </cell>
          <cell r="BK123">
            <v>143405.44504200001</v>
          </cell>
        </row>
        <row r="124">
          <cell r="C124">
            <v>1361668.0316476533</v>
          </cell>
          <cell r="D124">
            <v>1393755.5124424996</v>
          </cell>
          <cell r="Q124">
            <v>1374503.0289769997</v>
          </cell>
          <cell r="AF124">
            <v>1406590.5014195</v>
          </cell>
          <cell r="BK124">
            <v>25669.977954000005</v>
          </cell>
        </row>
        <row r="125">
          <cell r="C125">
            <v>457625.5661538461</v>
          </cell>
          <cell r="D125">
            <v>458146.13999999996</v>
          </cell>
          <cell r="Q125">
            <v>458146.14000000007</v>
          </cell>
          <cell r="AF125">
            <v>458146.14000000007</v>
          </cell>
          <cell r="BK125">
            <v>0</v>
          </cell>
        </row>
        <row r="126">
          <cell r="C126">
            <v>693512.27909538476</v>
          </cell>
          <cell r="D126">
            <v>731646.02160000068</v>
          </cell>
          <cell r="Q126">
            <v>708765.77664000029</v>
          </cell>
          <cell r="AF126">
            <v>746899.51824000094</v>
          </cell>
          <cell r="BK126">
            <v>30506.993279999999</v>
          </cell>
        </row>
        <row r="127">
          <cell r="C127">
            <v>166691.50206163464</v>
          </cell>
          <cell r="D127">
            <v>167472.56914375009</v>
          </cell>
          <cell r="Q127">
            <v>167003.92765750005</v>
          </cell>
          <cell r="AF127">
            <v>167784.99680125012</v>
          </cell>
          <cell r="BK127">
            <v>624.85531499999991</v>
          </cell>
        </row>
        <row r="128">
          <cell r="C128">
            <v>42874.260750615394</v>
          </cell>
          <cell r="D128">
            <v>43475.016970000011</v>
          </cell>
          <cell r="Q128">
            <v>43114.562788000017</v>
          </cell>
          <cell r="AF128">
            <v>43715.31975800002</v>
          </cell>
          <cell r="BK128">
            <v>480.60557599999987</v>
          </cell>
        </row>
        <row r="129">
          <cell r="C129">
            <v>138412.45258134609</v>
          </cell>
          <cell r="D129">
            <v>140219.74111249999</v>
          </cell>
          <cell r="Q129">
            <v>139135.37244499996</v>
          </cell>
          <cell r="AF129">
            <v>140942.65355750002</v>
          </cell>
          <cell r="BK129">
            <v>1445.8248900000001</v>
          </cell>
        </row>
        <row r="130">
          <cell r="C130">
            <v>193266.04693282695</v>
          </cell>
          <cell r="D130">
            <v>195386.80437625007</v>
          </cell>
          <cell r="Q130">
            <v>194114.34575050004</v>
          </cell>
          <cell r="AF130">
            <v>196235.11012675005</v>
          </cell>
          <cell r="BK130">
            <v>1696.6115010000003</v>
          </cell>
        </row>
        <row r="131">
          <cell r="C131">
            <v>460914.83850576915</v>
          </cell>
          <cell r="D131">
            <v>481692.37612499972</v>
          </cell>
          <cell r="Q131">
            <v>469225.85444999981</v>
          </cell>
          <cell r="AF131">
            <v>490003.39057499956</v>
          </cell>
          <cell r="BK131">
            <v>16622.028900000001</v>
          </cell>
        </row>
        <row r="132">
          <cell r="C132">
            <v>199502.75481482738</v>
          </cell>
          <cell r="D132">
            <v>188423.91339525761</v>
          </cell>
          <cell r="Q132">
            <v>195122.49316964822</v>
          </cell>
          <cell r="AF132">
            <v>185889.8323527906</v>
          </cell>
          <cell r="BK132">
            <v>2268.3028316667373</v>
          </cell>
        </row>
        <row r="133">
          <cell r="C133">
            <v>172816.31548221159</v>
          </cell>
          <cell r="D133">
            <v>183442.06090625003</v>
          </cell>
          <cell r="Q133">
            <v>177066.61036250004</v>
          </cell>
          <cell r="AF133">
            <v>187692.36126875007</v>
          </cell>
          <cell r="BK133">
            <v>8500.6007250000021</v>
          </cell>
        </row>
        <row r="134">
          <cell r="C134">
            <v>0</v>
          </cell>
          <cell r="D134">
            <v>0</v>
          </cell>
          <cell r="Q134">
            <v>0</v>
          </cell>
          <cell r="AF134">
            <v>0</v>
          </cell>
          <cell r="BK134">
            <v>0</v>
          </cell>
        </row>
        <row r="135">
          <cell r="C135">
            <v>403342.381023077</v>
          </cell>
          <cell r="D135">
            <v>417769.08949999983</v>
          </cell>
          <cell r="Q135">
            <v>409113.06380000006</v>
          </cell>
          <cell r="AF135">
            <v>423539.77329999977</v>
          </cell>
          <cell r="BK135">
            <v>11541.367600000003</v>
          </cell>
        </row>
        <row r="136">
          <cell r="C136">
            <v>15007.279506000001</v>
          </cell>
          <cell r="D136">
            <v>16097.55827000001</v>
          </cell>
          <cell r="Q136">
            <v>15443.385308000006</v>
          </cell>
          <cell r="AF136">
            <v>16533.673578000013</v>
          </cell>
          <cell r="BK136">
            <v>872.23061599999994</v>
          </cell>
        </row>
        <row r="137">
          <cell r="C137">
            <v>50793.982994884631</v>
          </cell>
          <cell r="D137">
            <v>52147.374952500031</v>
          </cell>
          <cell r="Q137">
            <v>51335.343981000027</v>
          </cell>
          <cell r="AF137">
            <v>52688.728933500046</v>
          </cell>
          <cell r="BK137">
            <v>1082.707962</v>
          </cell>
        </row>
        <row r="138">
          <cell r="C138">
            <v>102946.03892307692</v>
          </cell>
          <cell r="D138">
            <v>112878.87999999995</v>
          </cell>
          <cell r="Q138">
            <v>106919.17599999998</v>
          </cell>
          <cell r="AF138">
            <v>116852.0159999999</v>
          </cell>
          <cell r="BK138">
            <v>7946.2720000000018</v>
          </cell>
        </row>
        <row r="139">
          <cell r="C139">
            <v>18006126.327839408</v>
          </cell>
          <cell r="D139">
            <v>18657094.69850878</v>
          </cell>
          <cell r="Q139">
            <v>18265248.913403515</v>
          </cell>
          <cell r="AF139">
            <v>18918325.221912291</v>
          </cell>
          <cell r="BK139">
            <v>522461.04680700001</v>
          </cell>
        </row>
        <row r="140">
          <cell r="C140">
            <v>320443.39197446161</v>
          </cell>
          <cell r="D140">
            <v>340010.14262000012</v>
          </cell>
          <cell r="Q140">
            <v>328270.10304800014</v>
          </cell>
          <cell r="AF140">
            <v>347836.8356680001</v>
          </cell>
          <cell r="BK140">
            <v>15653.386096</v>
          </cell>
        </row>
        <row r="141">
          <cell r="C141">
            <v>1671780.4114484224</v>
          </cell>
          <cell r="D141">
            <v>1732491.0405924977</v>
          </cell>
          <cell r="Q141">
            <v>1696064.6682369986</v>
          </cell>
          <cell r="AF141">
            <v>1756775.2888294971</v>
          </cell>
          <cell r="BK141">
            <v>48568.496473999992</v>
          </cell>
        </row>
        <row r="142">
          <cell r="C142">
            <v>0</v>
          </cell>
          <cell r="D142">
            <v>0</v>
          </cell>
          <cell r="Q142">
            <v>0</v>
          </cell>
          <cell r="AF142">
            <v>0</v>
          </cell>
          <cell r="BK142">
            <v>0</v>
          </cell>
        </row>
        <row r="143">
          <cell r="C143">
            <v>0</v>
          </cell>
          <cell r="D143">
            <v>0</v>
          </cell>
          <cell r="Q143">
            <v>0</v>
          </cell>
          <cell r="AF143">
            <v>0</v>
          </cell>
          <cell r="BK143">
            <v>0</v>
          </cell>
        </row>
        <row r="144">
          <cell r="C144">
            <v>140150.25409150112</v>
          </cell>
          <cell r="D144">
            <v>192102.93774563668</v>
          </cell>
          <cell r="Q144">
            <v>158628.07827421895</v>
          </cell>
          <cell r="AF144">
            <v>216547.71293282337</v>
          </cell>
          <cell r="BK144">
            <v>47619.270708477139</v>
          </cell>
        </row>
        <row r="145">
          <cell r="C145">
            <v>0</v>
          </cell>
          <cell r="D145">
            <v>0</v>
          </cell>
          <cell r="Q145">
            <v>0</v>
          </cell>
          <cell r="AF145">
            <v>0</v>
          </cell>
          <cell r="BK145">
            <v>0</v>
          </cell>
        </row>
        <row r="146">
          <cell r="C146">
            <v>98567.576139769197</v>
          </cell>
          <cell r="D146">
            <v>107223.89415499989</v>
          </cell>
          <cell r="Q146">
            <v>102030.10566199994</v>
          </cell>
          <cell r="AF146">
            <v>110686.41981699987</v>
          </cell>
          <cell r="BK146">
            <v>6925.0513239999991</v>
          </cell>
        </row>
        <row r="147">
          <cell r="C147">
            <v>66957.147198961567</v>
          </cell>
          <cell r="D147">
            <v>69527.4568475001</v>
          </cell>
          <cell r="Q147">
            <v>67985.266739000057</v>
          </cell>
          <cell r="AF147">
            <v>70555.583586500128</v>
          </cell>
          <cell r="BK147">
            <v>2056.2534780000001</v>
          </cell>
        </row>
        <row r="148">
          <cell r="C148">
            <v>33317.470311499987</v>
          </cell>
          <cell r="D148">
            <v>34508.772892500012</v>
          </cell>
          <cell r="Q148">
            <v>33793.991156999997</v>
          </cell>
          <cell r="AF148">
            <v>34985.294049500022</v>
          </cell>
          <cell r="BK148">
            <v>953.04231399999992</v>
          </cell>
        </row>
        <row r="149">
          <cell r="C149">
            <v>1739.998702615384</v>
          </cell>
          <cell r="D149">
            <v>1843.1208099999981</v>
          </cell>
          <cell r="Q149">
            <v>1781.2423239999989</v>
          </cell>
          <cell r="AF149">
            <v>1884.3731339999979</v>
          </cell>
          <cell r="BK149">
            <v>82.504648000000017</v>
          </cell>
        </row>
        <row r="150">
          <cell r="C150">
            <v>11987064.528873006</v>
          </cell>
          <cell r="D150">
            <v>12595264.582505703</v>
          </cell>
          <cell r="Q150">
            <v>12235479.171516361</v>
          </cell>
          <cell r="AF150">
            <v>12924122.285679964</v>
          </cell>
          <cell r="BK150">
            <v>1035250.3239195559</v>
          </cell>
        </row>
        <row r="151">
          <cell r="C151">
            <v>28363166.556201007</v>
          </cell>
          <cell r="D151">
            <v>29171776.814593829</v>
          </cell>
          <cell r="Q151">
            <v>28704987.752647236</v>
          </cell>
          <cell r="AF151">
            <v>29863767.451184731</v>
          </cell>
          <cell r="BK151">
            <v>2937274.7864633435</v>
          </cell>
        </row>
        <row r="152">
          <cell r="C152">
            <v>13922298.169434525</v>
          </cell>
          <cell r="D152">
            <v>16572436.947456446</v>
          </cell>
          <cell r="Q152">
            <v>14869647.322718861</v>
          </cell>
          <cell r="AF152">
            <v>17845677.158033997</v>
          </cell>
          <cell r="BK152">
            <v>2634236.5547177293</v>
          </cell>
        </row>
        <row r="153">
          <cell r="C153">
            <v>2148184.9745646669</v>
          </cell>
          <cell r="D153">
            <v>2554129.5580904442</v>
          </cell>
          <cell r="Q153">
            <v>2286706.2080893051</v>
          </cell>
          <cell r="AF153">
            <v>2755115.6609372706</v>
          </cell>
          <cell r="BK153">
            <v>397763.51553833036</v>
          </cell>
        </row>
        <row r="154">
          <cell r="C154">
            <v>777394.2082683749</v>
          </cell>
          <cell r="D154">
            <v>939544.6280162594</v>
          </cell>
          <cell r="Q154">
            <v>836582.26880301081</v>
          </cell>
          <cell r="AF154">
            <v>1013389.2239786354</v>
          </cell>
          <cell r="BK154">
            <v>144583.61554025693</v>
          </cell>
        </row>
        <row r="155">
          <cell r="C155">
            <v>940444.39655159088</v>
          </cell>
          <cell r="D155">
            <v>1018244.5664553276</v>
          </cell>
          <cell r="Q155">
            <v>965480.00894361886</v>
          </cell>
          <cell r="AF155">
            <v>1059556.8021444918</v>
          </cell>
          <cell r="BK155">
            <v>81543.758417949182</v>
          </cell>
        </row>
        <row r="156">
          <cell r="C156">
            <v>36093808.135608226</v>
          </cell>
          <cell r="D156">
            <v>37374098.806804746</v>
          </cell>
          <cell r="Q156">
            <v>36490191.003144294</v>
          </cell>
          <cell r="AF156">
            <v>38681263.191491581</v>
          </cell>
          <cell r="BK156">
            <v>4883872.2684313403</v>
          </cell>
        </row>
        <row r="157">
          <cell r="C157">
            <v>15884766.076107204</v>
          </cell>
          <cell r="D157">
            <v>19024487.557569709</v>
          </cell>
          <cell r="Q157">
            <v>16957783.094844159</v>
          </cell>
          <cell r="AF157">
            <v>20656076.452329051</v>
          </cell>
          <cell r="BK157">
            <v>3498398.3735321122</v>
          </cell>
        </row>
        <row r="158">
          <cell r="C158">
            <v>23364617.52048701</v>
          </cell>
          <cell r="D158">
            <v>24993490.739980765</v>
          </cell>
          <cell r="Q158">
            <v>24018617.963506754</v>
          </cell>
          <cell r="AF158">
            <v>25825004.857517008</v>
          </cell>
          <cell r="BK158">
            <v>2355879.7243234329</v>
          </cell>
        </row>
        <row r="159">
          <cell r="C159">
            <v>3534078.5885929666</v>
          </cell>
          <cell r="D159">
            <v>3972596.4628011356</v>
          </cell>
          <cell r="Q159">
            <v>3701976.2719964143</v>
          </cell>
          <cell r="AF159">
            <v>4158943.6824368746</v>
          </cell>
          <cell r="BK159">
            <v>369152.70178807154</v>
          </cell>
        </row>
        <row r="160">
          <cell r="C160">
            <v>81320.237729394139</v>
          </cell>
          <cell r="D160">
            <v>87938.682196943642</v>
          </cell>
          <cell r="Q160">
            <v>83731.821941066824</v>
          </cell>
          <cell r="AF160">
            <v>90956.283299827119</v>
          </cell>
          <cell r="BK160">
            <v>5908.0504593552996</v>
          </cell>
        </row>
        <row r="161">
          <cell r="C161">
            <v>2656783.3444472551</v>
          </cell>
          <cell r="D161">
            <v>2832946.2697525355</v>
          </cell>
          <cell r="Q161">
            <v>2726830.4437771947</v>
          </cell>
          <cell r="AF161">
            <v>2904067.3458352396</v>
          </cell>
          <cell r="BK161">
            <v>142017.01404071556</v>
          </cell>
        </row>
        <row r="162">
          <cell r="C162">
            <v>0</v>
          </cell>
          <cell r="D162">
            <v>0</v>
          </cell>
          <cell r="Q162">
            <v>0</v>
          </cell>
          <cell r="AF162">
            <v>0</v>
          </cell>
          <cell r="BK162">
            <v>0</v>
          </cell>
        </row>
        <row r="163">
          <cell r="C163">
            <v>653447.18755695969</v>
          </cell>
          <cell r="D163">
            <v>989221.66228965647</v>
          </cell>
          <cell r="Q163">
            <v>787679.57708903844</v>
          </cell>
          <cell r="AF163">
            <v>1123624.4495535207</v>
          </cell>
          <cell r="BK163">
            <v>268780.86544112815</v>
          </cell>
        </row>
        <row r="164">
          <cell r="C164">
            <v>93404.584394615347</v>
          </cell>
          <cell r="D164">
            <v>101540.98794999989</v>
          </cell>
          <cell r="Q164">
            <v>96659.149179999935</v>
          </cell>
          <cell r="AF164">
            <v>104795.54712999989</v>
          </cell>
          <cell r="BK164">
            <v>6509.1183599999995</v>
          </cell>
        </row>
        <row r="165">
          <cell r="C165">
            <v>234646.47584953852</v>
          </cell>
          <cell r="D165">
            <v>267978.84146000014</v>
          </cell>
          <cell r="Q165">
            <v>247979.42458400005</v>
          </cell>
          <cell r="AF165">
            <v>281311.78604400012</v>
          </cell>
          <cell r="BK165">
            <v>26665.889167999998</v>
          </cell>
        </row>
        <row r="166">
          <cell r="C166">
            <v>3831.6724532307699</v>
          </cell>
          <cell r="D166">
            <v>4440.5427800000043</v>
          </cell>
          <cell r="Q166">
            <v>4075.2191120000007</v>
          </cell>
          <cell r="AF166">
            <v>4684.0918920000067</v>
          </cell>
          <cell r="BK166">
            <v>487.09822400000002</v>
          </cell>
        </row>
        <row r="167">
          <cell r="C167">
            <v>976086.44687588455</v>
          </cell>
          <cell r="D167">
            <v>1225690.3469873457</v>
          </cell>
          <cell r="Q167">
            <v>1092667.9055389999</v>
          </cell>
          <cell r="AF167">
            <v>1248109.8595909993</v>
          </cell>
          <cell r="BK167">
            <v>97151.221282499988</v>
          </cell>
        </row>
        <row r="168">
          <cell r="C168">
            <v>826344.06418826943</v>
          </cell>
          <cell r="D168">
            <v>988921.09746250056</v>
          </cell>
          <cell r="Q168">
            <v>899145.27698500035</v>
          </cell>
          <cell r="AF168">
            <v>1048771.6444475006</v>
          </cell>
          <cell r="BK168">
            <v>119701.09396999997</v>
          </cell>
        </row>
        <row r="169">
          <cell r="C169">
            <v>0</v>
          </cell>
          <cell r="D169">
            <v>0</v>
          </cell>
          <cell r="Q169">
            <v>0</v>
          </cell>
          <cell r="AF169">
            <v>0</v>
          </cell>
          <cell r="BK169">
            <v>0</v>
          </cell>
        </row>
        <row r="170">
          <cell r="C170">
            <v>72660.259934999995</v>
          </cell>
          <cell r="D170">
            <v>90800.340824999977</v>
          </cell>
          <cell r="Q170">
            <v>65707.278329999986</v>
          </cell>
          <cell r="AF170">
            <v>107529.04915499997</v>
          </cell>
          <cell r="BK170">
            <v>33457.416659999995</v>
          </cell>
        </row>
        <row r="171">
          <cell r="C171">
            <v>-1247.4438461538464</v>
          </cell>
          <cell r="D171">
            <v>-2549.7600000000011</v>
          </cell>
          <cell r="Q171">
            <v>-2549.7600000000002</v>
          </cell>
          <cell r="AF171">
            <v>-2549.7600000000002</v>
          </cell>
          <cell r="BK171">
            <v>0</v>
          </cell>
        </row>
        <row r="172">
          <cell r="C172">
            <v>843925.97840061842</v>
          </cell>
          <cell r="D172">
            <v>1181288.5442582623</v>
          </cell>
          <cell r="Q172">
            <v>961270.1071757368</v>
          </cell>
          <cell r="AF172">
            <v>1354205.5736513922</v>
          </cell>
          <cell r="BK172">
            <v>345697.5226118596</v>
          </cell>
        </row>
        <row r="173">
          <cell r="C173">
            <v>30763.3757313846</v>
          </cell>
          <cell r="D173">
            <v>39019.253270461522</v>
          </cell>
          <cell r="Q173">
            <v>34619.411287999981</v>
          </cell>
          <cell r="AF173">
            <v>39760.799671999972</v>
          </cell>
          <cell r="BK173">
            <v>3213.3677400000006</v>
          </cell>
        </row>
        <row r="174">
          <cell r="C174">
            <v>48634.067721942294</v>
          </cell>
          <cell r="D174">
            <v>61712.405253980731</v>
          </cell>
          <cell r="Q174">
            <v>54742.508681499981</v>
          </cell>
          <cell r="AF174">
            <v>62887.10692349996</v>
          </cell>
          <cell r="BK174">
            <v>5090.37390125</v>
          </cell>
        </row>
        <row r="175">
          <cell r="C175">
            <v>13467.454841673076</v>
          </cell>
          <cell r="D175">
            <v>18122.822068923077</v>
          </cell>
          <cell r="Q175">
            <v>15358.700840499998</v>
          </cell>
          <cell r="AF175">
            <v>19456.389328250003</v>
          </cell>
          <cell r="BK175">
            <v>3152.0680674999999</v>
          </cell>
        </row>
        <row r="176">
          <cell r="C176">
            <v>168420.01719976918</v>
          </cell>
          <cell r="D176">
            <v>201220.84685499987</v>
          </cell>
          <cell r="Q176">
            <v>183263.64674199995</v>
          </cell>
          <cell r="AF176">
            <v>213192.31359699985</v>
          </cell>
          <cell r="BK176">
            <v>23942.933484000005</v>
          </cell>
        </row>
        <row r="177">
          <cell r="C177">
            <v>0</v>
          </cell>
          <cell r="D177">
            <v>0</v>
          </cell>
          <cell r="Q177">
            <v>0</v>
          </cell>
          <cell r="AF177">
            <v>0</v>
          </cell>
          <cell r="BK177">
            <v>0</v>
          </cell>
        </row>
        <row r="178">
          <cell r="C178">
            <v>0</v>
          </cell>
          <cell r="D178">
            <v>0</v>
          </cell>
          <cell r="Q178">
            <v>0</v>
          </cell>
          <cell r="AF178">
            <v>0</v>
          </cell>
          <cell r="BK178">
            <v>0</v>
          </cell>
        </row>
        <row r="179">
          <cell r="C179">
            <v>0</v>
          </cell>
          <cell r="D179">
            <v>0</v>
          </cell>
          <cell r="Q179">
            <v>0</v>
          </cell>
          <cell r="AF179">
            <v>0</v>
          </cell>
          <cell r="BK179">
            <v>0</v>
          </cell>
        </row>
        <row r="180">
          <cell r="C180">
            <v>1429713.5362822737</v>
          </cell>
          <cell r="D180">
            <v>1693601.8127808045</v>
          </cell>
          <cell r="Q180">
            <v>1550890.4717666758</v>
          </cell>
          <cell r="AF180">
            <v>1788138.6160357494</v>
          </cell>
          <cell r="BK180">
            <v>189434.17572625176</v>
          </cell>
        </row>
        <row r="181">
          <cell r="C181">
            <v>2853.904461538461</v>
          </cell>
          <cell r="D181">
            <v>4684.6499999999978</v>
          </cell>
          <cell r="Q181">
            <v>3605.4179999999988</v>
          </cell>
          <cell r="AF181">
            <v>5404.1379999999972</v>
          </cell>
          <cell r="BK181">
            <v>1438.9759999999997</v>
          </cell>
        </row>
        <row r="182">
          <cell r="C182">
            <v>0</v>
          </cell>
          <cell r="D182">
            <v>0</v>
          </cell>
          <cell r="Q182">
            <v>0</v>
          </cell>
          <cell r="AF182">
            <v>0</v>
          </cell>
          <cell r="BK182">
            <v>0</v>
          </cell>
        </row>
        <row r="183">
          <cell r="C183">
            <v>31428.36926923076</v>
          </cell>
          <cell r="D183">
            <v>48594.707499999968</v>
          </cell>
          <cell r="Q183">
            <v>38499.792999999983</v>
          </cell>
          <cell r="AF183">
            <v>55324.650499999945</v>
          </cell>
          <cell r="BK183">
            <v>13459.885999999997</v>
          </cell>
        </row>
        <row r="184">
          <cell r="C184">
            <v>669929.40963884862</v>
          </cell>
          <cell r="D184">
            <v>1069984.166086003</v>
          </cell>
          <cell r="Q184">
            <v>818655.2629720032</v>
          </cell>
          <cell r="AF184">
            <v>1253386.609556356</v>
          </cell>
          <cell r="BK184">
            <v>357344.44602401124</v>
          </cell>
        </row>
        <row r="185">
          <cell r="C185">
            <v>0</v>
          </cell>
          <cell r="D185">
            <v>0</v>
          </cell>
          <cell r="Q185">
            <v>0</v>
          </cell>
          <cell r="AF185">
            <v>0</v>
          </cell>
          <cell r="BK185">
            <v>0</v>
          </cell>
        </row>
        <row r="186">
          <cell r="C186">
            <v>117719.3075793654</v>
          </cell>
          <cell r="D186">
            <v>123343.37611634612</v>
          </cell>
          <cell r="Q186">
            <v>119541.0195805</v>
          </cell>
          <cell r="AF186">
            <v>123660.23916099998</v>
          </cell>
          <cell r="BK186">
            <v>2059.6097902500001</v>
          </cell>
        </row>
        <row r="187">
          <cell r="C187">
            <v>-3074904.4599999986</v>
          </cell>
          <cell r="D187">
            <v>-3312254.5999999987</v>
          </cell>
          <cell r="Q187">
            <v>-3312254.5999999982</v>
          </cell>
          <cell r="AF187">
            <v>-3312254.5999999982</v>
          </cell>
        </row>
        <row r="188">
          <cell r="C188">
            <v>0</v>
          </cell>
          <cell r="D188">
            <v>0</v>
          </cell>
          <cell r="Q188">
            <v>0</v>
          </cell>
          <cell r="AF188">
            <v>0</v>
          </cell>
        </row>
        <row r="189">
          <cell r="C189">
            <v>0</v>
          </cell>
          <cell r="D189">
            <v>0</v>
          </cell>
          <cell r="Q189">
            <v>0</v>
          </cell>
          <cell r="AF189">
            <v>0</v>
          </cell>
          <cell r="BK189">
            <v>0</v>
          </cell>
        </row>
        <row r="201">
          <cell r="AU201">
            <v>2.958794126568913E-2</v>
          </cell>
          <cell r="BJ201">
            <v>3.1671145996881644E-2</v>
          </cell>
        </row>
      </sheetData>
      <sheetData sheetId="2"/>
      <sheetData sheetId="3"/>
      <sheetData sheetId="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 9"/>
      <sheetName val="AFUDC"/>
      <sheetName val="gas rev"/>
      <sheetName val="gas customers"/>
      <sheetName val="vols"/>
      <sheetName val="Gas Customers (2)"/>
    </sheetNames>
    <sheetDataSet>
      <sheetData sheetId="0">
        <row r="12">
          <cell r="C12">
            <v>121689040.77</v>
          </cell>
          <cell r="D12">
            <v>148864673.17000002</v>
          </cell>
          <cell r="E12">
            <v>180147322.15999997</v>
          </cell>
          <cell r="F12">
            <v>153227917.75</v>
          </cell>
          <cell r="G12">
            <v>129826663.37000002</v>
          </cell>
        </row>
        <row r="13">
          <cell r="C13">
            <v>11315066.65</v>
          </cell>
          <cell r="D13">
            <v>12586588.680000002</v>
          </cell>
          <cell r="E13">
            <v>14310851.760000002</v>
          </cell>
          <cell r="F13">
            <v>15087053.259999998</v>
          </cell>
          <cell r="G13">
            <v>15747936.09</v>
          </cell>
        </row>
        <row r="14">
          <cell r="C14">
            <v>996447.23999999987</v>
          </cell>
          <cell r="D14">
            <v>885729.76</v>
          </cell>
          <cell r="E14">
            <v>1567528.5</v>
          </cell>
          <cell r="F14">
            <v>1373001.49</v>
          </cell>
          <cell r="G14">
            <v>1073091.24</v>
          </cell>
        </row>
        <row r="15">
          <cell r="C15">
            <v>777299.20000000019</v>
          </cell>
          <cell r="D15">
            <v>631461.59000000008</v>
          </cell>
          <cell r="E15">
            <v>856034.64000000013</v>
          </cell>
          <cell r="F15">
            <v>779580.59</v>
          </cell>
          <cell r="G15">
            <v>783510</v>
          </cell>
        </row>
        <row r="18">
          <cell r="C18">
            <v>70662981.900000006</v>
          </cell>
          <cell r="D18">
            <v>94656999.469999984</v>
          </cell>
          <cell r="E18">
            <v>118107393.96000001</v>
          </cell>
          <cell r="F18">
            <v>87746322.199999988</v>
          </cell>
          <cell r="G18">
            <v>61180230.949999996</v>
          </cell>
        </row>
        <row r="23">
          <cell r="C23">
            <v>12755703.250000002</v>
          </cell>
          <cell r="D23">
            <v>13868993.410000002</v>
          </cell>
          <cell r="E23">
            <v>13722772.910000004</v>
          </cell>
          <cell r="F23">
            <v>13878738.939999994</v>
          </cell>
          <cell r="G23">
            <v>14027820.780000001</v>
          </cell>
        </row>
        <row r="24">
          <cell r="C24">
            <v>224120.28999999998</v>
          </cell>
          <cell r="D24">
            <v>507630.14</v>
          </cell>
          <cell r="E24">
            <v>1092228.3500000001</v>
          </cell>
          <cell r="F24">
            <v>1047950.11</v>
          </cell>
          <cell r="G24">
            <v>490588.54000000004</v>
          </cell>
        </row>
        <row r="25">
          <cell r="C25">
            <v>10085674.84</v>
          </cell>
          <cell r="D25">
            <v>11534019.540000001</v>
          </cell>
          <cell r="E25">
            <v>12035970.23</v>
          </cell>
          <cell r="F25">
            <v>12874015.01</v>
          </cell>
          <cell r="G25">
            <v>12708206.439999999</v>
          </cell>
        </row>
        <row r="26">
          <cell r="C26">
            <v>13981399.549999999</v>
          </cell>
          <cell r="D26">
            <v>14919020.950000001</v>
          </cell>
          <cell r="E26">
            <v>16845712.130000003</v>
          </cell>
          <cell r="F26">
            <v>18635692.589999996</v>
          </cell>
          <cell r="G26">
            <v>19120630.43</v>
          </cell>
        </row>
        <row r="27">
          <cell r="C27">
            <v>4317312.6800000006</v>
          </cell>
          <cell r="D27">
            <v>3871444.56</v>
          </cell>
          <cell r="E27">
            <v>4647807.1999999993</v>
          </cell>
          <cell r="F27">
            <v>7342972.1099999994</v>
          </cell>
          <cell r="G27">
            <v>5919120.1500000004</v>
          </cell>
        </row>
        <row r="33">
          <cell r="C33">
            <v>63590.94</v>
          </cell>
          <cell r="D33">
            <v>82738.509999999995</v>
          </cell>
          <cell r="E33">
            <v>69150.83</v>
          </cell>
          <cell r="F33">
            <v>39563.759999999995</v>
          </cell>
          <cell r="G33">
            <v>42014.340000000004</v>
          </cell>
        </row>
        <row r="34">
          <cell r="C34">
            <v>2702101.19</v>
          </cell>
          <cell r="D34">
            <v>2658631.4700000002</v>
          </cell>
          <cell r="E34">
            <v>2704801.9899999998</v>
          </cell>
          <cell r="F34">
            <v>2795006.3499999996</v>
          </cell>
          <cell r="G34">
            <v>2791577.28</v>
          </cell>
        </row>
        <row r="35">
          <cell r="C35">
            <v>45767.44</v>
          </cell>
          <cell r="D35">
            <v>71223.429999999993</v>
          </cell>
          <cell r="E35">
            <v>60734.15</v>
          </cell>
          <cell r="F35">
            <v>65329.61</v>
          </cell>
          <cell r="G35">
            <v>71948.31</v>
          </cell>
        </row>
        <row r="38">
          <cell r="C38">
            <v>5305967.07</v>
          </cell>
          <cell r="D38">
            <v>6343914.1299999999</v>
          </cell>
          <cell r="E38">
            <v>6341749.6699999999</v>
          </cell>
          <cell r="F38">
            <v>6693478.3200000003</v>
          </cell>
          <cell r="G38">
            <v>7078294.7199999997</v>
          </cell>
        </row>
        <row r="39">
          <cell r="C39">
            <v>205013.54</v>
          </cell>
          <cell r="D39">
            <v>92203.94</v>
          </cell>
          <cell r="E39">
            <v>77320.100000000006</v>
          </cell>
          <cell r="F39">
            <v>50164.39</v>
          </cell>
          <cell r="G39">
            <v>299158.92</v>
          </cell>
        </row>
        <row r="40">
          <cell r="C40">
            <v>328981.5</v>
          </cell>
          <cell r="D40">
            <v>193897.32</v>
          </cell>
          <cell r="E40">
            <v>298851.59999999998</v>
          </cell>
          <cell r="F40">
            <v>427169.68</v>
          </cell>
          <cell r="G40">
            <v>354798.07</v>
          </cell>
        </row>
        <row r="41">
          <cell r="C41">
            <v>436513.21</v>
          </cell>
          <cell r="D41">
            <v>585414.6</v>
          </cell>
          <cell r="E41">
            <v>516637.84</v>
          </cell>
          <cell r="F41">
            <v>409669.26</v>
          </cell>
          <cell r="G41">
            <v>463390.97</v>
          </cell>
        </row>
        <row r="48">
          <cell r="C48">
            <v>5350107.49</v>
          </cell>
          <cell r="D48">
            <v>7419823.4199999999</v>
          </cell>
          <cell r="E48">
            <v>9671535.370000001</v>
          </cell>
          <cell r="F48">
            <v>9884342.8100000005</v>
          </cell>
          <cell r="G48">
            <v>9516433.3000000007</v>
          </cell>
        </row>
      </sheetData>
      <sheetData sheetId="1"/>
      <sheetData sheetId="2">
        <row r="12">
          <cell r="C12">
            <v>79139602.579999983</v>
          </cell>
          <cell r="D12">
            <v>94408622.760000005</v>
          </cell>
          <cell r="E12">
            <v>114830243.86999999</v>
          </cell>
          <cell r="F12">
            <v>101727579.67</v>
          </cell>
          <cell r="G12">
            <v>83512504.330000013</v>
          </cell>
        </row>
        <row r="13">
          <cell r="C13">
            <v>-509327.58999999985</v>
          </cell>
          <cell r="D13">
            <v>1646587.6099999987</v>
          </cell>
          <cell r="E13">
            <v>496890.56999999937</v>
          </cell>
          <cell r="F13">
            <v>-4516560.3100000005</v>
          </cell>
          <cell r="G13">
            <v>2084327.4799999995</v>
          </cell>
        </row>
        <row r="14">
          <cell r="C14">
            <v>31478562.100000001</v>
          </cell>
          <cell r="D14">
            <v>39938783.520000003</v>
          </cell>
          <cell r="E14">
            <v>49294803.939999998</v>
          </cell>
          <cell r="F14">
            <v>42476905.359999992</v>
          </cell>
          <cell r="G14">
            <v>34032004.469999999</v>
          </cell>
        </row>
        <row r="15">
          <cell r="C15">
            <v>4926384.9400000004</v>
          </cell>
          <cell r="D15">
            <v>4796885.17</v>
          </cell>
          <cell r="E15">
            <v>5845776.3600000003</v>
          </cell>
          <cell r="F15">
            <v>5705426.8300000001</v>
          </cell>
          <cell r="G15">
            <v>4441439.42</v>
          </cell>
        </row>
        <row r="16">
          <cell r="C16">
            <v>6653818.7400000002</v>
          </cell>
          <cell r="D16">
            <v>8073794.1100000013</v>
          </cell>
          <cell r="E16">
            <v>9679607.4199999999</v>
          </cell>
          <cell r="F16">
            <v>7834566.2000000002</v>
          </cell>
          <cell r="G16">
            <v>5756387.6699999999</v>
          </cell>
        </row>
      </sheetData>
      <sheetData sheetId="3"/>
      <sheetData sheetId="4">
        <row r="13">
          <cell r="C13">
            <v>8369577.9699999997</v>
          </cell>
          <cell r="D13">
            <v>10662876.41</v>
          </cell>
          <cell r="E13">
            <v>11757006.99</v>
          </cell>
          <cell r="F13">
            <v>10133137.57</v>
          </cell>
          <cell r="G13">
            <v>8859272.2200000007</v>
          </cell>
        </row>
        <row r="14">
          <cell r="C14">
            <v>3946439.65</v>
          </cell>
          <cell r="D14">
            <v>5112547.93</v>
          </cell>
          <cell r="E14">
            <v>5657641.1699999999</v>
          </cell>
          <cell r="F14">
            <v>4981322.42</v>
          </cell>
          <cell r="G14">
            <v>4436287.6000000006</v>
          </cell>
        </row>
        <row r="15">
          <cell r="C15">
            <v>995094.70000000019</v>
          </cell>
          <cell r="D15">
            <v>807005.98999999987</v>
          </cell>
          <cell r="E15">
            <v>780038.61999999976</v>
          </cell>
          <cell r="F15">
            <v>706192.47</v>
          </cell>
          <cell r="G15">
            <v>1021717.6900000001</v>
          </cell>
        </row>
        <row r="16">
          <cell r="C16">
            <v>967626.79</v>
          </cell>
          <cell r="D16">
            <v>1185264.3900000001</v>
          </cell>
          <cell r="E16">
            <v>1241309.8799999999</v>
          </cell>
          <cell r="F16">
            <v>1055743.3699999999</v>
          </cell>
          <cell r="G16">
            <v>896168.19</v>
          </cell>
        </row>
      </sheetData>
      <sheetData sheetId="5">
        <row r="28">
          <cell r="H28">
            <v>153903.75</v>
          </cell>
          <cell r="I28">
            <v>155702.08333333334</v>
          </cell>
          <cell r="J28">
            <v>155280.75</v>
          </cell>
          <cell r="K28">
            <v>155597.41666666666</v>
          </cell>
          <cell r="L28">
            <v>156173.75</v>
          </cell>
        </row>
        <row r="42">
          <cell r="H42">
            <v>17318</v>
          </cell>
          <cell r="I42">
            <v>17435.166666666668</v>
          </cell>
          <cell r="J42">
            <v>17333.333333333332</v>
          </cell>
          <cell r="K42">
            <v>17339</v>
          </cell>
          <cell r="L42">
            <v>17353.666666666668</v>
          </cell>
        </row>
        <row r="56">
          <cell r="H56">
            <v>206.91666666666666</v>
          </cell>
          <cell r="I56">
            <v>203.66666666666666</v>
          </cell>
          <cell r="J56">
            <v>201.16666666666666</v>
          </cell>
          <cell r="K56">
            <v>205.33333333333334</v>
          </cell>
          <cell r="L56">
            <v>205.83333333333334</v>
          </cell>
        </row>
        <row r="70">
          <cell r="H70">
            <v>1575.3333333333333</v>
          </cell>
          <cell r="I70">
            <v>1576.1666666666667</v>
          </cell>
          <cell r="J70">
            <v>1560.8333333333333</v>
          </cell>
          <cell r="K70">
            <v>1550</v>
          </cell>
          <cell r="L70">
            <v>1548.5833333333333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 Cap Structure"/>
      <sheetName val="Consolidated Balance Detail"/>
      <sheetName val="LTD rate"/>
      <sheetName val="Oct16_$200MM TL"/>
      <sheetName val="2250 LTDebt Premium"/>
      <sheetName val="2260 LTDebt Discount"/>
      <sheetName val="Acct 2241 Unamort Debt Exp"/>
      <sheetName val="Acct 1650.13201 Prepayments"/>
      <sheetName val="1810 Unamort Debt exp"/>
      <sheetName val="20102"/>
      <sheetName val="20104"/>
      <sheetName val="20105"/>
      <sheetName val="20107"/>
      <sheetName val="20108"/>
      <sheetName val="20109"/>
      <sheetName val="1890 Unamort Loss on Reacq Debt"/>
      <sheetName val="Mar19 Unsettled Swaps"/>
      <sheetName val="Utility STD"/>
    </sheetNames>
    <sheetDataSet>
      <sheetData sheetId="0">
        <row r="11">
          <cell r="C11">
            <v>3668227097.4676914</v>
          </cell>
        </row>
        <row r="27">
          <cell r="C27">
            <v>3901710103.1300001</v>
          </cell>
        </row>
      </sheetData>
      <sheetData sheetId="1">
        <row r="24">
          <cell r="N24">
            <v>1485393.1566666667</v>
          </cell>
          <cell r="O24">
            <v>1118854.0187096773</v>
          </cell>
        </row>
        <row r="26">
          <cell r="L26">
            <v>242504312.46159747</v>
          </cell>
        </row>
        <row r="28">
          <cell r="K28">
            <v>9.159292654358421E-3</v>
          </cell>
        </row>
      </sheetData>
      <sheetData sheetId="2">
        <row r="11">
          <cell r="P11">
            <v>150000000</v>
          </cell>
          <cell r="Q11">
            <v>6.7500000000000004E-2</v>
          </cell>
        </row>
        <row r="17">
          <cell r="P17">
            <v>10000000</v>
          </cell>
          <cell r="Q17">
            <v>6.6699999999999995E-2</v>
          </cell>
        </row>
        <row r="19">
          <cell r="P19">
            <v>200000000</v>
          </cell>
          <cell r="Q19">
            <v>5.9499999999999997E-2</v>
          </cell>
        </row>
        <row r="20">
          <cell r="P20">
            <v>0</v>
          </cell>
          <cell r="Q20">
            <v>6.3500000000000001E-2</v>
          </cell>
        </row>
        <row r="21">
          <cell r="P21">
            <v>400000000</v>
          </cell>
          <cell r="Q21">
            <v>5.5E-2</v>
          </cell>
        </row>
        <row r="22">
          <cell r="P22">
            <v>450000000</v>
          </cell>
          <cell r="Q22">
            <v>8.5000000000000006E-2</v>
          </cell>
        </row>
        <row r="23">
          <cell r="P23">
            <v>500000000</v>
          </cell>
          <cell r="Q23">
            <v>4.1500000000000002E-2</v>
          </cell>
        </row>
        <row r="24">
          <cell r="P24">
            <v>750000000</v>
          </cell>
          <cell r="Q24">
            <v>4.1250000000000002E-2</v>
          </cell>
        </row>
        <row r="25">
          <cell r="P25">
            <v>500000000</v>
          </cell>
          <cell r="Q25">
            <v>0.03</v>
          </cell>
        </row>
        <row r="27">
          <cell r="P27">
            <v>125000000</v>
          </cell>
          <cell r="Q27">
            <v>2.1899999999999999E-2</v>
          </cell>
          <cell r="U27">
            <v>1.8171111111111107E-2</v>
          </cell>
        </row>
        <row r="33">
          <cell r="P33">
            <v>-4370287.9400000013</v>
          </cell>
        </row>
        <row r="34">
          <cell r="P34">
            <v>22636092.190000001</v>
          </cell>
        </row>
        <row r="35">
          <cell r="R35">
            <v>4955311.3260243991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"/>
    </sheetNames>
    <sheetDataSet>
      <sheetData sheetId="0">
        <row r="17">
          <cell r="I17">
            <v>128</v>
          </cell>
          <cell r="J17">
            <v>128</v>
          </cell>
          <cell r="K17">
            <v>128</v>
          </cell>
          <cell r="L17">
            <v>128</v>
          </cell>
          <cell r="M17">
            <v>128</v>
          </cell>
          <cell r="N17">
            <v>128</v>
          </cell>
          <cell r="O17">
            <v>128</v>
          </cell>
          <cell r="P17">
            <v>128</v>
          </cell>
          <cell r="Q17">
            <v>128</v>
          </cell>
          <cell r="R17">
            <v>128</v>
          </cell>
        </row>
        <row r="18">
          <cell r="I18">
            <v>0</v>
          </cell>
          <cell r="J18">
            <v>0</v>
          </cell>
          <cell r="K18">
            <v>636</v>
          </cell>
          <cell r="L18">
            <v>901</v>
          </cell>
          <cell r="M18">
            <v>901</v>
          </cell>
          <cell r="N18">
            <v>901</v>
          </cell>
          <cell r="O18">
            <v>901</v>
          </cell>
          <cell r="P18">
            <v>901</v>
          </cell>
          <cell r="Q18">
            <v>901</v>
          </cell>
          <cell r="R18">
            <v>901</v>
          </cell>
        </row>
        <row r="19">
          <cell r="I19">
            <v>12454</v>
          </cell>
          <cell r="J19">
            <v>11560</v>
          </cell>
          <cell r="K19">
            <v>10792</v>
          </cell>
          <cell r="L19">
            <v>9630</v>
          </cell>
          <cell r="M19">
            <v>10104</v>
          </cell>
          <cell r="N19">
            <v>9388</v>
          </cell>
          <cell r="O19">
            <v>7731</v>
          </cell>
          <cell r="P19">
            <v>7540</v>
          </cell>
          <cell r="Q19">
            <v>6950</v>
          </cell>
          <cell r="R19">
            <v>6878</v>
          </cell>
        </row>
        <row r="20">
          <cell r="I20">
            <v>31814</v>
          </cell>
          <cell r="J20">
            <v>31808</v>
          </cell>
          <cell r="K20">
            <v>31877</v>
          </cell>
          <cell r="L20">
            <v>32962</v>
          </cell>
          <cell r="M20">
            <v>32836</v>
          </cell>
          <cell r="N20">
            <v>33144</v>
          </cell>
          <cell r="O20">
            <v>31189</v>
          </cell>
          <cell r="P20">
            <v>31202</v>
          </cell>
          <cell r="Q20">
            <v>28807</v>
          </cell>
          <cell r="R20">
            <v>28746</v>
          </cell>
        </row>
        <row r="21">
          <cell r="I21">
            <v>472849</v>
          </cell>
          <cell r="J21">
            <v>413302</v>
          </cell>
          <cell r="K21">
            <v>381623</v>
          </cell>
          <cell r="L21">
            <v>340200</v>
          </cell>
          <cell r="M21">
            <v>323036</v>
          </cell>
          <cell r="N21">
            <v>296493</v>
          </cell>
          <cell r="O21">
            <v>283474</v>
          </cell>
          <cell r="P21">
            <v>271463</v>
          </cell>
          <cell r="Q21">
            <v>260621</v>
          </cell>
          <cell r="R21">
            <v>251843</v>
          </cell>
        </row>
        <row r="22">
          <cell r="I22">
            <v>21271</v>
          </cell>
          <cell r="J22">
            <v>18126</v>
          </cell>
          <cell r="K22">
            <v>16683</v>
          </cell>
          <cell r="L22">
            <v>15589</v>
          </cell>
          <cell r="M22">
            <v>15238</v>
          </cell>
          <cell r="N22">
            <v>16000</v>
          </cell>
          <cell r="O22">
            <v>15103</v>
          </cell>
          <cell r="P22">
            <v>14696</v>
          </cell>
          <cell r="Q22">
            <v>15422</v>
          </cell>
          <cell r="R22">
            <v>15165</v>
          </cell>
        </row>
        <row r="23">
          <cell r="I23">
            <v>3279</v>
          </cell>
          <cell r="J23">
            <v>3279</v>
          </cell>
          <cell r="K23">
            <v>3279</v>
          </cell>
          <cell r="L23">
            <v>3279</v>
          </cell>
          <cell r="M23">
            <v>3279</v>
          </cell>
          <cell r="N23">
            <v>3279</v>
          </cell>
          <cell r="O23">
            <v>3337</v>
          </cell>
          <cell r="P23">
            <v>3337</v>
          </cell>
          <cell r="Q23">
            <v>3337</v>
          </cell>
          <cell r="R23">
            <v>3337</v>
          </cell>
        </row>
        <row r="26">
          <cell r="I26">
            <v>167228</v>
          </cell>
          <cell r="J26">
            <v>165298</v>
          </cell>
          <cell r="K26">
            <v>160839</v>
          </cell>
          <cell r="L26">
            <v>158300</v>
          </cell>
          <cell r="M26">
            <v>151849</v>
          </cell>
          <cell r="N26">
            <v>150795</v>
          </cell>
          <cell r="O26">
            <v>147462</v>
          </cell>
          <cell r="P26">
            <v>144016</v>
          </cell>
          <cell r="Q26">
            <v>139212</v>
          </cell>
          <cell r="R26">
            <v>134463</v>
          </cell>
        </row>
        <row r="29">
          <cell r="I29">
            <v>10146.378000000001</v>
          </cell>
          <cell r="J29">
            <v>26310.035</v>
          </cell>
          <cell r="K29">
            <v>12708</v>
          </cell>
          <cell r="L29">
            <v>16578</v>
          </cell>
          <cell r="M29">
            <v>6006</v>
          </cell>
          <cell r="N29">
            <v>3306</v>
          </cell>
          <cell r="O29">
            <v>7197</v>
          </cell>
          <cell r="P29">
            <v>4851</v>
          </cell>
          <cell r="Q29">
            <v>5215</v>
          </cell>
          <cell r="R29">
            <v>1897</v>
          </cell>
        </row>
        <row r="40">
          <cell r="I40">
            <v>829811</v>
          </cell>
          <cell r="J40">
            <v>457927</v>
          </cell>
          <cell r="K40">
            <v>196695</v>
          </cell>
          <cell r="L40">
            <v>367984</v>
          </cell>
          <cell r="M40">
            <v>570929</v>
          </cell>
          <cell r="N40">
            <v>206396</v>
          </cell>
          <cell r="O40">
            <v>126100</v>
          </cell>
          <cell r="P40">
            <v>72550</v>
          </cell>
          <cell r="Q40">
            <v>350542</v>
          </cell>
          <cell r="R40">
            <v>150599</v>
          </cell>
        </row>
        <row r="41">
          <cell r="I41">
            <v>2438779</v>
          </cell>
          <cell r="J41">
            <v>2437515</v>
          </cell>
          <cell r="K41">
            <v>2455986</v>
          </cell>
          <cell r="L41">
            <v>2455671</v>
          </cell>
          <cell r="M41">
            <v>1956305</v>
          </cell>
          <cell r="N41">
            <v>2206117</v>
          </cell>
          <cell r="O41">
            <v>1809551</v>
          </cell>
          <cell r="P41">
            <v>2169400</v>
          </cell>
          <cell r="Q41">
            <v>2119792</v>
          </cell>
          <cell r="R41">
            <v>2126315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I43">
            <v>3463059</v>
          </cell>
          <cell r="J43">
            <v>3194797</v>
          </cell>
          <cell r="K43">
            <v>3086232</v>
          </cell>
          <cell r="L43">
            <v>2580409</v>
          </cell>
          <cell r="M43">
            <v>2359243</v>
          </cell>
          <cell r="N43">
            <v>2255421</v>
          </cell>
          <cell r="O43">
            <v>2178348</v>
          </cell>
          <cell r="P43">
            <v>2176761</v>
          </cell>
          <cell r="Q43">
            <v>2052492</v>
          </cell>
          <cell r="R43">
            <v>1965754</v>
          </cell>
        </row>
        <row r="48">
          <cell r="I48">
            <v>147431</v>
          </cell>
          <cell r="J48">
            <v>170468</v>
          </cell>
          <cell r="K48">
            <v>196882</v>
          </cell>
          <cell r="L48">
            <v>162968</v>
          </cell>
          <cell r="M48">
            <v>134778</v>
          </cell>
          <cell r="N48">
            <v>149662</v>
          </cell>
          <cell r="O48">
            <v>156816</v>
          </cell>
          <cell r="P48">
            <v>190356</v>
          </cell>
          <cell r="Q48">
            <v>244308.47516</v>
          </cell>
          <cell r="R48">
            <v>203286.68382000001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I50">
            <v>113447</v>
          </cell>
          <cell r="J50">
            <v>141526</v>
          </cell>
          <cell r="K50">
            <v>166452</v>
          </cell>
          <cell r="L50">
            <v>139358</v>
          </cell>
          <cell r="M50">
            <v>112027</v>
          </cell>
          <cell r="N50">
            <v>126219</v>
          </cell>
          <cell r="O50">
            <v>136649</v>
          </cell>
          <cell r="P50">
            <v>176587</v>
          </cell>
          <cell r="Q50">
            <v>224347.66394</v>
          </cell>
          <cell r="R50">
            <v>187733.05102000001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I53">
            <v>9516</v>
          </cell>
          <cell r="J53">
            <v>9884</v>
          </cell>
          <cell r="K53">
            <v>9671</v>
          </cell>
          <cell r="L53">
            <v>7060</v>
          </cell>
          <cell r="M53">
            <v>8157</v>
          </cell>
          <cell r="N53">
            <v>8094</v>
          </cell>
          <cell r="O53">
            <v>5654</v>
          </cell>
          <cell r="P53">
            <v>2889</v>
          </cell>
          <cell r="Q53">
            <v>6985</v>
          </cell>
          <cell r="R53">
            <v>4307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6">
          <cell r="I56">
            <v>178.96176999999997</v>
          </cell>
          <cell r="J56">
            <v>182.35240999999999</v>
          </cell>
          <cell r="K56">
            <v>139</v>
          </cell>
          <cell r="L56">
            <v>88</v>
          </cell>
          <cell r="M56">
            <v>101</v>
          </cell>
          <cell r="N56">
            <v>22</v>
          </cell>
          <cell r="O56">
            <v>286</v>
          </cell>
          <cell r="P56">
            <v>199</v>
          </cell>
          <cell r="Q56">
            <v>160</v>
          </cell>
          <cell r="R56">
            <v>94</v>
          </cell>
        </row>
        <row r="57">
          <cell r="I57">
            <v>2087.3508899999993</v>
          </cell>
          <cell r="J57">
            <v>2063.0607799999993</v>
          </cell>
          <cell r="K57">
            <v>2019</v>
          </cell>
          <cell r="L57">
            <v>2033</v>
          </cell>
          <cell r="M57">
            <v>2046</v>
          </cell>
          <cell r="N57">
            <v>2657</v>
          </cell>
          <cell r="O57">
            <v>1748</v>
          </cell>
          <cell r="P57">
            <v>2278</v>
          </cell>
          <cell r="Q57">
            <v>2529</v>
          </cell>
          <cell r="R57">
            <v>1547</v>
          </cell>
        </row>
        <row r="59">
          <cell r="I59">
            <v>7556.4154099999996</v>
          </cell>
          <cell r="J59">
            <v>6925.9951200000005</v>
          </cell>
          <cell r="K59">
            <v>6559</v>
          </cell>
          <cell r="L59">
            <v>6524</v>
          </cell>
          <cell r="M59">
            <v>5612</v>
          </cell>
          <cell r="N59">
            <v>5792</v>
          </cell>
          <cell r="O59">
            <v>6270</v>
          </cell>
          <cell r="P59">
            <v>6633</v>
          </cell>
          <cell r="Q59">
            <v>6138</v>
          </cell>
          <cell r="R59">
            <v>6155</v>
          </cell>
        </row>
        <row r="71">
          <cell r="I71">
            <v>1.12E-2</v>
          </cell>
          <cell r="J71">
            <v>1.09E-2</v>
          </cell>
          <cell r="K71">
            <v>1.49E-2</v>
          </cell>
          <cell r="L71">
            <v>1.17E-2</v>
          </cell>
          <cell r="M71">
            <v>1.2200000000000001E-2</v>
          </cell>
          <cell r="N71">
            <v>1.03E-2</v>
          </cell>
          <cell r="O71">
            <v>3.2300000000000002E-2</v>
          </cell>
          <cell r="P71">
            <v>6.8000000000000005E-2</v>
          </cell>
          <cell r="Q71">
            <v>4.3999999999999997E-2</v>
          </cell>
          <cell r="R71">
            <v>5.6000000000000001E-2</v>
          </cell>
        </row>
        <row r="72">
          <cell r="I72">
            <v>5.8900000000000001E-2</v>
          </cell>
          <cell r="J72">
            <v>5.8999999999999997E-2</v>
          </cell>
          <cell r="K72">
            <v>6.0299999999999999E-2</v>
          </cell>
          <cell r="L72">
            <v>6.2600000000000003E-2</v>
          </cell>
          <cell r="M72">
            <v>6.5100000000000005E-2</v>
          </cell>
          <cell r="N72">
            <v>6.7500000000000004E-2</v>
          </cell>
          <cell r="O72">
            <v>6.88E-2</v>
          </cell>
          <cell r="P72">
            <v>6.9000000000000006E-2</v>
          </cell>
          <cell r="Q72">
            <v>6.0999999999999999E-2</v>
          </cell>
          <cell r="R72">
            <v>6.0999999999999999E-2</v>
          </cell>
        </row>
        <row r="76">
          <cell r="I76">
            <v>5.75</v>
          </cell>
          <cell r="J76">
            <v>5.39</v>
          </cell>
          <cell r="K76">
            <v>4.6900000000000004</v>
          </cell>
          <cell r="L76">
            <v>3.91</v>
          </cell>
          <cell r="M76">
            <v>3.0571918341904318</v>
          </cell>
          <cell r="N76">
            <v>2.9660460457804634</v>
          </cell>
          <cell r="O76">
            <v>3.0043972293563703</v>
          </cell>
          <cell r="P76">
            <v>2.8387360945505051</v>
          </cell>
          <cell r="Q76">
            <v>3.06</v>
          </cell>
          <cell r="R76">
            <v>2.75</v>
          </cell>
        </row>
        <row r="77">
          <cell r="I77">
            <v>5.77</v>
          </cell>
          <cell r="J77">
            <v>5.41</v>
          </cell>
          <cell r="K77">
            <v>4.7</v>
          </cell>
          <cell r="L77">
            <v>3.92</v>
          </cell>
          <cell r="M77">
            <v>3.0409960261804581</v>
          </cell>
          <cell r="N77">
            <v>2.9527909831987955</v>
          </cell>
          <cell r="O77">
            <v>2.9852512711754482</v>
          </cell>
          <cell r="P77">
            <v>2.8022744139729294</v>
          </cell>
          <cell r="Q77">
            <v>3.12</v>
          </cell>
          <cell r="R77">
            <v>2.81</v>
          </cell>
        </row>
        <row r="78">
          <cell r="I78">
            <v>3.24</v>
          </cell>
          <cell r="J78">
            <v>3.71</v>
          </cell>
          <cell r="K78">
            <v>3.24</v>
          </cell>
          <cell r="L78">
            <v>2.89</v>
          </cell>
          <cell r="M78">
            <v>2.3614121580460989</v>
          </cell>
          <cell r="N78">
            <v>2.2575233976506173</v>
          </cell>
          <cell r="O78">
            <v>2.2312955612628738</v>
          </cell>
          <cell r="P78">
            <v>2.200873963233271</v>
          </cell>
          <cell r="Q78">
            <v>2.2599999999999998</v>
          </cell>
          <cell r="R78">
            <v>2.12</v>
          </cell>
        </row>
        <row r="79">
          <cell r="I79">
            <v>5.17</v>
          </cell>
          <cell r="J79">
            <v>4.8899999999999997</v>
          </cell>
          <cell r="K79">
            <v>4.32</v>
          </cell>
          <cell r="L79">
            <v>3.6</v>
          </cell>
          <cell r="M79">
            <v>2.84</v>
          </cell>
          <cell r="N79">
            <v>2.78</v>
          </cell>
          <cell r="O79">
            <v>2.78</v>
          </cell>
          <cell r="P79">
            <v>2.5499999999999998</v>
          </cell>
          <cell r="Q79">
            <v>2.76</v>
          </cell>
          <cell r="R79">
            <v>2.687794631619842</v>
          </cell>
        </row>
        <row r="80">
          <cell r="I80">
            <v>4.04</v>
          </cell>
          <cell r="J80">
            <v>3.73</v>
          </cell>
          <cell r="K80">
            <v>3.25</v>
          </cell>
          <cell r="L80">
            <v>2.81</v>
          </cell>
          <cell r="M80">
            <v>2.3452163500361256</v>
          </cell>
          <cell r="N80">
            <v>2.244268335068949</v>
          </cell>
          <cell r="O80">
            <v>2.2121496030819521</v>
          </cell>
          <cell r="P80">
            <v>2.1644122826556949</v>
          </cell>
          <cell r="Q80">
            <v>2.31</v>
          </cell>
          <cell r="R80">
            <v>2.16</v>
          </cell>
        </row>
        <row r="82">
          <cell r="I82">
            <v>3.65</v>
          </cell>
          <cell r="J82">
            <v>3.39</v>
          </cell>
          <cell r="K82">
            <v>3.02</v>
          </cell>
          <cell r="L82">
            <v>2.6</v>
          </cell>
          <cell r="M82">
            <v>2.2116799519301451</v>
          </cell>
          <cell r="N82">
            <v>2.1340881930445068</v>
          </cell>
          <cell r="O82">
            <v>2.0837815317021438</v>
          </cell>
          <cell r="P82">
            <v>2.1800332256334456</v>
          </cell>
          <cell r="Q82">
            <v>2.15</v>
          </cell>
          <cell r="R82">
            <v>2.04</v>
          </cell>
        </row>
        <row r="85">
          <cell r="I85" t="str">
            <v>A2</v>
          </cell>
          <cell r="J85" t="str">
            <v>A2</v>
          </cell>
          <cell r="K85" t="str">
            <v>A2</v>
          </cell>
          <cell r="L85" t="str">
            <v>Baa1</v>
          </cell>
          <cell r="M85" t="str">
            <v>Baa1</v>
          </cell>
          <cell r="N85" t="str">
            <v>Baa1</v>
          </cell>
          <cell r="O85" t="str">
            <v>Baa2</v>
          </cell>
          <cell r="P85" t="str">
            <v>Baa2</v>
          </cell>
          <cell r="Q85" t="str">
            <v>Baa3</v>
          </cell>
          <cell r="R85" t="str">
            <v>Baa3</v>
          </cell>
        </row>
        <row r="86">
          <cell r="I86" t="str">
            <v>A</v>
          </cell>
          <cell r="J86" t="str">
            <v>A-</v>
          </cell>
          <cell r="K86" t="str">
            <v>A-</v>
          </cell>
          <cell r="L86" t="str">
            <v>A-</v>
          </cell>
          <cell r="M86" t="str">
            <v>BBB+</v>
          </cell>
          <cell r="N86" t="str">
            <v>BBB+</v>
          </cell>
          <cell r="O86" t="str">
            <v>BBB+</v>
          </cell>
          <cell r="P86" t="str">
            <v>BBB+</v>
          </cell>
          <cell r="Q86" t="str">
            <v>BBB</v>
          </cell>
          <cell r="R86" t="str">
            <v>BBB</v>
          </cell>
        </row>
        <row r="91">
          <cell r="I91">
            <v>103931</v>
          </cell>
          <cell r="J91">
            <v>101479</v>
          </cell>
          <cell r="K91">
            <v>100388</v>
          </cell>
          <cell r="L91">
            <v>90640</v>
          </cell>
          <cell r="M91">
            <v>90240</v>
          </cell>
          <cell r="N91">
            <v>90296</v>
          </cell>
          <cell r="O91">
            <v>90164</v>
          </cell>
          <cell r="P91">
            <v>92552</v>
          </cell>
          <cell r="Q91">
            <v>90814</v>
          </cell>
          <cell r="R91">
            <v>89326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I93">
            <v>103524</v>
          </cell>
          <cell r="J93">
            <v>101892</v>
          </cell>
          <cell r="K93">
            <v>97608</v>
          </cell>
          <cell r="L93">
            <v>91711</v>
          </cell>
          <cell r="M93">
            <v>91172</v>
          </cell>
          <cell r="N93">
            <v>90652</v>
          </cell>
          <cell r="O93">
            <v>92422</v>
          </cell>
          <cell r="P93">
            <v>91620</v>
          </cell>
          <cell r="Q93">
            <v>89941</v>
          </cell>
          <cell r="R93">
            <v>87486</v>
          </cell>
        </row>
        <row r="94">
          <cell r="I94">
            <v>3.38</v>
          </cell>
          <cell r="J94">
            <v>3.09</v>
          </cell>
          <cell r="K94">
            <v>2.96</v>
          </cell>
          <cell r="L94">
            <v>2.64</v>
          </cell>
          <cell r="M94">
            <v>2.37</v>
          </cell>
          <cell r="N94">
            <v>2.27</v>
          </cell>
          <cell r="O94">
            <v>2.2000000000000002</v>
          </cell>
          <cell r="P94">
            <v>2.0699999999999998</v>
          </cell>
          <cell r="Q94">
            <v>1.99</v>
          </cell>
          <cell r="R94">
            <v>1.91</v>
          </cell>
        </row>
        <row r="95">
          <cell r="I95">
            <v>1.68</v>
          </cell>
          <cell r="J95">
            <v>1.56</v>
          </cell>
          <cell r="K95">
            <v>1.48</v>
          </cell>
          <cell r="L95">
            <v>1.4</v>
          </cell>
          <cell r="M95">
            <v>1.38</v>
          </cell>
          <cell r="N95">
            <v>1.36</v>
          </cell>
          <cell r="O95">
            <v>1.34</v>
          </cell>
          <cell r="P95">
            <v>1.32</v>
          </cell>
          <cell r="Q95">
            <v>1.3</v>
          </cell>
          <cell r="R95">
            <v>1.28</v>
          </cell>
        </row>
        <row r="96">
          <cell r="I96">
            <v>1.68</v>
          </cell>
          <cell r="J96">
            <v>1.56</v>
          </cell>
          <cell r="K96">
            <v>1.48</v>
          </cell>
          <cell r="L96">
            <v>1.4</v>
          </cell>
          <cell r="M96">
            <v>1.38</v>
          </cell>
          <cell r="N96">
            <v>1.36</v>
          </cell>
          <cell r="O96">
            <v>1.34</v>
          </cell>
          <cell r="P96">
            <v>1.32</v>
          </cell>
          <cell r="Q96">
            <v>1.3</v>
          </cell>
          <cell r="R96">
            <v>1.28</v>
          </cell>
        </row>
        <row r="100">
          <cell r="I100">
            <v>64.25</v>
          </cell>
          <cell r="J100">
            <v>58.08</v>
          </cell>
          <cell r="K100">
            <v>47.06</v>
          </cell>
          <cell r="L100">
            <v>36.86</v>
          </cell>
          <cell r="M100">
            <v>35.4</v>
          </cell>
          <cell r="N100">
            <v>31.72</v>
          </cell>
          <cell r="O100">
            <v>30.06</v>
          </cell>
          <cell r="P100">
            <v>27.88</v>
          </cell>
          <cell r="Q100">
            <v>29.46</v>
          </cell>
          <cell r="R100">
            <v>33.01</v>
          </cell>
        </row>
        <row r="101">
          <cell r="I101">
            <v>57.82</v>
          </cell>
          <cell r="J101">
            <v>47.35</v>
          </cell>
          <cell r="K101">
            <v>41.08</v>
          </cell>
          <cell r="L101">
            <v>33.200000000000003</v>
          </cell>
          <cell r="M101">
            <v>30.97</v>
          </cell>
          <cell r="N101">
            <v>29.1</v>
          </cell>
          <cell r="O101">
            <v>27.39</v>
          </cell>
          <cell r="P101">
            <v>21.17</v>
          </cell>
          <cell r="Q101">
            <v>26.11</v>
          </cell>
          <cell r="R101">
            <v>28.45</v>
          </cell>
        </row>
        <row r="102">
          <cell r="I102">
            <v>74.33</v>
          </cell>
          <cell r="J102">
            <v>58.81</v>
          </cell>
          <cell r="K102">
            <v>48.01</v>
          </cell>
          <cell r="L102">
            <v>42.69</v>
          </cell>
          <cell r="M102">
            <v>33.15</v>
          </cell>
          <cell r="N102">
            <v>34.979999999999997</v>
          </cell>
          <cell r="O102">
            <v>29.52</v>
          </cell>
          <cell r="P102">
            <v>25.95</v>
          </cell>
          <cell r="Q102">
            <v>28.96</v>
          </cell>
          <cell r="R102">
            <v>33</v>
          </cell>
        </row>
        <row r="103">
          <cell r="I103">
            <v>61.74</v>
          </cell>
          <cell r="J103">
            <v>52.02</v>
          </cell>
          <cell r="K103">
            <v>44.19</v>
          </cell>
          <cell r="L103">
            <v>35.11</v>
          </cell>
          <cell r="M103">
            <v>30.6</v>
          </cell>
          <cell r="N103">
            <v>31.51</v>
          </cell>
          <cell r="O103">
            <v>26.52</v>
          </cell>
          <cell r="P103">
            <v>20.2</v>
          </cell>
          <cell r="Q103">
            <v>25.09</v>
          </cell>
          <cell r="R103">
            <v>30.63</v>
          </cell>
        </row>
        <row r="104">
          <cell r="I104">
            <v>81.319999999999993</v>
          </cell>
          <cell r="J104">
            <v>56.41</v>
          </cell>
          <cell r="K104">
            <v>53.4</v>
          </cell>
          <cell r="L104">
            <v>44.87</v>
          </cell>
          <cell r="M104">
            <v>35.07</v>
          </cell>
          <cell r="N104">
            <v>34.94</v>
          </cell>
          <cell r="O104">
            <v>29.98</v>
          </cell>
          <cell r="P104">
            <v>26.37</v>
          </cell>
          <cell r="Q104">
            <v>28.54</v>
          </cell>
          <cell r="R104">
            <v>33.11</v>
          </cell>
        </row>
        <row r="105">
          <cell r="I105">
            <v>70.599999999999994</v>
          </cell>
          <cell r="J105">
            <v>51.28</v>
          </cell>
          <cell r="K105">
            <v>46.94</v>
          </cell>
          <cell r="L105">
            <v>38.590000000000003</v>
          </cell>
          <cell r="M105">
            <v>30.91</v>
          </cell>
          <cell r="N105">
            <v>31.34</v>
          </cell>
          <cell r="O105">
            <v>26.41</v>
          </cell>
          <cell r="P105">
            <v>22.81</v>
          </cell>
          <cell r="Q105">
            <v>25.81</v>
          </cell>
          <cell r="R105">
            <v>29.38</v>
          </cell>
        </row>
        <row r="106">
          <cell r="I106">
            <v>81.16</v>
          </cell>
          <cell r="J106">
            <v>58.18</v>
          </cell>
          <cell r="K106">
            <v>52.68</v>
          </cell>
          <cell r="L106">
            <v>45.19</v>
          </cell>
          <cell r="M106">
            <v>36.94</v>
          </cell>
          <cell r="N106">
            <v>34.32</v>
          </cell>
          <cell r="O106">
            <v>29.81</v>
          </cell>
          <cell r="P106">
            <v>28.8</v>
          </cell>
          <cell r="Q106">
            <v>28.25</v>
          </cell>
          <cell r="R106">
            <v>30.66</v>
          </cell>
        </row>
        <row r="107">
          <cell r="I107">
            <v>71.88</v>
          </cell>
          <cell r="J107">
            <v>51.48</v>
          </cell>
          <cell r="K107">
            <v>47.01</v>
          </cell>
          <cell r="L107">
            <v>39.4</v>
          </cell>
          <cell r="M107">
            <v>34.94</v>
          </cell>
          <cell r="N107">
            <v>28.87</v>
          </cell>
          <cell r="O107">
            <v>26.82</v>
          </cell>
          <cell r="P107">
            <v>24.65</v>
          </cell>
          <cell r="Q107">
            <v>25.49</v>
          </cell>
          <cell r="R107">
            <v>26.47</v>
          </cell>
        </row>
        <row r="108">
          <cell r="I108">
            <v>33.450000000000003</v>
          </cell>
          <cell r="J108">
            <v>31.35</v>
          </cell>
          <cell r="K108">
            <v>31.62</v>
          </cell>
          <cell r="L108">
            <v>28.14</v>
          </cell>
          <cell r="M108">
            <v>25.876837186855614</v>
          </cell>
          <cell r="N108">
            <v>24.879991616290869</v>
          </cell>
          <cell r="O108">
            <v>23.569582999718683</v>
          </cell>
          <cell r="P108">
            <v>23.758578912901115</v>
          </cell>
          <cell r="Q108">
            <v>22.820426724185854</v>
          </cell>
          <cell r="R108">
            <v>22.469355096815491</v>
          </cell>
        </row>
        <row r="113">
          <cell r="I113">
            <v>0.105</v>
          </cell>
          <cell r="J113">
            <v>0.1</v>
          </cell>
          <cell r="K113">
            <v>0.10199999999999999</v>
          </cell>
          <cell r="L113">
            <v>9.8000000000000004E-2</v>
          </cell>
          <cell r="M113">
            <v>8.3297938918196424E-2</v>
          </cell>
          <cell r="N113">
            <v>8.5520016942695926E-2</v>
          </cell>
          <cell r="O113">
            <v>8.7185418321332489E-2</v>
          </cell>
          <cell r="P113">
            <v>8.6681501437724351E-2</v>
          </cell>
          <cell r="Q113">
            <v>8.7999999999999995E-2</v>
          </cell>
          <cell r="R113">
            <v>8.7999999999999995E-2</v>
          </cell>
        </row>
        <row r="114">
          <cell r="I114">
            <v>5.5E-2</v>
          </cell>
          <cell r="J114">
            <v>5.1999999999999998E-2</v>
          </cell>
          <cell r="K114">
            <v>5.1999999999999998E-2</v>
          </cell>
          <cell r="L114">
            <v>4.8000000000000001E-2</v>
          </cell>
          <cell r="M114">
            <v>4.0231888705646007E-2</v>
          </cell>
          <cell r="N114">
            <v>4.3176826787451009E-2</v>
          </cell>
          <cell r="O114">
            <v>4.4499578680161404E-2</v>
          </cell>
          <cell r="P114">
            <v>4.2668457525681526E-2</v>
          </cell>
          <cell r="Q114">
            <v>4.2999999999999997E-2</v>
          </cell>
          <cell r="R114">
            <v>4.2999999999999997E-2</v>
          </cell>
        </row>
        <row r="115">
          <cell r="I115">
            <v>4.4999999999999998E-2</v>
          </cell>
          <cell r="J115">
            <v>4.4999999999999998E-2</v>
          </cell>
          <cell r="K115">
            <v>4.4999999999999998E-2</v>
          </cell>
          <cell r="L115">
            <v>4.2999999999999997E-2</v>
          </cell>
          <cell r="M115">
            <v>3.618310387082551E-2</v>
          </cell>
          <cell r="N115">
            <v>3.8142668443685655E-2</v>
          </cell>
          <cell r="O115">
            <v>4.1128106498813176E-2</v>
          </cell>
          <cell r="P115">
            <v>4.2747157694961804E-2</v>
          </cell>
          <cell r="Q115">
            <v>4.4999999999999998E-2</v>
          </cell>
          <cell r="R115">
            <v>4.4999999999999998E-2</v>
          </cell>
        </row>
        <row r="119">
          <cell r="I119">
            <v>9094</v>
          </cell>
          <cell r="J119">
            <v>9826</v>
          </cell>
          <cell r="K119">
            <v>11729</v>
          </cell>
          <cell r="L119">
            <v>10695</v>
          </cell>
          <cell r="M119">
            <v>8433</v>
          </cell>
          <cell r="N119">
            <v>10187</v>
          </cell>
          <cell r="O119">
            <v>10735</v>
          </cell>
          <cell r="P119">
            <v>10261</v>
          </cell>
          <cell r="Q119">
            <v>10854.609817299999</v>
          </cell>
          <cell r="R119">
            <v>10384.574465399999</v>
          </cell>
        </row>
        <row r="120">
          <cell r="I120">
            <v>4538</v>
          </cell>
          <cell r="J120">
            <v>4845</v>
          </cell>
          <cell r="K120">
            <v>5650</v>
          </cell>
          <cell r="L120">
            <v>5143</v>
          </cell>
          <cell r="M120">
            <v>3972</v>
          </cell>
          <cell r="N120">
            <v>4642</v>
          </cell>
          <cell r="O120">
            <v>5049</v>
          </cell>
          <cell r="P120">
            <v>4659</v>
          </cell>
          <cell r="Q120">
            <v>5017.1545153999996</v>
          </cell>
          <cell r="R120">
            <v>4793.0605848999994</v>
          </cell>
        </row>
        <row r="121">
          <cell r="I121">
            <v>1048</v>
          </cell>
          <cell r="J121">
            <v>693</v>
          </cell>
          <cell r="K121">
            <v>810</v>
          </cell>
          <cell r="L121">
            <v>811</v>
          </cell>
          <cell r="M121">
            <v>995</v>
          </cell>
          <cell r="N121">
            <v>821</v>
          </cell>
          <cell r="O121">
            <v>724</v>
          </cell>
          <cell r="P121">
            <v>960</v>
          </cell>
          <cell r="Q121">
            <v>1714.5599533</v>
          </cell>
          <cell r="R121">
            <v>1757.0290563999999</v>
          </cell>
        </row>
        <row r="122">
          <cell r="I122">
            <v>916</v>
          </cell>
          <cell r="J122">
            <v>1025</v>
          </cell>
          <cell r="K122">
            <v>1234</v>
          </cell>
          <cell r="L122">
            <v>1179</v>
          </cell>
          <cell r="M122">
            <v>980</v>
          </cell>
          <cell r="N122">
            <v>1111</v>
          </cell>
          <cell r="O122">
            <v>1192</v>
          </cell>
          <cell r="P122">
            <v>1176</v>
          </cell>
          <cell r="Q122">
            <v>1252.6995403999999</v>
          </cell>
          <cell r="R122">
            <v>1194.8405935000001</v>
          </cell>
        </row>
        <row r="130">
          <cell r="I130">
            <v>15417</v>
          </cell>
          <cell r="J130">
            <v>18606</v>
          </cell>
          <cell r="K130">
            <v>21324</v>
          </cell>
          <cell r="L130">
            <v>18367</v>
          </cell>
          <cell r="M130">
            <v>17441</v>
          </cell>
          <cell r="N130">
            <v>16748</v>
          </cell>
          <cell r="O130">
            <v>17596</v>
          </cell>
          <cell r="P130">
            <v>17034</v>
          </cell>
          <cell r="Q130">
            <v>18789.664000000001</v>
          </cell>
          <cell r="R130">
            <v>19493.048999999999</v>
          </cell>
        </row>
        <row r="132">
          <cell r="I132">
            <v>3.3300000000000003E-2</v>
          </cell>
          <cell r="J132">
            <v>3.6578607167145429E-2</v>
          </cell>
          <cell r="K132">
            <v>3.5000000000000003E-2</v>
          </cell>
          <cell r="L132">
            <v>3.3099999999999997E-2</v>
          </cell>
          <cell r="M132">
            <v>3.49E-2</v>
          </cell>
          <cell r="N132">
            <v>3.5799999999999998E-2</v>
          </cell>
          <cell r="O132">
            <v>3.4000000000000002E-2</v>
          </cell>
          <cell r="P132">
            <v>3.4299999999999997E-2</v>
          </cell>
          <cell r="Q132">
            <v>3.1732611870051476E-2</v>
          </cell>
          <cell r="R132">
            <v>3.4804141665331238E-2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eriod Actuals"/>
    </sheetNames>
    <sheetDataSet>
      <sheetData sheetId="0">
        <row r="15">
          <cell r="L15">
            <v>0.45672337245593209</v>
          </cell>
        </row>
        <row r="17">
          <cell r="L17">
            <v>1.9989267507378727E-2</v>
          </cell>
        </row>
        <row r="21">
          <cell r="L21">
            <v>0.456653713716759</v>
          </cell>
        </row>
        <row r="36">
          <cell r="L36">
            <v>0.45708609533023048</v>
          </cell>
        </row>
        <row r="38">
          <cell r="L38">
            <v>2.0000506085680381E-2</v>
          </cell>
        </row>
        <row r="42">
          <cell r="L42">
            <v>0.45665536834919274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9 misc BS accts"/>
      <sheetName val="Div91 misc BS accts"/>
      <sheetName val="Div02 misc BS accts"/>
      <sheetName val="Div12 misc BS accts"/>
      <sheetName val="summary"/>
    </sheetNames>
    <sheetDataSet>
      <sheetData sheetId="0"/>
      <sheetData sheetId="1"/>
      <sheetData sheetId="2"/>
      <sheetData sheetId="3"/>
      <sheetData sheetId="4">
        <row r="6"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</row>
        <row r="11"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Z11" t="str">
            <v>0</v>
          </cell>
          <cell r="AA11" t="str">
            <v>0</v>
          </cell>
          <cell r="AB11" t="str">
            <v>0</v>
          </cell>
          <cell r="AC11" t="str">
            <v>0</v>
          </cell>
          <cell r="AD11" t="str">
            <v>0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0</v>
          </cell>
          <cell r="AI11" t="str">
            <v>0</v>
          </cell>
          <cell r="AJ11" t="str">
            <v>0</v>
          </cell>
          <cell r="AK11" t="str">
            <v>0</v>
          </cell>
          <cell r="AL11" t="str">
            <v>0</v>
          </cell>
        </row>
        <row r="12"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0</v>
          </cell>
          <cell r="U12" t="str">
            <v>0</v>
          </cell>
          <cell r="V12" t="str">
            <v>0</v>
          </cell>
          <cell r="W12" t="str">
            <v>0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0</v>
          </cell>
          <cell r="AG12" t="str">
            <v>0</v>
          </cell>
          <cell r="AH12" t="str">
            <v>0</v>
          </cell>
          <cell r="AI12" t="str">
            <v>0</v>
          </cell>
          <cell r="AJ12" t="str">
            <v>0</v>
          </cell>
          <cell r="AK12" t="str">
            <v>0</v>
          </cell>
          <cell r="AL12" t="str">
            <v>0</v>
          </cell>
        </row>
        <row r="16">
          <cell r="K16">
            <v>76075.44</v>
          </cell>
          <cell r="L16">
            <v>76075.44</v>
          </cell>
          <cell r="M16">
            <v>76075.44</v>
          </cell>
          <cell r="N16">
            <v>76075.44</v>
          </cell>
          <cell r="O16">
            <v>76075.44</v>
          </cell>
          <cell r="P16">
            <v>76075.44</v>
          </cell>
          <cell r="Q16">
            <v>76075.44</v>
          </cell>
          <cell r="R16">
            <v>76075.44</v>
          </cell>
          <cell r="S16">
            <v>76075.44</v>
          </cell>
          <cell r="T16">
            <v>76075.44</v>
          </cell>
          <cell r="U16">
            <v>76075.44</v>
          </cell>
          <cell r="V16">
            <v>76075.44</v>
          </cell>
          <cell r="W16">
            <v>76075.44</v>
          </cell>
          <cell r="Z16">
            <v>76075.44</v>
          </cell>
          <cell r="AA16">
            <v>76075.44</v>
          </cell>
          <cell r="AB16">
            <v>76075.44</v>
          </cell>
          <cell r="AC16">
            <v>76075.44</v>
          </cell>
          <cell r="AD16">
            <v>76075.44</v>
          </cell>
          <cell r="AE16">
            <v>76075.44</v>
          </cell>
          <cell r="AF16">
            <v>76075.44</v>
          </cell>
          <cell r="AG16">
            <v>76075.44</v>
          </cell>
          <cell r="AH16">
            <v>76075.44</v>
          </cell>
          <cell r="AI16">
            <v>76075.44</v>
          </cell>
          <cell r="AJ16">
            <v>76075.44</v>
          </cell>
          <cell r="AK16">
            <v>76075.44</v>
          </cell>
          <cell r="AL16">
            <v>76075.44</v>
          </cell>
        </row>
        <row r="17">
          <cell r="K17">
            <v>585342.82000000007</v>
          </cell>
          <cell r="L17">
            <v>656724.80000000005</v>
          </cell>
          <cell r="M17">
            <v>760358.21000000008</v>
          </cell>
          <cell r="N17">
            <v>853995.7200000002</v>
          </cell>
          <cell r="O17">
            <v>913349.68999999983</v>
          </cell>
          <cell r="P17">
            <v>1012172.2599999999</v>
          </cell>
          <cell r="Q17">
            <v>1079653.4999999998</v>
          </cell>
          <cell r="R17">
            <v>879375.69666666677</v>
          </cell>
          <cell r="S17">
            <v>879375.69666666677</v>
          </cell>
          <cell r="T17">
            <v>879375.69666666677</v>
          </cell>
          <cell r="U17">
            <v>879375.69666666677</v>
          </cell>
          <cell r="V17">
            <v>879375.69666666677</v>
          </cell>
          <cell r="W17">
            <v>879375.69666666677</v>
          </cell>
          <cell r="Z17">
            <v>879375.69666666677</v>
          </cell>
          <cell r="AA17">
            <v>879375.69666666677</v>
          </cell>
          <cell r="AB17">
            <v>879375.69666666677</v>
          </cell>
          <cell r="AC17">
            <v>879375.69666666677</v>
          </cell>
          <cell r="AD17">
            <v>879375.69666666677</v>
          </cell>
          <cell r="AE17">
            <v>879375.69666666677</v>
          </cell>
          <cell r="AF17">
            <v>879375.69666666677</v>
          </cell>
          <cell r="AG17">
            <v>879375.69666666677</v>
          </cell>
          <cell r="AH17">
            <v>879375.69666666677</v>
          </cell>
          <cell r="AI17">
            <v>879375.69666666677</v>
          </cell>
          <cell r="AJ17">
            <v>879375.69666666677</v>
          </cell>
          <cell r="AK17">
            <v>879375.69666666677</v>
          </cell>
          <cell r="AL17">
            <v>879375.69666666677</v>
          </cell>
        </row>
        <row r="21"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K22">
            <v>-57155.38</v>
          </cell>
          <cell r="L22">
            <v>-62145.880000000005</v>
          </cell>
          <cell r="M22">
            <v>-86324.529999999984</v>
          </cell>
          <cell r="N22">
            <v>-278876.51</v>
          </cell>
          <cell r="O22">
            <v>-351177.04000000004</v>
          </cell>
          <cell r="P22">
            <v>-398764.01999999996</v>
          </cell>
          <cell r="Q22">
            <v>-445842.89999999997</v>
          </cell>
          <cell r="R22">
            <v>-270521.8133333333</v>
          </cell>
          <cell r="S22">
            <v>-270521.8133333333</v>
          </cell>
          <cell r="T22">
            <v>-270521.8133333333</v>
          </cell>
          <cell r="U22">
            <v>-270521.8133333333</v>
          </cell>
          <cell r="V22">
            <v>-270521.8133333333</v>
          </cell>
          <cell r="W22">
            <v>-270521.8133333333</v>
          </cell>
          <cell r="Z22">
            <v>-270521.8133333333</v>
          </cell>
          <cell r="AA22">
            <v>-270521.8133333333</v>
          </cell>
          <cell r="AB22">
            <v>-270521.8133333333</v>
          </cell>
          <cell r="AC22">
            <v>-270521.8133333333</v>
          </cell>
          <cell r="AD22">
            <v>-270521.8133333333</v>
          </cell>
          <cell r="AE22">
            <v>-270521.8133333333</v>
          </cell>
          <cell r="AF22">
            <v>-270521.8133333333</v>
          </cell>
          <cell r="AG22">
            <v>-270521.8133333333</v>
          </cell>
          <cell r="AH22">
            <v>-270521.8133333333</v>
          </cell>
          <cell r="AI22">
            <v>-270521.8133333333</v>
          </cell>
          <cell r="AJ22">
            <v>-270521.8133333333</v>
          </cell>
          <cell r="AK22">
            <v>-270521.8133333333</v>
          </cell>
          <cell r="AL22">
            <v>-270521.8133333333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Summary of Rates"/>
      <sheetName val="Summary of Revenue"/>
      <sheetName val="Summary of Stats"/>
      <sheetName val="Bill Frequency"/>
      <sheetName val="Test Year Revenue Present"/>
      <sheetName val="Contract &amp; Vol Adj"/>
      <sheetName val="WNA Summary"/>
      <sheetName val="WNA"/>
      <sheetName val="Test Year Monthly - (Pres)"/>
      <sheetName val="Test Year Revenue Proposed"/>
      <sheetName val="Test Year Monthly - (Prop)"/>
      <sheetName val="Rate Design"/>
      <sheetName val="Monthly Forecast"/>
      <sheetName val="TBS Adjustments"/>
      <sheetName val="Peak Day Estimate"/>
      <sheetName val="Other Revenue"/>
      <sheetName val="HDDs"/>
      <sheetName val="Gas Cost Worksheet"/>
      <sheetName val="CCS Extract"/>
      <sheetName val="Summary &gt;&gt;&gt;"/>
      <sheetName val="Exhibits&gt;"/>
      <sheetName val="Work Papers&gt;"/>
      <sheetName val="EM compare"/>
    </sheetNames>
    <sheetDataSet>
      <sheetData sheetId="0"/>
      <sheetData sheetId="1"/>
      <sheetData sheetId="2">
        <row r="11">
          <cell r="I11">
            <v>3977683.4600166129</v>
          </cell>
          <cell r="J11">
            <v>3985743.8769326014</v>
          </cell>
          <cell r="K11">
            <v>3950372.2449711487</v>
          </cell>
          <cell r="L11">
            <v>5098884.0329309786</v>
          </cell>
          <cell r="M11">
            <v>8426387.0845348835</v>
          </cell>
          <cell r="N11">
            <v>12560923.913642969</v>
          </cell>
          <cell r="T11">
            <v>8441558.6012300886</v>
          </cell>
          <cell r="U11">
            <v>5661644.2309731487</v>
          </cell>
          <cell r="V11">
            <v>4284846.0528626004</v>
          </cell>
          <cell r="W11">
            <v>3943264.9044156806</v>
          </cell>
          <cell r="X11">
            <v>3962200.1912761992</v>
          </cell>
          <cell r="Y11">
            <v>3926560.0249840179</v>
          </cell>
          <cell r="Z11">
            <v>5042313.5464182133</v>
          </cell>
          <cell r="AA11">
            <v>8401387.8863512427</v>
          </cell>
          <cell r="AB11">
            <v>12512630.078639716</v>
          </cell>
          <cell r="AC11">
            <v>14998860.639884859</v>
          </cell>
          <cell r="AD11">
            <v>15393651.511947451</v>
          </cell>
          <cell r="AE11">
            <v>11809001.746209055</v>
          </cell>
          <cell r="AI11">
            <v>98211507.954418644</v>
          </cell>
          <cell r="AJ11">
            <v>97443624.928845793</v>
          </cell>
          <cell r="AK11">
            <v>97406846.124352798</v>
          </cell>
        </row>
        <row r="12">
          <cell r="I12">
            <v>1891638.1867555245</v>
          </cell>
          <cell r="J12">
            <v>1890232.08206765</v>
          </cell>
          <cell r="K12">
            <v>1870520.4892872761</v>
          </cell>
          <cell r="L12">
            <v>2242327.1828385834</v>
          </cell>
          <cell r="M12">
            <v>3481018.7270582351</v>
          </cell>
          <cell r="N12">
            <v>4940966.5934923086</v>
          </cell>
          <cell r="T12">
            <v>3482514.1213973574</v>
          </cell>
          <cell r="U12">
            <v>2514682.8433252801</v>
          </cell>
          <cell r="V12">
            <v>1993667.060705516</v>
          </cell>
          <cell r="W12">
            <v>1848367.0350045138</v>
          </cell>
          <cell r="X12">
            <v>1858090.3072460247</v>
          </cell>
          <cell r="Y12">
            <v>1838613.2123923136</v>
          </cell>
          <cell r="Z12">
            <v>2198265.0002901242</v>
          </cell>
          <cell r="AA12">
            <v>3461162.4368507904</v>
          </cell>
          <cell r="AB12">
            <v>4909965.3595049419</v>
          </cell>
          <cell r="AC12">
            <v>5849828.4347833237</v>
          </cell>
          <cell r="AD12">
            <v>5979381.7154239211</v>
          </cell>
          <cell r="AE12">
            <v>4702526.2102799257</v>
          </cell>
          <cell r="AI12">
            <v>40456028.424050696</v>
          </cell>
          <cell r="AJ12">
            <v>40007807.519311324</v>
          </cell>
          <cell r="AK12">
            <v>39910195.540734909</v>
          </cell>
        </row>
        <row r="13">
          <cell r="I13">
            <v>390261.25101000001</v>
          </cell>
          <cell r="J13">
            <v>292705.93046499998</v>
          </cell>
          <cell r="K13">
            <v>327152.0098856666</v>
          </cell>
          <cell r="L13">
            <v>257902.36749466666</v>
          </cell>
          <cell r="M13">
            <v>308686.35804044816</v>
          </cell>
          <cell r="N13">
            <v>666571.78784753638</v>
          </cell>
          <cell r="T13">
            <v>333869.94577730913</v>
          </cell>
          <cell r="U13">
            <v>336503.9047936704</v>
          </cell>
          <cell r="V13">
            <v>257495.02753932757</v>
          </cell>
          <cell r="W13">
            <v>367460.01923376077</v>
          </cell>
          <cell r="X13">
            <v>280518.25992199586</v>
          </cell>
          <cell r="Y13">
            <v>313148.57953810971</v>
          </cell>
          <cell r="Z13">
            <v>248255.96019136364</v>
          </cell>
          <cell r="AA13">
            <v>306059.20820625068</v>
          </cell>
          <cell r="AB13">
            <v>660778.19755295315</v>
          </cell>
          <cell r="AC13">
            <v>961516.7613888284</v>
          </cell>
          <cell r="AD13">
            <v>661147.60418456118</v>
          </cell>
          <cell r="AE13">
            <v>560001.87102494435</v>
          </cell>
          <cell r="AI13">
            <v>5232280.628185886</v>
          </cell>
          <cell r="AJ13">
            <v>5149116.8401296604</v>
          </cell>
          <cell r="AK13">
            <v>5133564.2935704105</v>
          </cell>
        </row>
        <row r="14">
          <cell r="I14">
            <v>248275.32537714636</v>
          </cell>
          <cell r="J14">
            <v>257557.29241529177</v>
          </cell>
          <cell r="K14">
            <v>247986.08147423447</v>
          </cell>
          <cell r="L14">
            <v>345623.72771904792</v>
          </cell>
          <cell r="M14">
            <v>607276.52855381754</v>
          </cell>
          <cell r="N14">
            <v>911440.84380762954</v>
          </cell>
          <cell r="T14">
            <v>574640.72676783078</v>
          </cell>
          <cell r="U14">
            <v>377720.56029893842</v>
          </cell>
          <cell r="V14">
            <v>265144.9171492898</v>
          </cell>
          <cell r="W14">
            <v>241180.15568729438</v>
          </cell>
          <cell r="X14">
            <v>252076.25869578484</v>
          </cell>
          <cell r="Y14">
            <v>242677.8163083338</v>
          </cell>
          <cell r="Z14">
            <v>337345.19457652222</v>
          </cell>
          <cell r="AA14">
            <v>603236.78757413372</v>
          </cell>
          <cell r="AB14">
            <v>905038.2690203411</v>
          </cell>
          <cell r="AC14">
            <v>1087494.3411898718</v>
          </cell>
          <cell r="AD14">
            <v>1113251.6898061384</v>
          </cell>
          <cell r="AE14">
            <v>847565.66995055904</v>
          </cell>
          <cell r="AI14">
            <v>6816056.0391607247</v>
          </cell>
          <cell r="AJ14">
            <v>6726693.4810965508</v>
          </cell>
          <cell r="AK14">
            <v>6706909.91259869</v>
          </cell>
        </row>
        <row r="15">
          <cell r="AI15">
            <v>150715873.04581597</v>
          </cell>
          <cell r="AJ15">
            <v>149327242.76938337</v>
          </cell>
          <cell r="AK15">
            <v>149157515.8712568</v>
          </cell>
        </row>
        <row r="18">
          <cell r="I18">
            <v>59150.040279274232</v>
          </cell>
          <cell r="J18">
            <v>54438.933654652523</v>
          </cell>
          <cell r="K18">
            <v>54578.946435618629</v>
          </cell>
          <cell r="L18">
            <v>54003.632288822264</v>
          </cell>
          <cell r="M18">
            <v>68403.679396344829</v>
          </cell>
          <cell r="N18">
            <v>111350.6264652091</v>
          </cell>
          <cell r="T18">
            <v>154727.82135485311</v>
          </cell>
          <cell r="U18">
            <v>111173.430378629</v>
          </cell>
          <cell r="V18">
            <v>76088.821679641362</v>
          </cell>
          <cell r="W18">
            <v>58230.972263950251</v>
          </cell>
          <cell r="X18">
            <v>53684.395756861937</v>
          </cell>
          <cell r="Y18">
            <v>54034.705322374044</v>
          </cell>
          <cell r="Z18">
            <v>53460.619677659743</v>
          </cell>
          <cell r="AA18">
            <v>67434.49078735373</v>
          </cell>
          <cell r="AB18">
            <v>110915.66308377551</v>
          </cell>
          <cell r="AC18">
            <v>163043.36831648159</v>
          </cell>
          <cell r="AD18">
            <v>195126.14829354855</v>
          </cell>
          <cell r="AE18">
            <v>200043.74278253785</v>
          </cell>
        </row>
        <row r="19">
          <cell r="I19">
            <v>45327</v>
          </cell>
          <cell r="J19">
            <v>57173</v>
          </cell>
          <cell r="K19">
            <v>55395</v>
          </cell>
          <cell r="L19">
            <v>88176</v>
          </cell>
          <cell r="M19">
            <v>126545</v>
          </cell>
          <cell r="N19">
            <v>87101</v>
          </cell>
          <cell r="T19">
            <v>49919</v>
          </cell>
          <cell r="U19">
            <v>53628</v>
          </cell>
          <cell r="V19">
            <v>55397</v>
          </cell>
          <cell r="W19">
            <v>45327</v>
          </cell>
          <cell r="X19">
            <v>57173</v>
          </cell>
          <cell r="Y19">
            <v>55395</v>
          </cell>
          <cell r="Z19">
            <v>88176</v>
          </cell>
          <cell r="AA19">
            <v>126545</v>
          </cell>
          <cell r="AB19">
            <v>87101</v>
          </cell>
          <cell r="AC19">
            <v>58133</v>
          </cell>
          <cell r="AD19">
            <v>54439</v>
          </cell>
          <cell r="AE19">
            <v>74821</v>
          </cell>
        </row>
        <row r="20">
          <cell r="I20">
            <v>1031165.1010687258</v>
          </cell>
          <cell r="J20">
            <v>1125835.1251621114</v>
          </cell>
          <cell r="K20">
            <v>1137038.5377952971</v>
          </cell>
          <cell r="L20">
            <v>1217906.5070548751</v>
          </cell>
          <cell r="M20">
            <v>1335583.0520690915</v>
          </cell>
          <cell r="N20">
            <v>1505273.8931012994</v>
          </cell>
          <cell r="T20">
            <v>1186285.1811271033</v>
          </cell>
          <cell r="U20">
            <v>1211422.5728380762</v>
          </cell>
          <cell r="V20">
            <v>1162348.0418893297</v>
          </cell>
          <cell r="W20">
            <v>1031165.1010687258</v>
          </cell>
          <cell r="X20">
            <v>1125835.1251621114</v>
          </cell>
          <cell r="Y20">
            <v>1137038.5377952971</v>
          </cell>
          <cell r="Z20">
            <v>1217906.5070548751</v>
          </cell>
          <cell r="AA20">
            <v>1335583.0520690915</v>
          </cell>
          <cell r="AB20">
            <v>1505273.8931012994</v>
          </cell>
          <cell r="AC20">
            <v>1523596.7860310171</v>
          </cell>
          <cell r="AD20">
            <v>1334402.3335029918</v>
          </cell>
          <cell r="AE20">
            <v>1431230.0610257264</v>
          </cell>
          <cell r="AI20">
            <v>15202087.192665644</v>
          </cell>
          <cell r="AJ20">
            <v>15202087.192665644</v>
          </cell>
          <cell r="AK20">
            <v>15202087.192665644</v>
          </cell>
        </row>
        <row r="21">
          <cell r="I21">
            <v>183286.57023593987</v>
          </cell>
          <cell r="J21">
            <v>180802.14429106572</v>
          </cell>
          <cell r="K21">
            <v>183627.60898165885</v>
          </cell>
          <cell r="L21">
            <v>198676.93726818013</v>
          </cell>
          <cell r="M21">
            <v>196958.77298331514</v>
          </cell>
          <cell r="N21">
            <v>230122.0238050755</v>
          </cell>
          <cell r="T21">
            <v>174643.87153331196</v>
          </cell>
          <cell r="U21">
            <v>170439.53524474136</v>
          </cell>
          <cell r="V21">
            <v>149118.70479717723</v>
          </cell>
          <cell r="W21">
            <v>183286.57023593987</v>
          </cell>
          <cell r="X21">
            <v>180802.14429106572</v>
          </cell>
          <cell r="Y21">
            <v>183627.60898165885</v>
          </cell>
          <cell r="Z21">
            <v>198676.93726818013</v>
          </cell>
          <cell r="AA21">
            <v>196958.77298331514</v>
          </cell>
          <cell r="AB21">
            <v>230122.0238050755</v>
          </cell>
          <cell r="AC21">
            <v>221910.06617049334</v>
          </cell>
          <cell r="AD21">
            <v>186721.56078293792</v>
          </cell>
          <cell r="AE21">
            <v>197751.86418905575</v>
          </cell>
        </row>
        <row r="23">
          <cell r="AI23">
            <v>170292856.34591371</v>
          </cell>
          <cell r="AJ23">
            <v>168892126.68226829</v>
          </cell>
          <cell r="AK23">
            <v>168720946.3478907</v>
          </cell>
        </row>
        <row r="25">
          <cell r="AI25">
            <v>78235802.071391732</v>
          </cell>
          <cell r="AJ25">
            <v>76749216.804471448</v>
          </cell>
          <cell r="AK25">
            <v>76481534.142260984</v>
          </cell>
        </row>
        <row r="32">
          <cell r="R32">
            <v>-5040824.6396281663</v>
          </cell>
          <cell r="T32">
            <v>-1178144.3829036904</v>
          </cell>
          <cell r="U32">
            <v>2639752.0972308498</v>
          </cell>
          <cell r="V32">
            <v>6490577.8248579893</v>
          </cell>
          <cell r="W32">
            <v>10375649.969877433</v>
          </cell>
          <cell r="X32">
            <v>14265990.794495691</v>
          </cell>
          <cell r="Y32">
            <v>18124719.541521054</v>
          </cell>
          <cell r="Z32">
            <v>22008474.516640794</v>
          </cell>
          <cell r="AA32">
            <v>19939491.454701804</v>
          </cell>
          <cell r="AB32">
            <v>14923260.591732655</v>
          </cell>
          <cell r="AC32">
            <v>8081737.9360851143</v>
          </cell>
          <cell r="AD32">
            <v>900905.5114067141</v>
          </cell>
          <cell r="AE32">
            <v>-4156777.4433354605</v>
          </cell>
        </row>
      </sheetData>
      <sheetData sheetId="3">
        <row r="11">
          <cell r="O11">
            <v>156822.25</v>
          </cell>
          <cell r="AF11">
            <v>157197.25</v>
          </cell>
          <cell r="AI11">
            <v>157347.25</v>
          </cell>
          <cell r="AJ11">
            <v>157647.25</v>
          </cell>
          <cell r="AK11">
            <v>157947.25</v>
          </cell>
        </row>
        <row r="12">
          <cell r="O12">
            <v>17418.583333333332</v>
          </cell>
          <cell r="AF12">
            <v>17418.583333333332</v>
          </cell>
          <cell r="AI12">
            <v>17418.583333333336</v>
          </cell>
          <cell r="AJ12">
            <v>17418.583333333336</v>
          </cell>
          <cell r="AK12">
            <v>17418.583333333336</v>
          </cell>
        </row>
        <row r="13">
          <cell r="O13">
            <v>211.61018518518517</v>
          </cell>
          <cell r="AF13">
            <v>211.61018518518517</v>
          </cell>
          <cell r="AI13">
            <v>211.6101851851852</v>
          </cell>
          <cell r="AJ13">
            <v>211.6101851851852</v>
          </cell>
          <cell r="AK13">
            <v>211.6101851851852</v>
          </cell>
        </row>
        <row r="14">
          <cell r="O14">
            <v>1548.5833333333333</v>
          </cell>
          <cell r="AF14">
            <v>1548.5833333333333</v>
          </cell>
          <cell r="AI14">
            <v>1548.5833333333333</v>
          </cell>
          <cell r="AJ14">
            <v>1548.5833333333333</v>
          </cell>
          <cell r="AK14">
            <v>1548.5833333333333</v>
          </cell>
        </row>
        <row r="17">
          <cell r="O17">
            <v>9997159.5259268768</v>
          </cell>
          <cell r="AF17">
            <v>10026385.522694048</v>
          </cell>
          <cell r="AI17">
            <v>10030146.499525107</v>
          </cell>
          <cell r="AJ17">
            <v>10049272.308187226</v>
          </cell>
          <cell r="AK17">
            <v>10068398.621149346</v>
          </cell>
        </row>
        <row r="18">
          <cell r="O18">
            <v>4895832.09</v>
          </cell>
          <cell r="AF18">
            <v>4895832.09</v>
          </cell>
          <cell r="AI18">
            <v>4895832.09</v>
          </cell>
          <cell r="AJ18">
            <v>4895832.09</v>
          </cell>
          <cell r="AK18">
            <v>4895832.09</v>
          </cell>
        </row>
        <row r="19">
          <cell r="O19">
            <v>972670.4600000002</v>
          </cell>
          <cell r="AF19">
            <v>972670.46000000008</v>
          </cell>
          <cell r="AI19">
            <v>972670.46</v>
          </cell>
          <cell r="AJ19">
            <v>972670.46</v>
          </cell>
          <cell r="AK19">
            <v>972670.46</v>
          </cell>
        </row>
        <row r="20">
          <cell r="O20">
            <v>963106.67</v>
          </cell>
          <cell r="AF20">
            <v>963106.67</v>
          </cell>
          <cell r="AI20">
            <v>963106.66999999993</v>
          </cell>
          <cell r="AJ20">
            <v>963106.66999999993</v>
          </cell>
          <cell r="AK20">
            <v>963106.66999999993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dollars"/>
    </sheetNames>
    <sheetDataSet>
      <sheetData sheetId="0">
        <row r="126">
          <cell r="E126">
            <v>14824454.549999999</v>
          </cell>
          <cell r="F126">
            <v>6741670.5500000017</v>
          </cell>
          <cell r="G126">
            <v>2380328.580000001</v>
          </cell>
          <cell r="H126">
            <v>-1585227.1199999996</v>
          </cell>
          <cell r="I126">
            <v>1123327.4100000001</v>
          </cell>
          <cell r="J126">
            <v>2873790.4</v>
          </cell>
          <cell r="K126">
            <v>5812075.6500000004</v>
          </cell>
          <cell r="L126">
            <v>8272783.7200000007</v>
          </cell>
          <cell r="M126">
            <v>11340753.880000001</v>
          </cell>
          <cell r="N126">
            <v>14331314.09</v>
          </cell>
        </row>
        <row r="139">
          <cell r="C139">
            <v>17779375.599999998</v>
          </cell>
          <cell r="D139">
            <v>15668363.290000003</v>
          </cell>
          <cell r="E139">
            <v>12337277.359999999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sion 002"/>
      <sheetName val="Division 012"/>
      <sheetName val="Division 009"/>
      <sheetName val="Division 091"/>
      <sheetName val="TLock"/>
      <sheetName val="FAS115"/>
      <sheetName val="9-2017"/>
      <sheetName val="9-2017 State"/>
      <sheetName val="9-2017 FBOS"/>
      <sheetName val="FY18 rc"/>
      <sheetName val="WTX RC Nov 17"/>
      <sheetName val="Deferred Reval"/>
      <sheetName val="Q1 YTD"/>
      <sheetName val="12.31 End Bal"/>
      <sheetName val="12-31-17 SV"/>
      <sheetName val="11-30-17 SV"/>
      <sheetName val="10-31-17 SV"/>
      <sheetName val="9-30-17 SV"/>
      <sheetName val="8-31-17 SV"/>
      <sheetName val="7-31-17 SV"/>
      <sheetName val="6-30-17 SV"/>
      <sheetName val="5-31-17 SV"/>
      <sheetName val="4-30-17 SV"/>
      <sheetName val="6-2017"/>
      <sheetName val="3-2017"/>
      <sheetName val="3-31-17 SV"/>
      <sheetName val="2-28-17 SV"/>
      <sheetName val="1-31-17 SV"/>
      <sheetName val="12-2016"/>
      <sheetName val="12-31-16 SV"/>
      <sheetName val="11-30-16 SV"/>
      <sheetName val="10-31-16 SV"/>
      <sheetName val="OTP DP"/>
      <sheetName val="Fed+FBOS"/>
      <sheetName val="State"/>
      <sheetName val="6-2016"/>
      <sheetName val="3-2016"/>
      <sheetName val="12-2015"/>
      <sheetName val="Non Provision Adjs"/>
      <sheetName val="FY16 Essbase"/>
      <sheetName val="FY15 Essbase"/>
      <sheetName val="FY14 Essbase"/>
      <sheetName val="FY13 Essbase"/>
      <sheetName val="FY12 Essbase"/>
      <sheetName val="FY11 Essbase"/>
      <sheetName val="FY10 Essbase"/>
      <sheetName val="FY09 Essbase"/>
      <sheetName val="FY08 Essbase"/>
      <sheetName val="9-2015"/>
      <sheetName val="6-2015"/>
      <sheetName val="3-2015"/>
      <sheetName val="12-2014"/>
      <sheetName val="9-2014"/>
      <sheetName val="6-2014"/>
      <sheetName val="3-2014"/>
      <sheetName val="12-2013"/>
      <sheetName val="9-2013"/>
      <sheetName val="6-2013"/>
      <sheetName val="03-2013"/>
      <sheetName val="12-2012"/>
      <sheetName val="09-2012"/>
      <sheetName val="06-2012"/>
      <sheetName val="03-2012"/>
      <sheetName val="12-2011"/>
      <sheetName val="9-2011"/>
      <sheetName val="6-2011"/>
      <sheetName val="3-2011"/>
      <sheetName val="12-2010"/>
      <sheetName val="9-30-10 ADIT"/>
      <sheetName val="6-2010"/>
      <sheetName val="3-2010"/>
      <sheetName val="12-2009"/>
      <sheetName val="9-2009"/>
      <sheetName val="9-2008"/>
      <sheetName val="Map"/>
      <sheetName val="Rate Div List"/>
    </sheetNames>
    <sheetDataSet>
      <sheetData sheetId="0">
        <row r="133">
          <cell r="CO133">
            <v>814487516.05999994</v>
          </cell>
          <cell r="CP133">
            <v>814487516.05999994</v>
          </cell>
          <cell r="CQ133">
            <v>814487516.05999994</v>
          </cell>
          <cell r="CR133">
            <v>828348814.62766099</v>
          </cell>
          <cell r="CS133">
            <v>828348814.62766099</v>
          </cell>
          <cell r="CT133">
            <v>828348814.62766099</v>
          </cell>
          <cell r="CU133">
            <v>831419397.12216103</v>
          </cell>
          <cell r="CV133">
            <v>831419397.12216103</v>
          </cell>
          <cell r="CW133">
            <v>831419397.12216103</v>
          </cell>
          <cell r="CX133">
            <v>861644589.62</v>
          </cell>
          <cell r="CY133">
            <v>861644589.62</v>
          </cell>
          <cell r="CZ133">
            <v>861644589.62</v>
          </cell>
          <cell r="DA133">
            <v>515666099.09999996</v>
          </cell>
        </row>
        <row r="134">
          <cell r="DD134">
            <v>508862755</v>
          </cell>
          <cell r="DE134">
            <v>508862755</v>
          </cell>
          <cell r="DF134">
            <v>508862755</v>
          </cell>
          <cell r="DG134">
            <v>508862755</v>
          </cell>
          <cell r="DH134">
            <v>508862755</v>
          </cell>
          <cell r="DI134">
            <v>508862755</v>
          </cell>
          <cell r="DJ134">
            <v>508862755</v>
          </cell>
          <cell r="DK134">
            <v>508862755</v>
          </cell>
          <cell r="DL134">
            <v>508862755</v>
          </cell>
          <cell r="DM134">
            <v>508862755</v>
          </cell>
          <cell r="DN134">
            <v>508862755</v>
          </cell>
          <cell r="DO134">
            <v>508862755</v>
          </cell>
          <cell r="DP134">
            <v>508862755</v>
          </cell>
        </row>
        <row r="136">
          <cell r="CO136">
            <v>2299755.5699999998</v>
          </cell>
          <cell r="CP136">
            <v>2299755.5699999998</v>
          </cell>
          <cell r="CQ136">
            <v>2299755.5699999998</v>
          </cell>
          <cell r="CR136">
            <v>-48432157.549999997</v>
          </cell>
          <cell r="CS136">
            <v>-48432157.549999997</v>
          </cell>
          <cell r="CT136">
            <v>-48432157.549999997</v>
          </cell>
          <cell r="CU136">
            <v>-33872754.259999998</v>
          </cell>
          <cell r="CV136">
            <v>-33872754.259999998</v>
          </cell>
          <cell r="CW136">
            <v>-33872754.259999998</v>
          </cell>
          <cell r="CX136">
            <v>-25529722.02</v>
          </cell>
          <cell r="CY136">
            <v>-25529722.02</v>
          </cell>
          <cell r="CZ136">
            <v>-25529722.02</v>
          </cell>
          <cell r="DA136">
            <v>-4974007.0199999996</v>
          </cell>
          <cell r="DD136">
            <v>-16310780.853272866</v>
          </cell>
          <cell r="DE136">
            <v>-16357345.537398258</v>
          </cell>
          <cell r="DF136">
            <v>-16403951.862211578</v>
          </cell>
          <cell r="DG136">
            <v>-16450532.431248024</v>
          </cell>
          <cell r="DH136">
            <v>-16497087.244507603</v>
          </cell>
          <cell r="DI136">
            <v>-16543616.301990315</v>
          </cell>
          <cell r="DJ136">
            <v>-16590119.603696156</v>
          </cell>
          <cell r="DK136">
            <v>-16676226.816830061</v>
          </cell>
          <cell r="DL136">
            <v>-16762421.44529587</v>
          </cell>
          <cell r="DM136">
            <v>-16848703.489093594</v>
          </cell>
          <cell r="DN136">
            <v>-16935072.948223226</v>
          </cell>
          <cell r="DO136">
            <v>-17021529.822684769</v>
          </cell>
          <cell r="DP136">
            <v>-17108074.112478223</v>
          </cell>
        </row>
        <row r="137">
          <cell r="CO137">
            <v>-1476557.19</v>
          </cell>
          <cell r="CP137">
            <v>-1476557.19</v>
          </cell>
          <cell r="CQ137">
            <v>-1476557.19</v>
          </cell>
          <cell r="CR137">
            <v>-1544221.23</v>
          </cell>
          <cell r="CS137">
            <v>-1544221.23</v>
          </cell>
          <cell r="CT137">
            <v>-1544221.23</v>
          </cell>
          <cell r="CU137">
            <v>-1619636.93</v>
          </cell>
          <cell r="CV137">
            <v>-1619636.93</v>
          </cell>
          <cell r="CW137">
            <v>-1619636.93</v>
          </cell>
          <cell r="CX137">
            <v>-1717163.49</v>
          </cell>
          <cell r="CY137">
            <v>-1717163.49</v>
          </cell>
          <cell r="CZ137">
            <v>-1717163.49</v>
          </cell>
          <cell r="DA137">
            <v>-1715763.49</v>
          </cell>
        </row>
        <row r="138">
          <cell r="CO138">
            <v>17050406.059999999</v>
          </cell>
          <cell r="CP138">
            <v>14870057.960000001</v>
          </cell>
          <cell r="CQ138">
            <v>13358460.220000001</v>
          </cell>
          <cell r="CR138">
            <v>13989960.6</v>
          </cell>
          <cell r="CS138">
            <v>21420144.350000001</v>
          </cell>
          <cell r="CT138">
            <v>27053646.440000001</v>
          </cell>
          <cell r="CU138">
            <v>23528779.149999999</v>
          </cell>
          <cell r="CV138">
            <v>22828349.510000002</v>
          </cell>
          <cell r="CW138">
            <v>29947738.93</v>
          </cell>
          <cell r="CX138">
            <v>37203965.600000001</v>
          </cell>
          <cell r="CY138">
            <v>34875680.649999999</v>
          </cell>
          <cell r="CZ138">
            <v>34593045.5</v>
          </cell>
          <cell r="DA138">
            <v>20580455.66</v>
          </cell>
          <cell r="DD138">
            <v>27259100.240345001</v>
          </cell>
          <cell r="DE138">
            <v>27259100.240345001</v>
          </cell>
          <cell r="DF138">
            <v>27259100.240345001</v>
          </cell>
          <cell r="DG138">
            <v>27259100.240345001</v>
          </cell>
          <cell r="DH138">
            <v>27259100.240345001</v>
          </cell>
          <cell r="DI138">
            <v>27259100.240345001</v>
          </cell>
          <cell r="DJ138">
            <v>27259100.240345001</v>
          </cell>
          <cell r="DK138">
            <v>27259100.240345001</v>
          </cell>
          <cell r="DL138">
            <v>27259100.240345001</v>
          </cell>
          <cell r="DM138">
            <v>27259100.240345001</v>
          </cell>
          <cell r="DN138">
            <v>27259100.240345001</v>
          </cell>
          <cell r="DO138">
            <v>27259100.240345001</v>
          </cell>
          <cell r="DP138">
            <v>27259100.240345001</v>
          </cell>
        </row>
        <row r="139"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</row>
        <row r="140">
          <cell r="CO140">
            <v>1150467.6200000001</v>
          </cell>
          <cell r="CP140">
            <v>1003836.02</v>
          </cell>
          <cell r="CQ140">
            <v>902178.87</v>
          </cell>
          <cell r="CR140">
            <v>944647.95</v>
          </cell>
          <cell r="CS140">
            <v>1444338.68</v>
          </cell>
          <cell r="CT140">
            <v>1823199.94</v>
          </cell>
          <cell r="CU140">
            <v>1586147.46</v>
          </cell>
          <cell r="CV140">
            <v>1539042.55</v>
          </cell>
          <cell r="CW140">
            <v>2017831.9</v>
          </cell>
          <cell r="CX140">
            <v>2530630.87</v>
          </cell>
          <cell r="CY140">
            <v>2374050.31</v>
          </cell>
          <cell r="CZ140">
            <v>2355042.6800000002</v>
          </cell>
          <cell r="DA140">
            <v>2478802.4500000002</v>
          </cell>
        </row>
      </sheetData>
      <sheetData sheetId="1">
        <row r="130">
          <cell r="CO130">
            <v>-0.28000000000000003</v>
          </cell>
          <cell r="CP130">
            <v>-0.28000000000000003</v>
          </cell>
          <cell r="CQ130">
            <v>-0.28000000000000003</v>
          </cell>
          <cell r="CR130">
            <v>-0.28000000000000003</v>
          </cell>
          <cell r="CS130">
            <v>-0.28000000000000003</v>
          </cell>
          <cell r="CT130">
            <v>-0.28000000000000003</v>
          </cell>
          <cell r="CU130">
            <v>-0.28000000000000003</v>
          </cell>
          <cell r="CV130">
            <v>-0.28000000000000003</v>
          </cell>
          <cell r="CW130">
            <v>-0.28000000000000003</v>
          </cell>
          <cell r="CX130">
            <v>10293.719999999999</v>
          </cell>
          <cell r="CY130">
            <v>10293.719999999999</v>
          </cell>
          <cell r="CZ130">
            <v>10293.719999999999</v>
          </cell>
          <cell r="DA130">
            <v>10834707.279999999</v>
          </cell>
          <cell r="DD130">
            <v>6868</v>
          </cell>
          <cell r="DE130">
            <v>6868</v>
          </cell>
          <cell r="DF130">
            <v>6868</v>
          </cell>
          <cell r="DG130">
            <v>6868</v>
          </cell>
          <cell r="DH130">
            <v>6868</v>
          </cell>
          <cell r="DI130">
            <v>6868</v>
          </cell>
          <cell r="DJ130">
            <v>6868</v>
          </cell>
          <cell r="DK130">
            <v>6868</v>
          </cell>
          <cell r="DL130">
            <v>6868</v>
          </cell>
          <cell r="DM130">
            <v>6868</v>
          </cell>
          <cell r="DN130">
            <v>6868</v>
          </cell>
          <cell r="DO130">
            <v>6868</v>
          </cell>
          <cell r="DP130">
            <v>6868</v>
          </cell>
        </row>
        <row r="131">
          <cell r="CO131">
            <v>-0.13</v>
          </cell>
          <cell r="CP131">
            <v>-0.13</v>
          </cell>
          <cell r="CQ131">
            <v>-0.13</v>
          </cell>
          <cell r="CR131">
            <v>-0.13</v>
          </cell>
          <cell r="CS131">
            <v>-0.13</v>
          </cell>
          <cell r="CT131">
            <v>-0.13</v>
          </cell>
          <cell r="CU131">
            <v>-0.13</v>
          </cell>
          <cell r="CV131">
            <v>-0.13</v>
          </cell>
          <cell r="CW131">
            <v>-0.13</v>
          </cell>
          <cell r="CX131">
            <v>691.87</v>
          </cell>
          <cell r="CY131">
            <v>691.87</v>
          </cell>
          <cell r="CZ131">
            <v>691.87</v>
          </cell>
          <cell r="DA131">
            <v>691.87</v>
          </cell>
        </row>
        <row r="132">
          <cell r="CO132">
            <v>-26157546.93</v>
          </cell>
          <cell r="CP132">
            <v>-26157546.93</v>
          </cell>
          <cell r="CQ132">
            <v>-26157546.93</v>
          </cell>
          <cell r="CR132">
            <v>-26157546.93</v>
          </cell>
          <cell r="CS132">
            <v>-26157546.93</v>
          </cell>
          <cell r="CT132">
            <v>-26157546.93</v>
          </cell>
          <cell r="CU132">
            <v>-26157546.93</v>
          </cell>
          <cell r="CV132">
            <v>-26157546.93</v>
          </cell>
          <cell r="CW132">
            <v>-26157546.93</v>
          </cell>
          <cell r="CX132">
            <v>-25828314.93</v>
          </cell>
          <cell r="CY132">
            <v>-25828314.93</v>
          </cell>
          <cell r="CZ132">
            <v>-25828314.93</v>
          </cell>
          <cell r="DA132">
            <v>-25828314.93</v>
          </cell>
          <cell r="DD132">
            <v>-16363147.377905838</v>
          </cell>
          <cell r="DE132">
            <v>-16239338.799144514</v>
          </cell>
          <cell r="DF132">
            <v>-16114937.917780699</v>
          </cell>
          <cell r="DG132">
            <v>-15990085.174017809</v>
          </cell>
          <cell r="DH132">
            <v>-15864640.127652427</v>
          </cell>
          <cell r="DI132">
            <v>-15738602.778684551</v>
          </cell>
          <cell r="DJ132">
            <v>-15611973.127114184</v>
          </cell>
          <cell r="DK132">
            <v>-15493886.345929582</v>
          </cell>
          <cell r="DL132">
            <v>-15375341.514415247</v>
          </cell>
          <cell r="DM132">
            <v>-15256338.632571187</v>
          </cell>
          <cell r="DN132">
            <v>-15136877.7003974</v>
          </cell>
          <cell r="DO132">
            <v>-15016958.717893884</v>
          </cell>
          <cell r="DP132">
            <v>-14896581.685060639</v>
          </cell>
        </row>
        <row r="133">
          <cell r="CO133">
            <v>-1759390.42</v>
          </cell>
          <cell r="CP133">
            <v>-1759390.42</v>
          </cell>
          <cell r="CQ133">
            <v>-1759390.42</v>
          </cell>
          <cell r="CR133">
            <v>-1759390.42</v>
          </cell>
          <cell r="CS133">
            <v>-1759390.42</v>
          </cell>
          <cell r="CT133">
            <v>-1759390.42</v>
          </cell>
          <cell r="CU133">
            <v>-1759390.42</v>
          </cell>
          <cell r="CV133">
            <v>-1759390.42</v>
          </cell>
          <cell r="CW133">
            <v>-1759390.42</v>
          </cell>
          <cell r="CX133">
            <v>-1737244.42</v>
          </cell>
          <cell r="CY133">
            <v>-1737244.42</v>
          </cell>
          <cell r="CZ133">
            <v>-1737244.42</v>
          </cell>
          <cell r="DA133">
            <v>-1737244.42</v>
          </cell>
        </row>
        <row r="134">
          <cell r="CO134">
            <v>-538554</v>
          </cell>
          <cell r="CP134">
            <v>-538554</v>
          </cell>
          <cell r="CQ134">
            <v>-538554</v>
          </cell>
          <cell r="CR134">
            <v>-538554</v>
          </cell>
          <cell r="CS134">
            <v>-538554</v>
          </cell>
          <cell r="CT134">
            <v>-538554</v>
          </cell>
          <cell r="CU134">
            <v>-538554</v>
          </cell>
          <cell r="CV134">
            <v>-538554</v>
          </cell>
          <cell r="CW134">
            <v>-538554</v>
          </cell>
          <cell r="CX134">
            <v>-1243012</v>
          </cell>
          <cell r="CY134">
            <v>-1243012</v>
          </cell>
          <cell r="CZ134">
            <v>-1243012</v>
          </cell>
          <cell r="DA134">
            <v>-1243012</v>
          </cell>
          <cell r="DD134">
            <v>-298010</v>
          </cell>
          <cell r="DE134">
            <v>-298010</v>
          </cell>
          <cell r="DF134">
            <v>-298010</v>
          </cell>
          <cell r="DG134">
            <v>-298010</v>
          </cell>
          <cell r="DH134">
            <v>-298010</v>
          </cell>
          <cell r="DI134">
            <v>-298010</v>
          </cell>
          <cell r="DJ134">
            <v>-298010</v>
          </cell>
          <cell r="DK134">
            <v>-298010</v>
          </cell>
          <cell r="DL134">
            <v>-298010</v>
          </cell>
          <cell r="DM134">
            <v>-298010</v>
          </cell>
          <cell r="DN134">
            <v>-298010</v>
          </cell>
          <cell r="DO134">
            <v>-298010</v>
          </cell>
          <cell r="DP134">
            <v>-298010</v>
          </cell>
        </row>
        <row r="135"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</row>
        <row r="136">
          <cell r="CO136">
            <v>-36225</v>
          </cell>
          <cell r="CP136">
            <v>-36225</v>
          </cell>
          <cell r="CQ136">
            <v>-36225</v>
          </cell>
          <cell r="CR136">
            <v>-36225</v>
          </cell>
          <cell r="CS136">
            <v>-36225</v>
          </cell>
          <cell r="CT136">
            <v>-36225</v>
          </cell>
          <cell r="CU136">
            <v>-36225</v>
          </cell>
          <cell r="CV136">
            <v>-36225</v>
          </cell>
          <cell r="CW136">
            <v>-36225</v>
          </cell>
          <cell r="CX136">
            <v>-83606</v>
          </cell>
          <cell r="CY136">
            <v>-83606</v>
          </cell>
          <cell r="CZ136">
            <v>-83606</v>
          </cell>
          <cell r="DA136">
            <v>-83606</v>
          </cell>
        </row>
      </sheetData>
      <sheetData sheetId="2">
        <row r="130">
          <cell r="CO130">
            <v>-32517.599999999999</v>
          </cell>
          <cell r="CP130">
            <v>-32517.599999999999</v>
          </cell>
          <cell r="CQ130">
            <v>-32517.599999999999</v>
          </cell>
          <cell r="CR130">
            <v>-32517.599999999999</v>
          </cell>
          <cell r="CS130">
            <v>-32517.599999999999</v>
          </cell>
          <cell r="CT130">
            <v>-32517.599999999999</v>
          </cell>
          <cell r="CU130">
            <v>-32517.599999999999</v>
          </cell>
          <cell r="CV130">
            <v>-32517.599999999999</v>
          </cell>
          <cell r="CW130">
            <v>-32517.599999999999</v>
          </cell>
          <cell r="CX130">
            <v>987358.4</v>
          </cell>
          <cell r="CY130">
            <v>987358.4</v>
          </cell>
          <cell r="CZ130">
            <v>987358.4</v>
          </cell>
          <cell r="DA130">
            <v>55886391.590000004</v>
          </cell>
          <cell r="DD130">
            <v>10404257.697957151</v>
          </cell>
          <cell r="DE130">
            <v>10404257.697957151</v>
          </cell>
          <cell r="DF130">
            <v>10404257.697957151</v>
          </cell>
          <cell r="DG130">
            <v>10404257.697957151</v>
          </cell>
          <cell r="DH130">
            <v>10404257.697957151</v>
          </cell>
          <cell r="DI130">
            <v>10404257.697957151</v>
          </cell>
          <cell r="DJ130">
            <v>10404257.697957151</v>
          </cell>
          <cell r="DK130">
            <v>10404257.697957151</v>
          </cell>
          <cell r="DL130">
            <v>10404257.697957151</v>
          </cell>
          <cell r="DM130">
            <v>10404257.697957151</v>
          </cell>
          <cell r="DN130">
            <v>10404257.697957151</v>
          </cell>
          <cell r="DO130">
            <v>10404257.697957151</v>
          </cell>
          <cell r="DP130">
            <v>10404257.697957151</v>
          </cell>
        </row>
        <row r="131">
          <cell r="CO131">
            <v>2552015.42</v>
          </cell>
          <cell r="CP131">
            <v>2552015.42</v>
          </cell>
          <cell r="CQ131">
            <v>2552015.42</v>
          </cell>
          <cell r="CR131">
            <v>2552015.42</v>
          </cell>
          <cell r="CS131">
            <v>2552015.42</v>
          </cell>
          <cell r="CT131">
            <v>2552015.42</v>
          </cell>
          <cell r="CU131">
            <v>2552015.42</v>
          </cell>
          <cell r="CV131">
            <v>2552015.42</v>
          </cell>
          <cell r="CW131">
            <v>2552015.42</v>
          </cell>
          <cell r="CX131">
            <v>2711243.42</v>
          </cell>
          <cell r="CY131">
            <v>2711243.42</v>
          </cell>
          <cell r="CZ131">
            <v>2711243.42</v>
          </cell>
          <cell r="DA131">
            <v>2711243.42</v>
          </cell>
        </row>
        <row r="132">
          <cell r="CO132">
            <v>-92388928.060000002</v>
          </cell>
          <cell r="CP132">
            <v>-92388928.060000002</v>
          </cell>
          <cell r="CQ132">
            <v>-92388928.060000002</v>
          </cell>
          <cell r="CR132">
            <v>-92388928.060000002</v>
          </cell>
          <cell r="CS132">
            <v>-92388928.060000002</v>
          </cell>
          <cell r="CT132">
            <v>-92388928.060000002</v>
          </cell>
          <cell r="CU132">
            <v>-92388928.060000002</v>
          </cell>
          <cell r="CV132">
            <v>-92388928.060000002</v>
          </cell>
          <cell r="CW132">
            <v>-92388928.060000002</v>
          </cell>
          <cell r="CX132">
            <v>-104900402.06</v>
          </cell>
          <cell r="CY132">
            <v>-104900402.06</v>
          </cell>
          <cell r="CZ132">
            <v>-104900402.06</v>
          </cell>
          <cell r="DA132">
            <v>-104900402.06</v>
          </cell>
          <cell r="DD132">
            <v>-66079238.923372284</v>
          </cell>
          <cell r="DE132">
            <v>-66435162.434862569</v>
          </cell>
          <cell r="DF132">
            <v>-66881383.529129699</v>
          </cell>
          <cell r="DG132">
            <v>-67258104.229619369</v>
          </cell>
          <cell r="DH132">
            <v>-67735415.093433991</v>
          </cell>
          <cell r="DI132">
            <v>-68149003.97154966</v>
          </cell>
          <cell r="DJ132">
            <v>-68429774.728378922</v>
          </cell>
          <cell r="DK132">
            <v>-68604358.292862251</v>
          </cell>
          <cell r="DL132">
            <v>-68835090.187464923</v>
          </cell>
          <cell r="DM132">
            <v>-68936402.552719101</v>
          </cell>
          <cell r="DN132">
            <v>-69013256.769042224</v>
          </cell>
          <cell r="DO132">
            <v>-69019002.919672593</v>
          </cell>
          <cell r="DP132">
            <v>-69070982.167450726</v>
          </cell>
        </row>
        <row r="133">
          <cell r="CO133">
            <v>-6214197.7599999998</v>
          </cell>
          <cell r="CP133">
            <v>-6214197.7599999998</v>
          </cell>
          <cell r="CQ133">
            <v>-6214197.7599999998</v>
          </cell>
          <cell r="CR133">
            <v>-6214197.7599999998</v>
          </cell>
          <cell r="CS133">
            <v>-6214197.7599999998</v>
          </cell>
          <cell r="CT133">
            <v>-6214197.7599999998</v>
          </cell>
          <cell r="CU133">
            <v>-6214197.7599999998</v>
          </cell>
          <cell r="CV133">
            <v>-6214197.7599999998</v>
          </cell>
          <cell r="CW133">
            <v>-6214197.7599999998</v>
          </cell>
          <cell r="CX133">
            <v>-7055737.7599999998</v>
          </cell>
          <cell r="CY133">
            <v>-7055737.7599999998</v>
          </cell>
          <cell r="CZ133">
            <v>-7055737.7599999998</v>
          </cell>
          <cell r="DA133">
            <v>-7055737.7599999998</v>
          </cell>
        </row>
        <row r="134">
          <cell r="CO134">
            <v>-780542.41</v>
          </cell>
          <cell r="CP134">
            <v>-780542.41</v>
          </cell>
          <cell r="CQ134">
            <v>-780542.41</v>
          </cell>
          <cell r="CR134">
            <v>-780542.41</v>
          </cell>
          <cell r="CS134">
            <v>-780542.41</v>
          </cell>
          <cell r="CT134">
            <v>-780542.41</v>
          </cell>
          <cell r="CU134">
            <v>-780542.41</v>
          </cell>
          <cell r="CV134">
            <v>-780542.41</v>
          </cell>
          <cell r="CW134">
            <v>-780542.41</v>
          </cell>
          <cell r="CX134">
            <v>-3925004.41</v>
          </cell>
          <cell r="CY134">
            <v>-3925004.41</v>
          </cell>
          <cell r="CZ134">
            <v>-3925004.41</v>
          </cell>
          <cell r="DA134">
            <v>-3925004.41</v>
          </cell>
          <cell r="DD134">
            <v>-58142</v>
          </cell>
          <cell r="DE134">
            <v>-58142</v>
          </cell>
          <cell r="DF134">
            <v>-58142</v>
          </cell>
          <cell r="DG134">
            <v>-58142</v>
          </cell>
          <cell r="DH134">
            <v>-58142</v>
          </cell>
          <cell r="DI134">
            <v>-58142</v>
          </cell>
          <cell r="DJ134">
            <v>-58142</v>
          </cell>
          <cell r="DK134">
            <v>-58142</v>
          </cell>
          <cell r="DL134">
            <v>-58142</v>
          </cell>
          <cell r="DM134">
            <v>-58142</v>
          </cell>
          <cell r="DN134">
            <v>-58142</v>
          </cell>
          <cell r="DO134">
            <v>-58142</v>
          </cell>
          <cell r="DP134">
            <v>-58142</v>
          </cell>
        </row>
        <row r="135"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</row>
        <row r="136">
          <cell r="CO136">
            <v>-51093.79</v>
          </cell>
          <cell r="CP136">
            <v>-51093.79</v>
          </cell>
          <cell r="CQ136">
            <v>-51093.79</v>
          </cell>
          <cell r="CR136">
            <v>-51093.79</v>
          </cell>
          <cell r="CS136">
            <v>-51093.79</v>
          </cell>
          <cell r="CT136">
            <v>-51093.79</v>
          </cell>
          <cell r="CU136">
            <v>-51093.79</v>
          </cell>
          <cell r="CV136">
            <v>-51093.79</v>
          </cell>
          <cell r="CW136">
            <v>-51093.79</v>
          </cell>
          <cell r="CX136">
            <v>-264000.78999999998</v>
          </cell>
          <cell r="CY136">
            <v>-264000.78999999998</v>
          </cell>
          <cell r="CZ136">
            <v>-264000.78999999998</v>
          </cell>
          <cell r="DA136">
            <v>-264000.78999999998</v>
          </cell>
        </row>
      </sheetData>
      <sheetData sheetId="3">
        <row r="130">
          <cell r="CO130">
            <v>5362764.1100000003</v>
          </cell>
          <cell r="CP130">
            <v>5362764.1100000003</v>
          </cell>
          <cell r="CQ130">
            <v>5362764.1100000003</v>
          </cell>
          <cell r="CR130">
            <v>5362764.1100000003</v>
          </cell>
          <cell r="CS130">
            <v>5362764.1100000003</v>
          </cell>
          <cell r="CT130">
            <v>5362764.1100000003</v>
          </cell>
          <cell r="CU130">
            <v>5362764.1100000003</v>
          </cell>
          <cell r="CV130">
            <v>5362764.1100000003</v>
          </cell>
          <cell r="CW130">
            <v>5362764.1100000003</v>
          </cell>
          <cell r="CX130">
            <v>5329001.1100000003</v>
          </cell>
          <cell r="CY130">
            <v>5329001.1100000003</v>
          </cell>
          <cell r="CZ130">
            <v>5329001.1100000003</v>
          </cell>
          <cell r="DA130">
            <v>-88686352.489999995</v>
          </cell>
          <cell r="DD130">
            <v>970543</v>
          </cell>
          <cell r="DE130">
            <v>970543</v>
          </cell>
          <cell r="DF130">
            <v>970543</v>
          </cell>
          <cell r="DG130">
            <v>970543</v>
          </cell>
          <cell r="DH130">
            <v>970543</v>
          </cell>
          <cell r="DI130">
            <v>970543</v>
          </cell>
          <cell r="DJ130">
            <v>970543</v>
          </cell>
          <cell r="DK130">
            <v>970543</v>
          </cell>
          <cell r="DL130">
            <v>970543</v>
          </cell>
          <cell r="DM130">
            <v>970543</v>
          </cell>
          <cell r="DN130">
            <v>970543</v>
          </cell>
          <cell r="DO130">
            <v>970543</v>
          </cell>
          <cell r="DP130">
            <v>970543</v>
          </cell>
        </row>
        <row r="131">
          <cell r="CO131">
            <v>360708.03</v>
          </cell>
          <cell r="CP131">
            <v>360708.03</v>
          </cell>
          <cell r="CQ131">
            <v>360708.03</v>
          </cell>
          <cell r="CR131">
            <v>360708.03</v>
          </cell>
          <cell r="CS131">
            <v>360708.03</v>
          </cell>
          <cell r="CT131">
            <v>360708.03</v>
          </cell>
          <cell r="CU131">
            <v>360708.03</v>
          </cell>
          <cell r="CV131">
            <v>360708.03</v>
          </cell>
          <cell r="CW131">
            <v>360708.03</v>
          </cell>
          <cell r="CX131">
            <v>-3953368.97</v>
          </cell>
          <cell r="CY131">
            <v>-3953368.97</v>
          </cell>
          <cell r="CZ131">
            <v>-3953368.97</v>
          </cell>
          <cell r="DA131">
            <v>-4295498.97</v>
          </cell>
        </row>
        <row r="132">
          <cell r="CO132">
            <v>-14184926.470000001</v>
          </cell>
          <cell r="CP132">
            <v>-14184926.470000001</v>
          </cell>
          <cell r="CQ132">
            <v>-14184926.470000001</v>
          </cell>
          <cell r="CR132">
            <v>-20240086.41</v>
          </cell>
          <cell r="CS132">
            <v>-20240086.41</v>
          </cell>
          <cell r="CT132">
            <v>-20240086.41</v>
          </cell>
          <cell r="CU132">
            <v>-23511807.98</v>
          </cell>
          <cell r="CV132">
            <v>-23511807.98</v>
          </cell>
          <cell r="CW132">
            <v>-23511807.98</v>
          </cell>
          <cell r="CX132">
            <v>-4497512.3499999996</v>
          </cell>
          <cell r="CY132">
            <v>-4497512.3499999996</v>
          </cell>
          <cell r="CZ132">
            <v>-4497512.3499999996</v>
          </cell>
          <cell r="DA132">
            <v>78361738.650000006</v>
          </cell>
          <cell r="DD132">
            <v>-7308834.5964813242</v>
          </cell>
          <cell r="DE132">
            <v>-7307887.676988543</v>
          </cell>
          <cell r="DF132">
            <v>-7306940.7574957628</v>
          </cell>
          <cell r="DG132">
            <v>-7305993.8380029825</v>
          </cell>
          <cell r="DH132">
            <v>-7305046.9185102014</v>
          </cell>
          <cell r="DI132">
            <v>-7304099.9990174202</v>
          </cell>
          <cell r="DJ132">
            <v>-7303153.07952464</v>
          </cell>
          <cell r="DK132">
            <v>-7301882.626405824</v>
          </cell>
          <cell r="DL132">
            <v>-7300612.173287007</v>
          </cell>
          <cell r="DM132">
            <v>-7299341.7201681901</v>
          </cell>
          <cell r="DN132">
            <v>-7298071.2670493731</v>
          </cell>
          <cell r="DO132">
            <v>-7296784.3657190325</v>
          </cell>
          <cell r="DP132">
            <v>-7295497.4643886909</v>
          </cell>
        </row>
        <row r="133">
          <cell r="CO133">
            <v>10180223.26</v>
          </cell>
          <cell r="CP133">
            <v>10180223.26</v>
          </cell>
          <cell r="CQ133">
            <v>10180223.26</v>
          </cell>
          <cell r="CR133">
            <v>9920716.4000000004</v>
          </cell>
          <cell r="CS133">
            <v>9920716.4000000004</v>
          </cell>
          <cell r="CT133">
            <v>9920716.4000000004</v>
          </cell>
          <cell r="CU133">
            <v>9780499.7699999996</v>
          </cell>
          <cell r="CV133">
            <v>9780499.7699999996</v>
          </cell>
          <cell r="CW133">
            <v>9780499.7699999996</v>
          </cell>
          <cell r="CX133">
            <v>9612961.8499999996</v>
          </cell>
          <cell r="CY133">
            <v>9612961.8499999996</v>
          </cell>
          <cell r="CZ133">
            <v>9612961.8499999996</v>
          </cell>
          <cell r="DA133">
            <v>9275871.8499999996</v>
          </cell>
        </row>
        <row r="134">
          <cell r="CO134">
            <v>-1549454.22</v>
          </cell>
          <cell r="CP134">
            <v>-1549454.22</v>
          </cell>
          <cell r="CQ134">
            <v>-1549454.22</v>
          </cell>
          <cell r="CR134">
            <v>-1549454.22</v>
          </cell>
          <cell r="CS134">
            <v>-1549454.22</v>
          </cell>
          <cell r="CT134">
            <v>-1549454.22</v>
          </cell>
          <cell r="CU134">
            <v>-1549454.22</v>
          </cell>
          <cell r="CV134">
            <v>-1549454.22</v>
          </cell>
          <cell r="CW134">
            <v>-1549454.22</v>
          </cell>
          <cell r="CX134">
            <v>-1497249.22</v>
          </cell>
          <cell r="CY134">
            <v>-1497249.22</v>
          </cell>
          <cell r="CZ134">
            <v>-1497249.22</v>
          </cell>
          <cell r="DA134">
            <v>-302417.21999999997</v>
          </cell>
          <cell r="DD134">
            <v>-835959</v>
          </cell>
          <cell r="DE134">
            <v>-835959</v>
          </cell>
          <cell r="DF134">
            <v>-835959</v>
          </cell>
          <cell r="DG134">
            <v>-835959</v>
          </cell>
          <cell r="DH134">
            <v>-835959</v>
          </cell>
          <cell r="DI134">
            <v>-835959</v>
          </cell>
          <cell r="DJ134">
            <v>-835959</v>
          </cell>
          <cell r="DK134">
            <v>-835959</v>
          </cell>
          <cell r="DL134">
            <v>-835959</v>
          </cell>
          <cell r="DM134">
            <v>-835959</v>
          </cell>
          <cell r="DN134">
            <v>-835959</v>
          </cell>
          <cell r="DO134">
            <v>-835959</v>
          </cell>
          <cell r="DP134">
            <v>-835959</v>
          </cell>
        </row>
        <row r="135"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</row>
        <row r="136">
          <cell r="CO136">
            <v>-104217.93</v>
          </cell>
          <cell r="CP136">
            <v>-104217.93</v>
          </cell>
          <cell r="CQ136">
            <v>-104217.93</v>
          </cell>
          <cell r="CR136">
            <v>-104217.93</v>
          </cell>
          <cell r="CS136">
            <v>-104217.93</v>
          </cell>
          <cell r="CT136">
            <v>-104217.93</v>
          </cell>
          <cell r="CU136">
            <v>-104217.93</v>
          </cell>
          <cell r="CV136">
            <v>-104217.93</v>
          </cell>
          <cell r="CW136">
            <v>-104217.93</v>
          </cell>
          <cell r="CX136">
            <v>-100706.93</v>
          </cell>
          <cell r="CY136">
            <v>-100706.93</v>
          </cell>
          <cell r="CZ136">
            <v>-100706.93</v>
          </cell>
          <cell r="DA136">
            <v>-307370.93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 B.5F1"/>
    </sheetNames>
    <sheetDataSet>
      <sheetData sheetId="0">
        <row r="7">
          <cell r="S7">
            <v>-35309596.780000001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20"/>
  <sheetViews>
    <sheetView workbookViewId="0">
      <selection sqref="A1:C4"/>
    </sheetView>
  </sheetViews>
  <sheetFormatPr defaultRowHeight="15"/>
  <cols>
    <col min="1" max="1" width="12.33203125" customWidth="1"/>
    <col min="2" max="2" width="40.33203125" customWidth="1"/>
    <col min="3" max="3" width="17.21875" customWidth="1"/>
    <col min="7" max="7" width="11" bestFit="1" customWidth="1"/>
  </cols>
  <sheetData>
    <row r="1" spans="1:3">
      <c r="A1" s="1175" t="s">
        <v>350</v>
      </c>
      <c r="B1" s="1175"/>
      <c r="C1" s="1175"/>
    </row>
    <row r="2" spans="1:3">
      <c r="A2" s="1176" t="s">
        <v>1680</v>
      </c>
      <c r="B2" s="1176"/>
      <c r="C2" s="1176"/>
    </row>
    <row r="3" spans="1:3">
      <c r="A3" s="1177" t="s">
        <v>1527</v>
      </c>
      <c r="B3" s="1177"/>
      <c r="C3" s="1177"/>
    </row>
    <row r="4" spans="1:3">
      <c r="A4" s="1177" t="s">
        <v>1526</v>
      </c>
      <c r="B4" s="1177"/>
      <c r="C4" s="1177"/>
    </row>
    <row r="5" spans="1:3">
      <c r="A5" s="300"/>
      <c r="B5" s="300"/>
      <c r="C5" s="300"/>
    </row>
    <row r="6" spans="1:3">
      <c r="A6" s="300"/>
      <c r="B6" s="300"/>
      <c r="C6" s="300"/>
    </row>
    <row r="8" spans="1:3">
      <c r="A8" s="58" t="s">
        <v>59</v>
      </c>
      <c r="B8" s="58" t="s">
        <v>993</v>
      </c>
      <c r="C8" s="58" t="s">
        <v>692</v>
      </c>
    </row>
    <row r="10" spans="1:3">
      <c r="A10" s="53" t="s">
        <v>171</v>
      </c>
      <c r="B10" s="303" t="s">
        <v>820</v>
      </c>
      <c r="C10" s="171" t="s">
        <v>1429</v>
      </c>
    </row>
    <row r="11" spans="1:3">
      <c r="A11" s="53" t="s">
        <v>821</v>
      </c>
      <c r="B11" s="303" t="s">
        <v>272</v>
      </c>
      <c r="C11" s="171" t="s">
        <v>1430</v>
      </c>
    </row>
    <row r="12" spans="1:3">
      <c r="A12" s="53" t="s">
        <v>822</v>
      </c>
      <c r="B12" s="303" t="s">
        <v>823</v>
      </c>
      <c r="C12" s="171" t="s">
        <v>1431</v>
      </c>
    </row>
    <row r="13" spans="1:3">
      <c r="A13" s="53" t="s">
        <v>824</v>
      </c>
      <c r="B13" s="303" t="s">
        <v>825</v>
      </c>
      <c r="C13" s="171" t="s">
        <v>1432</v>
      </c>
    </row>
    <row r="14" spans="1:3">
      <c r="A14" s="53" t="s">
        <v>835</v>
      </c>
      <c r="B14" s="303" t="s">
        <v>468</v>
      </c>
      <c r="C14" s="171" t="s">
        <v>1433</v>
      </c>
    </row>
    <row r="15" spans="1:3">
      <c r="A15" s="53" t="s">
        <v>826</v>
      </c>
      <c r="B15" s="303" t="s">
        <v>827</v>
      </c>
      <c r="C15" s="171" t="s">
        <v>1434</v>
      </c>
    </row>
    <row r="16" spans="1:3">
      <c r="A16" s="53" t="s">
        <v>828</v>
      </c>
      <c r="B16" s="303" t="s">
        <v>829</v>
      </c>
      <c r="C16" s="171" t="s">
        <v>1435</v>
      </c>
    </row>
    <row r="17" spans="1:3">
      <c r="A17" s="53" t="s">
        <v>379</v>
      </c>
      <c r="B17" s="303" t="s">
        <v>127</v>
      </c>
      <c r="C17" s="171" t="s">
        <v>1436</v>
      </c>
    </row>
    <row r="18" spans="1:3">
      <c r="A18" s="53" t="s">
        <v>830</v>
      </c>
      <c r="B18" s="303" t="s">
        <v>831</v>
      </c>
      <c r="C18" s="171" t="s">
        <v>1437</v>
      </c>
    </row>
    <row r="19" spans="1:3">
      <c r="A19" s="53" t="s">
        <v>832</v>
      </c>
      <c r="B19" s="303" t="s">
        <v>833</v>
      </c>
      <c r="C19" s="171" t="s">
        <v>1438</v>
      </c>
    </row>
    <row r="20" spans="1:3">
      <c r="A20" s="53" t="s">
        <v>834</v>
      </c>
      <c r="B20" s="303" t="s">
        <v>25</v>
      </c>
      <c r="C20" s="171" t="s">
        <v>1439</v>
      </c>
    </row>
  </sheetData>
  <mergeCells count="4">
    <mergeCell ref="A1:C1"/>
    <mergeCell ref="A2:C2"/>
    <mergeCell ref="A3:C3"/>
    <mergeCell ref="A4:C4"/>
  </mergeCells>
  <phoneticPr fontId="22" type="noConversion"/>
  <hyperlinks>
    <hyperlink ref="B10" location="'Cover A'!A1" display="Summary"/>
    <hyperlink ref="B11" location="'Cover B'!A1" display="Rate Base"/>
    <hyperlink ref="B12" location="'Cover C'!A1" display="Operating Income (Revenues &amp; Expenses)"/>
    <hyperlink ref="B13" location="'Cover D'!A1" display="Adjustments to Operating Income by Account"/>
    <hyperlink ref="B14" location="'Cover E'!A1" display="Income Tax Calculation"/>
    <hyperlink ref="B15" location="'Cover F'!A1" display="Rule F Compliance Adjustments"/>
    <hyperlink ref="B16" location="G.1!A1" display="Payroll Analysis"/>
    <hyperlink ref="B17" location="H.1!A1" display="Gross Revenue Conversion Factor"/>
    <hyperlink ref="B18" location="I.1!A1" display="Comparative Income Statements"/>
    <hyperlink ref="B19" location="'J-1 Base'!A1" display="Cost of Capital"/>
    <hyperlink ref="B20" location="K!A1" display="Comparative Financial Data"/>
  </hyperlinks>
  <pageMargins left="0.91" right="0.75" top="1" bottom="1" header="0.5" footer="0.5"/>
  <pageSetup scale="9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S262"/>
  <sheetViews>
    <sheetView view="pageBreakPreview" zoomScale="60" zoomScaleNormal="70" workbookViewId="0">
      <pane ySplit="12" topLeftCell="A13" activePane="bottomLeft" state="frozen"/>
      <selection activeCell="F59" sqref="F59:F60"/>
      <selection pane="bottomLeft" activeCell="T48" sqref="T48"/>
    </sheetView>
  </sheetViews>
  <sheetFormatPr defaultRowHeight="15"/>
  <cols>
    <col min="1" max="1" width="4.5546875" style="80" customWidth="1"/>
    <col min="2" max="2" width="9.33203125" style="80" customWidth="1"/>
    <col min="3" max="3" width="33.88671875" style="80" customWidth="1"/>
    <col min="4" max="4" width="13.77734375" style="80" customWidth="1"/>
    <col min="5" max="5" width="10.33203125" style="80" customWidth="1"/>
    <col min="6" max="6" width="14.21875" style="80" customWidth="1"/>
    <col min="7" max="7" width="12.6640625" style="857" bestFit="1" customWidth="1"/>
    <col min="8" max="8" width="13.5546875" style="857" customWidth="1"/>
    <col min="9" max="9" width="13.109375" style="80" bestFit="1" customWidth="1"/>
    <col min="10" max="10" width="3.21875" style="80" customWidth="1"/>
    <col min="11" max="11" width="13.5546875" style="80" bestFit="1" customWidth="1"/>
    <col min="12" max="12" width="12.6640625" style="857" bestFit="1" customWidth="1"/>
    <col min="13" max="13" width="9.77734375" style="857" bestFit="1" customWidth="1"/>
    <col min="14" max="14" width="14.77734375" style="80" bestFit="1" customWidth="1"/>
    <col min="15" max="15" width="5" style="80" customWidth="1"/>
    <col min="16" max="17" width="12" style="80" bestFit="1" customWidth="1"/>
    <col min="18" max="16384" width="8.88671875" style="80"/>
  </cols>
  <sheetData>
    <row r="1" spans="1:17">
      <c r="A1" s="1180" t="str">
        <f>'Table of Contents'!A1:C1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</row>
    <row r="2" spans="1:17">
      <c r="A2" s="1180" t="str">
        <f>'Table of Contents'!A2:C2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</row>
    <row r="3" spans="1:17">
      <c r="A3" s="1180" t="s">
        <v>1127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  <c r="M3" s="1180"/>
      <c r="N3" s="1180"/>
    </row>
    <row r="4" spans="1:17" ht="15.75">
      <c r="A4" s="1181" t="str">
        <f>'B.1 B'!A4</f>
        <v>as of December 31, 2017</v>
      </c>
      <c r="B4" s="1181"/>
      <c r="C4" s="1181"/>
      <c r="D4" s="1181"/>
      <c r="E4" s="1181"/>
      <c r="F4" s="1181"/>
      <c r="G4" s="1181"/>
      <c r="H4" s="1181"/>
      <c r="I4" s="1181"/>
      <c r="J4" s="1181"/>
      <c r="K4" s="1181"/>
      <c r="L4" s="1181"/>
      <c r="M4" s="1181"/>
      <c r="N4" s="1181"/>
    </row>
    <row r="5" spans="1:17" ht="15.75">
      <c r="A5" s="150"/>
      <c r="B5" s="150"/>
      <c r="C5" s="150"/>
      <c r="D5" s="731"/>
      <c r="E5" s="150"/>
      <c r="F5" s="150"/>
      <c r="G5" s="860"/>
      <c r="H5" s="860"/>
      <c r="I5" s="81"/>
      <c r="J5" s="81"/>
      <c r="K5" s="150"/>
      <c r="P5" s="906"/>
    </row>
    <row r="6" spans="1:17" ht="15.75">
      <c r="A6" s="88" t="str">
        <f>'B.1 B'!A6</f>
        <v>Data:__X___Base Period______Forecasted Period</v>
      </c>
      <c r="B6" s="81"/>
      <c r="C6" s="81"/>
      <c r="D6" s="81"/>
      <c r="E6" s="906"/>
      <c r="F6" s="81"/>
      <c r="G6" s="860"/>
      <c r="K6" s="81"/>
      <c r="N6" s="1060" t="s">
        <v>1443</v>
      </c>
    </row>
    <row r="7" spans="1:17">
      <c r="A7" s="88" t="str">
        <f>'B.1 B'!A7</f>
        <v>Type of Filing:___X____Original________Updated ________Revised</v>
      </c>
      <c r="B7" s="88"/>
      <c r="C7" s="81"/>
      <c r="D7" s="81"/>
      <c r="E7" s="81"/>
      <c r="F7" s="81"/>
      <c r="G7" s="860"/>
      <c r="I7" s="88"/>
      <c r="J7" s="88"/>
      <c r="K7" s="81"/>
      <c r="N7" s="1033" t="s">
        <v>1018</v>
      </c>
    </row>
    <row r="8" spans="1:17">
      <c r="A8" s="1033" t="str">
        <f>'B.1 B'!A8</f>
        <v>Workpaper Reference No(s).</v>
      </c>
      <c r="B8" s="74"/>
      <c r="C8" s="74"/>
      <c r="D8" s="74"/>
      <c r="E8" s="74"/>
      <c r="F8" s="74"/>
      <c r="G8" s="76"/>
      <c r="H8" s="1032"/>
      <c r="I8" s="1033"/>
      <c r="J8" s="1033"/>
      <c r="K8" s="74"/>
      <c r="L8" s="1032"/>
      <c r="M8" s="1032"/>
      <c r="N8" s="1033" t="str">
        <f>'B.1 B'!F8</f>
        <v>Witness:   Waller</v>
      </c>
    </row>
    <row r="9" spans="1:17">
      <c r="A9" s="1035"/>
      <c r="B9" s="829"/>
      <c r="C9" s="1056"/>
      <c r="D9" s="391"/>
      <c r="E9" s="829"/>
      <c r="F9" s="829"/>
      <c r="G9" s="893"/>
      <c r="H9" s="1036"/>
      <c r="I9" s="1037"/>
      <c r="J9" s="1033"/>
      <c r="K9" s="391"/>
      <c r="L9" s="895"/>
      <c r="M9" s="895"/>
      <c r="N9" s="1038"/>
    </row>
    <row r="10" spans="1:17">
      <c r="A10" s="1039"/>
      <c r="B10" s="74"/>
      <c r="C10" s="1057"/>
      <c r="D10" s="1041"/>
      <c r="E10" s="74"/>
      <c r="F10" s="74"/>
      <c r="G10" s="76" t="s">
        <v>13</v>
      </c>
      <c r="H10" s="75" t="s">
        <v>11</v>
      </c>
      <c r="I10" s="1040"/>
      <c r="J10" s="1033"/>
      <c r="K10" s="1041"/>
      <c r="L10" s="76" t="s">
        <v>13</v>
      </c>
      <c r="M10" s="75" t="s">
        <v>11</v>
      </c>
      <c r="N10" s="1040"/>
    </row>
    <row r="11" spans="1:17" ht="15.75">
      <c r="A11" s="1039" t="s">
        <v>94</v>
      </c>
      <c r="B11" s="75" t="s">
        <v>269</v>
      </c>
      <c r="C11" s="484" t="s">
        <v>217</v>
      </c>
      <c r="D11" s="1061" t="s">
        <v>1346</v>
      </c>
      <c r="E11" s="75"/>
      <c r="F11" s="75" t="s">
        <v>10</v>
      </c>
      <c r="G11" s="75" t="s">
        <v>14</v>
      </c>
      <c r="H11" s="75" t="s">
        <v>600</v>
      </c>
      <c r="I11" s="484" t="s">
        <v>12</v>
      </c>
      <c r="J11" s="75"/>
      <c r="K11" s="1042" t="s">
        <v>46</v>
      </c>
      <c r="L11" s="75" t="s">
        <v>14</v>
      </c>
      <c r="M11" s="75" t="s">
        <v>600</v>
      </c>
      <c r="N11" s="484" t="s">
        <v>12</v>
      </c>
    </row>
    <row r="12" spans="1:17" ht="15.75">
      <c r="A12" s="1043" t="s">
        <v>100</v>
      </c>
      <c r="B12" s="186" t="s">
        <v>100</v>
      </c>
      <c r="C12" s="1044" t="s">
        <v>300</v>
      </c>
      <c r="D12" s="1062" t="s">
        <v>106</v>
      </c>
      <c r="E12" s="186" t="s">
        <v>995</v>
      </c>
      <c r="F12" s="186" t="s">
        <v>106</v>
      </c>
      <c r="G12" s="186" t="s">
        <v>633</v>
      </c>
      <c r="H12" s="186" t="s">
        <v>633</v>
      </c>
      <c r="I12" s="1044" t="s">
        <v>105</v>
      </c>
      <c r="J12" s="75"/>
      <c r="K12" s="1062" t="s">
        <v>99</v>
      </c>
      <c r="L12" s="186" t="s">
        <v>633</v>
      </c>
      <c r="M12" s="186" t="s">
        <v>633</v>
      </c>
      <c r="N12" s="1044" t="s">
        <v>105</v>
      </c>
      <c r="P12" s="427"/>
      <c r="Q12" s="427"/>
    </row>
    <row r="13" spans="1:17">
      <c r="A13" s="75"/>
      <c r="B13" s="75"/>
      <c r="C13" s="75"/>
      <c r="D13" s="75"/>
      <c r="E13" s="75"/>
      <c r="F13" s="75"/>
      <c r="G13" s="75"/>
      <c r="H13" s="75"/>
      <c r="I13" s="75"/>
      <c r="J13" s="75"/>
      <c r="K13" s="75"/>
    </row>
    <row r="14" spans="1:17" ht="15.75">
      <c r="B14" s="946" t="s">
        <v>6</v>
      </c>
      <c r="J14" s="809"/>
    </row>
    <row r="15" spans="1:17">
      <c r="A15" s="858">
        <v>1</v>
      </c>
      <c r="B15" s="81"/>
      <c r="C15" s="619" t="s">
        <v>301</v>
      </c>
    </row>
    <row r="16" spans="1:17">
      <c r="A16" s="858">
        <f>A15+1</f>
        <v>2</v>
      </c>
      <c r="B16" s="512">
        <v>30100</v>
      </c>
      <c r="C16" s="88" t="s">
        <v>295</v>
      </c>
      <c r="D16" s="345">
        <f>[3]Reserve!$Q112</f>
        <v>8329.7199999999993</v>
      </c>
      <c r="E16" s="345">
        <v>0</v>
      </c>
      <c r="F16" s="345">
        <f>D16-E16</f>
        <v>8329.7199999999993</v>
      </c>
      <c r="G16" s="464">
        <v>1</v>
      </c>
      <c r="H16" s="464">
        <f>$G$16</f>
        <v>1</v>
      </c>
      <c r="I16" s="345">
        <f>F16*G16*H16</f>
        <v>8329.7199999999993</v>
      </c>
      <c r="J16" s="920"/>
      <c r="K16" s="345">
        <f>[3]Reserve!$C112</f>
        <v>8329.7199999999993</v>
      </c>
      <c r="L16" s="464">
        <f t="shared" ref="L16:M17" si="0">$G$16</f>
        <v>1</v>
      </c>
      <c r="M16" s="464">
        <f t="shared" si="0"/>
        <v>1</v>
      </c>
      <c r="N16" s="345">
        <f>K16*L16*M16</f>
        <v>8329.7199999999993</v>
      </c>
    </row>
    <row r="17" spans="1:14">
      <c r="A17" s="858">
        <f t="shared" ref="A17:A80" si="1">A16+1</f>
        <v>3</v>
      </c>
      <c r="B17" s="512">
        <v>30200</v>
      </c>
      <c r="C17" s="88" t="s">
        <v>154</v>
      </c>
      <c r="D17" s="345">
        <f>[3]Reserve!$Q113</f>
        <v>119852.69</v>
      </c>
      <c r="E17" s="428">
        <v>0</v>
      </c>
      <c r="F17" s="428">
        <f>D17-E17</f>
        <v>119852.69</v>
      </c>
      <c r="G17" s="464">
        <f>$G$16</f>
        <v>1</v>
      </c>
      <c r="H17" s="464">
        <f>$G$16</f>
        <v>1</v>
      </c>
      <c r="I17" s="428">
        <f>F17*G17*H17</f>
        <v>119852.69</v>
      </c>
      <c r="K17" s="345">
        <f>[3]Reserve!$C113</f>
        <v>119852.68999999996</v>
      </c>
      <c r="L17" s="464">
        <f t="shared" si="0"/>
        <v>1</v>
      </c>
      <c r="M17" s="464">
        <f t="shared" si="0"/>
        <v>1</v>
      </c>
      <c r="N17" s="428">
        <f>K17*L17*M17</f>
        <v>119852.68999999996</v>
      </c>
    </row>
    <row r="18" spans="1:14">
      <c r="A18" s="858">
        <f t="shared" si="1"/>
        <v>4</v>
      </c>
      <c r="B18" s="512"/>
      <c r="C18" s="88"/>
      <c r="D18" s="1063"/>
      <c r="E18" s="1063"/>
      <c r="F18" s="1063"/>
      <c r="G18" s="464"/>
      <c r="H18" s="464"/>
      <c r="I18" s="1063"/>
      <c r="K18" s="1063"/>
      <c r="N18" s="1063"/>
    </row>
    <row r="19" spans="1:14">
      <c r="A19" s="858">
        <f t="shared" si="1"/>
        <v>5</v>
      </c>
      <c r="B19" s="706"/>
      <c r="C19" s="88" t="s">
        <v>1405</v>
      </c>
      <c r="D19" s="345">
        <f>SUM(D16:D18)</f>
        <v>128182.41</v>
      </c>
      <c r="E19" s="345">
        <f>SUM(E16:E18)</f>
        <v>0</v>
      </c>
      <c r="F19" s="345">
        <f>SUM(F16:F18)</f>
        <v>128182.41</v>
      </c>
      <c r="G19" s="464"/>
      <c r="H19" s="464"/>
      <c r="I19" s="345">
        <f>SUM(I16:I18)</f>
        <v>128182.41</v>
      </c>
      <c r="K19" s="345">
        <f>SUM(K16:K18)</f>
        <v>128182.40999999996</v>
      </c>
      <c r="N19" s="345">
        <f>SUM(N16:N17)</f>
        <v>128182.40999999996</v>
      </c>
    </row>
    <row r="20" spans="1:14">
      <c r="A20" s="858">
        <f t="shared" si="1"/>
        <v>6</v>
      </c>
      <c r="B20" s="706"/>
      <c r="C20" s="81"/>
      <c r="D20" s="428"/>
      <c r="E20" s="428"/>
      <c r="F20" s="428"/>
      <c r="G20" s="464"/>
      <c r="H20" s="464"/>
      <c r="I20" s="428"/>
      <c r="K20" s="428"/>
      <c r="N20" s="428"/>
    </row>
    <row r="21" spans="1:14">
      <c r="A21" s="858">
        <f t="shared" si="1"/>
        <v>7</v>
      </c>
      <c r="B21" s="706"/>
      <c r="C21" s="619" t="s">
        <v>155</v>
      </c>
      <c r="D21" s="428"/>
      <c r="E21" s="428"/>
      <c r="F21" s="428"/>
      <c r="G21" s="464"/>
      <c r="H21" s="464"/>
      <c r="I21" s="428"/>
      <c r="K21" s="428"/>
      <c r="N21" s="428"/>
    </row>
    <row r="22" spans="1:14">
      <c r="A22" s="858">
        <f t="shared" si="1"/>
        <v>8</v>
      </c>
      <c r="B22" s="512">
        <v>32540</v>
      </c>
      <c r="C22" s="88" t="s">
        <v>162</v>
      </c>
      <c r="D22" s="345">
        <f>[3]Reserve!$Q114</f>
        <v>0</v>
      </c>
      <c r="E22" s="345">
        <v>0</v>
      </c>
      <c r="F22" s="345">
        <f t="shared" ref="F22:F24" si="2">D22-E22</f>
        <v>0</v>
      </c>
      <c r="G22" s="464">
        <f t="shared" ref="G22:H24" si="3">$G$16</f>
        <v>1</v>
      </c>
      <c r="H22" s="464">
        <f t="shared" si="3"/>
        <v>1</v>
      </c>
      <c r="I22" s="345">
        <f t="shared" ref="I22:I24" si="4">F22*G22*H22</f>
        <v>0</v>
      </c>
      <c r="K22" s="345">
        <f>[3]Reserve!$C114</f>
        <v>0</v>
      </c>
      <c r="L22" s="464">
        <f t="shared" ref="L22:M24" si="5">$G$16</f>
        <v>1</v>
      </c>
      <c r="M22" s="464">
        <f t="shared" si="5"/>
        <v>1</v>
      </c>
      <c r="N22" s="345">
        <f t="shared" ref="N22:N24" si="6">K22*L22*M22</f>
        <v>0</v>
      </c>
    </row>
    <row r="23" spans="1:14">
      <c r="A23" s="858">
        <f t="shared" si="1"/>
        <v>9</v>
      </c>
      <c r="B23" s="512">
        <v>33202</v>
      </c>
      <c r="C23" s="88" t="s">
        <v>602</v>
      </c>
      <c r="D23" s="345">
        <f>[3]Reserve!$Q115</f>
        <v>0</v>
      </c>
      <c r="E23" s="428">
        <v>0</v>
      </c>
      <c r="F23" s="428">
        <f t="shared" si="2"/>
        <v>0</v>
      </c>
      <c r="G23" s="464">
        <f t="shared" si="3"/>
        <v>1</v>
      </c>
      <c r="H23" s="464">
        <f t="shared" si="3"/>
        <v>1</v>
      </c>
      <c r="I23" s="428">
        <f t="shared" si="4"/>
        <v>0</v>
      </c>
      <c r="K23" s="345">
        <f>[3]Reserve!$C115</f>
        <v>0</v>
      </c>
      <c r="L23" s="464">
        <f t="shared" si="5"/>
        <v>1</v>
      </c>
      <c r="M23" s="464">
        <f t="shared" si="5"/>
        <v>1</v>
      </c>
      <c r="N23" s="428">
        <f t="shared" si="6"/>
        <v>0</v>
      </c>
    </row>
    <row r="24" spans="1:14">
      <c r="A24" s="858">
        <f t="shared" si="1"/>
        <v>10</v>
      </c>
      <c r="B24" s="512">
        <v>33400</v>
      </c>
      <c r="C24" s="88" t="s">
        <v>1129</v>
      </c>
      <c r="D24" s="345">
        <f>[3]Reserve!$Q116</f>
        <v>0</v>
      </c>
      <c r="E24" s="428">
        <v>0</v>
      </c>
      <c r="F24" s="428">
        <f t="shared" si="2"/>
        <v>0</v>
      </c>
      <c r="G24" s="464">
        <f t="shared" si="3"/>
        <v>1</v>
      </c>
      <c r="H24" s="464">
        <f t="shared" si="3"/>
        <v>1</v>
      </c>
      <c r="I24" s="428">
        <f t="shared" si="4"/>
        <v>0</v>
      </c>
      <c r="K24" s="345">
        <f>[3]Reserve!$C116</f>
        <v>0</v>
      </c>
      <c r="L24" s="464">
        <f t="shared" si="5"/>
        <v>1</v>
      </c>
      <c r="M24" s="464">
        <f t="shared" si="5"/>
        <v>1</v>
      </c>
      <c r="N24" s="428">
        <f t="shared" si="6"/>
        <v>0</v>
      </c>
    </row>
    <row r="25" spans="1:14">
      <c r="A25" s="858">
        <f t="shared" si="1"/>
        <v>11</v>
      </c>
      <c r="B25" s="512"/>
      <c r="C25" s="81"/>
      <c r="D25" s="1063"/>
      <c r="E25" s="428"/>
      <c r="F25" s="428"/>
      <c r="G25" s="464"/>
      <c r="H25" s="464"/>
      <c r="I25" s="428"/>
      <c r="K25" s="1063"/>
      <c r="N25" s="428"/>
    </row>
    <row r="26" spans="1:14">
      <c r="A26" s="858">
        <f t="shared" si="1"/>
        <v>12</v>
      </c>
      <c r="B26" s="512"/>
      <c r="C26" s="81" t="s">
        <v>1404</v>
      </c>
      <c r="D26" s="345">
        <f>SUM(D22:D25)</f>
        <v>0</v>
      </c>
      <c r="E26" s="345">
        <f>SUM(E22:E25)</f>
        <v>0</v>
      </c>
      <c r="F26" s="345">
        <f>SUM(F22:F25)</f>
        <v>0</v>
      </c>
      <c r="G26" s="464"/>
      <c r="H26" s="464"/>
      <c r="I26" s="345">
        <f>SUM(I22:I25)</f>
        <v>0</v>
      </c>
      <c r="K26" s="345">
        <f>SUM(K22:K25)</f>
        <v>0</v>
      </c>
      <c r="N26" s="345">
        <f>SUM(N22:N25)</f>
        <v>0</v>
      </c>
    </row>
    <row r="27" spans="1:14">
      <c r="A27" s="858">
        <f t="shared" si="1"/>
        <v>13</v>
      </c>
      <c r="B27" s="512"/>
      <c r="C27" s="88"/>
      <c r="D27" s="428"/>
      <c r="E27" s="428"/>
      <c r="F27" s="428"/>
      <c r="G27" s="464"/>
      <c r="H27" s="464"/>
      <c r="I27" s="428"/>
      <c r="K27" s="428"/>
      <c r="N27" s="428"/>
    </row>
    <row r="28" spans="1:14">
      <c r="A28" s="858">
        <f t="shared" si="1"/>
        <v>14</v>
      </c>
      <c r="B28" s="512"/>
      <c r="C28" s="619" t="s">
        <v>280</v>
      </c>
      <c r="D28" s="428"/>
      <c r="E28" s="428"/>
      <c r="F28" s="428"/>
      <c r="G28" s="464"/>
      <c r="H28" s="464"/>
      <c r="I28" s="428"/>
      <c r="K28" s="428"/>
      <c r="N28" s="428"/>
    </row>
    <row r="29" spans="1:14">
      <c r="A29" s="858">
        <f t="shared" si="1"/>
        <v>15</v>
      </c>
      <c r="B29" s="512">
        <v>35010</v>
      </c>
      <c r="C29" s="88" t="s">
        <v>296</v>
      </c>
      <c r="D29" s="345">
        <f>[3]Reserve!$Q117</f>
        <v>0</v>
      </c>
      <c r="E29" s="345">
        <v>0</v>
      </c>
      <c r="F29" s="345">
        <f t="shared" ref="F29:F45" si="7">D29-E29</f>
        <v>0</v>
      </c>
      <c r="G29" s="464">
        <f t="shared" ref="G29:H45" si="8">$G$16</f>
        <v>1</v>
      </c>
      <c r="H29" s="464">
        <f t="shared" si="8"/>
        <v>1</v>
      </c>
      <c r="I29" s="345">
        <f t="shared" ref="I29:I45" si="9">F29*G29*H29</f>
        <v>0</v>
      </c>
      <c r="K29" s="345">
        <f>[3]Reserve!$C117</f>
        <v>0</v>
      </c>
      <c r="L29" s="464">
        <f t="shared" ref="L29:M45" si="10">$G$16</f>
        <v>1</v>
      </c>
      <c r="M29" s="464">
        <f t="shared" si="10"/>
        <v>1</v>
      </c>
      <c r="N29" s="345">
        <f t="shared" ref="N29:N45" si="11">K29*L29*M29</f>
        <v>0</v>
      </c>
    </row>
    <row r="30" spans="1:14">
      <c r="A30" s="858">
        <f t="shared" si="1"/>
        <v>16</v>
      </c>
      <c r="B30" s="512">
        <v>35020</v>
      </c>
      <c r="C30" s="88" t="s">
        <v>799</v>
      </c>
      <c r="D30" s="345">
        <f>[3]Reserve!$Q118</f>
        <v>4427.651974999997</v>
      </c>
      <c r="E30" s="428">
        <v>0</v>
      </c>
      <c r="F30" s="428">
        <f t="shared" si="7"/>
        <v>4427.651974999997</v>
      </c>
      <c r="G30" s="464">
        <f t="shared" si="8"/>
        <v>1</v>
      </c>
      <c r="H30" s="464">
        <f t="shared" si="8"/>
        <v>1</v>
      </c>
      <c r="I30" s="428">
        <f t="shared" si="9"/>
        <v>4427.651974999997</v>
      </c>
      <c r="K30" s="345">
        <f>[3]Reserve!$C118</f>
        <v>4421.7924548076899</v>
      </c>
      <c r="L30" s="464">
        <f t="shared" si="10"/>
        <v>1</v>
      </c>
      <c r="M30" s="464">
        <f t="shared" si="10"/>
        <v>1</v>
      </c>
      <c r="N30" s="428">
        <f t="shared" si="11"/>
        <v>4421.7924548076899</v>
      </c>
    </row>
    <row r="31" spans="1:14">
      <c r="A31" s="858">
        <f t="shared" si="1"/>
        <v>17</v>
      </c>
      <c r="B31" s="512">
        <v>35100</v>
      </c>
      <c r="C31" s="88" t="s">
        <v>977</v>
      </c>
      <c r="D31" s="345">
        <f>[3]Reserve!$Q119</f>
        <v>5765.9301864999998</v>
      </c>
      <c r="E31" s="428">
        <v>0</v>
      </c>
      <c r="F31" s="428">
        <f t="shared" si="7"/>
        <v>5765.9301864999998</v>
      </c>
      <c r="G31" s="464">
        <f t="shared" si="8"/>
        <v>1</v>
      </c>
      <c r="H31" s="464">
        <f t="shared" si="8"/>
        <v>1</v>
      </c>
      <c r="I31" s="428">
        <f t="shared" si="9"/>
        <v>5765.9301864999998</v>
      </c>
      <c r="K31" s="345">
        <f>[3]Reserve!$C119</f>
        <v>5616.3354348269249</v>
      </c>
      <c r="L31" s="464">
        <f t="shared" si="10"/>
        <v>1</v>
      </c>
      <c r="M31" s="464">
        <f t="shared" si="10"/>
        <v>1</v>
      </c>
      <c r="N31" s="428">
        <f t="shared" si="11"/>
        <v>5616.3354348269249</v>
      </c>
    </row>
    <row r="32" spans="1:14">
      <c r="A32" s="858">
        <f t="shared" si="1"/>
        <v>18</v>
      </c>
      <c r="B32" s="512">
        <v>35102</v>
      </c>
      <c r="C32" s="88" t="s">
        <v>281</v>
      </c>
      <c r="D32" s="345">
        <f>[3]Reserve!$Q120</f>
        <v>110372.64618999996</v>
      </c>
      <c r="E32" s="428">
        <v>0</v>
      </c>
      <c r="F32" s="428">
        <f t="shared" si="7"/>
        <v>110372.64618999996</v>
      </c>
      <c r="G32" s="464">
        <f t="shared" si="8"/>
        <v>1</v>
      </c>
      <c r="H32" s="464">
        <f t="shared" si="8"/>
        <v>1</v>
      </c>
      <c r="I32" s="428">
        <f t="shared" si="9"/>
        <v>110372.64618999996</v>
      </c>
      <c r="K32" s="345">
        <f>[3]Reserve!$C120</f>
        <v>109407.09089730766</v>
      </c>
      <c r="L32" s="464">
        <f t="shared" si="10"/>
        <v>1</v>
      </c>
      <c r="M32" s="464">
        <f t="shared" si="10"/>
        <v>1</v>
      </c>
      <c r="N32" s="428">
        <f t="shared" si="11"/>
        <v>109407.09089730766</v>
      </c>
    </row>
    <row r="33" spans="1:14">
      <c r="A33" s="858">
        <f t="shared" si="1"/>
        <v>19</v>
      </c>
      <c r="B33" s="512">
        <v>35103</v>
      </c>
      <c r="C33" s="88" t="s">
        <v>591</v>
      </c>
      <c r="D33" s="345">
        <f>[3]Reserve!$Q121</f>
        <v>20112.946548000007</v>
      </c>
      <c r="E33" s="428">
        <v>0</v>
      </c>
      <c r="F33" s="428">
        <f t="shared" si="7"/>
        <v>20112.946548000007</v>
      </c>
      <c r="G33" s="464">
        <f t="shared" si="8"/>
        <v>1</v>
      </c>
      <c r="H33" s="464">
        <f t="shared" si="8"/>
        <v>1</v>
      </c>
      <c r="I33" s="428">
        <f t="shared" si="9"/>
        <v>20112.946548000007</v>
      </c>
      <c r="K33" s="345">
        <f>[3]Reserve!$C121</f>
        <v>20006.509070615393</v>
      </c>
      <c r="L33" s="464">
        <f t="shared" si="10"/>
        <v>1</v>
      </c>
      <c r="M33" s="464">
        <f t="shared" si="10"/>
        <v>1</v>
      </c>
      <c r="N33" s="428">
        <f t="shared" si="11"/>
        <v>20006.509070615393</v>
      </c>
    </row>
    <row r="34" spans="1:14">
      <c r="A34" s="858">
        <f t="shared" si="1"/>
        <v>20</v>
      </c>
      <c r="B34" s="512">
        <v>35104</v>
      </c>
      <c r="C34" s="88" t="s">
        <v>592</v>
      </c>
      <c r="D34" s="345">
        <f>[3]Reserve!$Q122</f>
        <v>97024.036445000005</v>
      </c>
      <c r="E34" s="428">
        <v>0</v>
      </c>
      <c r="F34" s="428">
        <f t="shared" si="7"/>
        <v>97024.036445000005</v>
      </c>
      <c r="G34" s="464">
        <f t="shared" si="8"/>
        <v>1</v>
      </c>
      <c r="H34" s="464">
        <f t="shared" si="8"/>
        <v>1</v>
      </c>
      <c r="I34" s="428">
        <f t="shared" si="9"/>
        <v>97024.036445000005</v>
      </c>
      <c r="K34" s="345">
        <f>[3]Reserve!$C122</f>
        <v>96130.66981211539</v>
      </c>
      <c r="L34" s="464">
        <f t="shared" si="10"/>
        <v>1</v>
      </c>
      <c r="M34" s="464">
        <f t="shared" si="10"/>
        <v>1</v>
      </c>
      <c r="N34" s="428">
        <f t="shared" si="11"/>
        <v>96130.66981211539</v>
      </c>
    </row>
    <row r="35" spans="1:14">
      <c r="A35" s="858">
        <f t="shared" si="1"/>
        <v>21</v>
      </c>
      <c r="B35" s="512">
        <v>35200</v>
      </c>
      <c r="C35" s="88" t="s">
        <v>446</v>
      </c>
      <c r="D35" s="345">
        <f>[3]Reserve!$Q123</f>
        <v>1059935.652521</v>
      </c>
      <c r="E35" s="428">
        <v>0</v>
      </c>
      <c r="F35" s="428">
        <f t="shared" si="7"/>
        <v>1059935.652521</v>
      </c>
      <c r="G35" s="464">
        <f t="shared" si="8"/>
        <v>1</v>
      </c>
      <c r="H35" s="464">
        <f t="shared" si="8"/>
        <v>1</v>
      </c>
      <c r="I35" s="428">
        <f t="shared" si="9"/>
        <v>1059935.652521</v>
      </c>
      <c r="K35" s="345">
        <f>[3]Reserve!$C123</f>
        <v>1022096.0791402691</v>
      </c>
      <c r="L35" s="464">
        <f t="shared" si="10"/>
        <v>1</v>
      </c>
      <c r="M35" s="464">
        <f t="shared" si="10"/>
        <v>1</v>
      </c>
      <c r="N35" s="428">
        <f t="shared" si="11"/>
        <v>1022096.0791402691</v>
      </c>
    </row>
    <row r="36" spans="1:14">
      <c r="A36" s="858">
        <f t="shared" si="1"/>
        <v>22</v>
      </c>
      <c r="B36" s="512">
        <v>35201</v>
      </c>
      <c r="C36" s="88" t="s">
        <v>593</v>
      </c>
      <c r="D36" s="345">
        <f>[3]Reserve!$Q124</f>
        <v>1374503.0289769997</v>
      </c>
      <c r="E36" s="428">
        <v>0</v>
      </c>
      <c r="F36" s="428">
        <f t="shared" si="7"/>
        <v>1374503.0289769997</v>
      </c>
      <c r="G36" s="464">
        <f t="shared" si="8"/>
        <v>1</v>
      </c>
      <c r="H36" s="464">
        <f t="shared" si="8"/>
        <v>1</v>
      </c>
      <c r="I36" s="428">
        <f t="shared" si="9"/>
        <v>1374503.0289769997</v>
      </c>
      <c r="K36" s="345">
        <f>[3]Reserve!$C124</f>
        <v>1361668.0316476533</v>
      </c>
      <c r="L36" s="464">
        <f t="shared" si="10"/>
        <v>1</v>
      </c>
      <c r="M36" s="464">
        <f t="shared" si="10"/>
        <v>1</v>
      </c>
      <c r="N36" s="428">
        <f t="shared" si="11"/>
        <v>1361668.0316476533</v>
      </c>
    </row>
    <row r="37" spans="1:14">
      <c r="A37" s="858">
        <f t="shared" si="1"/>
        <v>23</v>
      </c>
      <c r="B37" s="512">
        <v>35202</v>
      </c>
      <c r="C37" s="88" t="s">
        <v>594</v>
      </c>
      <c r="D37" s="345">
        <f>[3]Reserve!$Q125</f>
        <v>458146.14000000007</v>
      </c>
      <c r="E37" s="428">
        <v>0</v>
      </c>
      <c r="F37" s="428">
        <f t="shared" si="7"/>
        <v>458146.14000000007</v>
      </c>
      <c r="G37" s="464">
        <f t="shared" si="8"/>
        <v>1</v>
      </c>
      <c r="H37" s="464">
        <f t="shared" si="8"/>
        <v>1</v>
      </c>
      <c r="I37" s="428">
        <f t="shared" si="9"/>
        <v>458146.14000000007</v>
      </c>
      <c r="K37" s="345">
        <f>[3]Reserve!$C125</f>
        <v>457625.5661538461</v>
      </c>
      <c r="L37" s="464">
        <f t="shared" si="10"/>
        <v>1</v>
      </c>
      <c r="M37" s="464">
        <f t="shared" si="10"/>
        <v>1</v>
      </c>
      <c r="N37" s="428">
        <f t="shared" si="11"/>
        <v>457625.5661538461</v>
      </c>
    </row>
    <row r="38" spans="1:14">
      <c r="A38" s="858">
        <f t="shared" si="1"/>
        <v>24</v>
      </c>
      <c r="B38" s="512">
        <v>35203</v>
      </c>
      <c r="C38" s="88" t="s">
        <v>347</v>
      </c>
      <c r="D38" s="345">
        <f>[3]Reserve!$Q126</f>
        <v>708765.77664000029</v>
      </c>
      <c r="E38" s="428">
        <v>0</v>
      </c>
      <c r="F38" s="428">
        <f t="shared" si="7"/>
        <v>708765.77664000029</v>
      </c>
      <c r="G38" s="464">
        <f t="shared" si="8"/>
        <v>1</v>
      </c>
      <c r="H38" s="464">
        <f t="shared" si="8"/>
        <v>1</v>
      </c>
      <c r="I38" s="428">
        <f t="shared" si="9"/>
        <v>708765.77664000029</v>
      </c>
      <c r="K38" s="345">
        <f>[3]Reserve!$C126</f>
        <v>693512.27909538476</v>
      </c>
      <c r="L38" s="464">
        <f t="shared" si="10"/>
        <v>1</v>
      </c>
      <c r="M38" s="464">
        <f t="shared" si="10"/>
        <v>1</v>
      </c>
      <c r="N38" s="428">
        <f t="shared" si="11"/>
        <v>693512.27909538476</v>
      </c>
    </row>
    <row r="39" spans="1:14">
      <c r="A39" s="858">
        <f t="shared" si="1"/>
        <v>25</v>
      </c>
      <c r="B39" s="512">
        <v>35210</v>
      </c>
      <c r="C39" s="88" t="s">
        <v>595</v>
      </c>
      <c r="D39" s="345">
        <f>[3]Reserve!$Q127</f>
        <v>167003.92765750005</v>
      </c>
      <c r="E39" s="428">
        <v>0</v>
      </c>
      <c r="F39" s="428">
        <f t="shared" si="7"/>
        <v>167003.92765750005</v>
      </c>
      <c r="G39" s="464">
        <f t="shared" si="8"/>
        <v>1</v>
      </c>
      <c r="H39" s="464">
        <f t="shared" si="8"/>
        <v>1</v>
      </c>
      <c r="I39" s="428">
        <f t="shared" si="9"/>
        <v>167003.92765750005</v>
      </c>
      <c r="K39" s="345">
        <f>[3]Reserve!$C127</f>
        <v>166691.50206163464</v>
      </c>
      <c r="L39" s="464">
        <f t="shared" si="10"/>
        <v>1</v>
      </c>
      <c r="M39" s="464">
        <f t="shared" si="10"/>
        <v>1</v>
      </c>
      <c r="N39" s="428">
        <f t="shared" si="11"/>
        <v>166691.50206163464</v>
      </c>
    </row>
    <row r="40" spans="1:14">
      <c r="A40" s="858">
        <f t="shared" si="1"/>
        <v>26</v>
      </c>
      <c r="B40" s="512">
        <v>35211</v>
      </c>
      <c r="C40" s="88" t="s">
        <v>596</v>
      </c>
      <c r="D40" s="345">
        <f>[3]Reserve!$Q128</f>
        <v>43114.562788000017</v>
      </c>
      <c r="E40" s="428">
        <v>0</v>
      </c>
      <c r="F40" s="428">
        <f t="shared" si="7"/>
        <v>43114.562788000017</v>
      </c>
      <c r="G40" s="464">
        <f t="shared" si="8"/>
        <v>1</v>
      </c>
      <c r="H40" s="464">
        <f t="shared" si="8"/>
        <v>1</v>
      </c>
      <c r="I40" s="428">
        <f t="shared" si="9"/>
        <v>43114.562788000017</v>
      </c>
      <c r="K40" s="345">
        <f>[3]Reserve!$C128</f>
        <v>42874.260750615394</v>
      </c>
      <c r="L40" s="464">
        <f t="shared" si="10"/>
        <v>1</v>
      </c>
      <c r="M40" s="464">
        <f t="shared" si="10"/>
        <v>1</v>
      </c>
      <c r="N40" s="428">
        <f t="shared" si="11"/>
        <v>42874.260750615394</v>
      </c>
    </row>
    <row r="41" spans="1:14">
      <c r="A41" s="858">
        <f t="shared" si="1"/>
        <v>27</v>
      </c>
      <c r="B41" s="512">
        <v>35301</v>
      </c>
      <c r="C41" s="81" t="s">
        <v>163</v>
      </c>
      <c r="D41" s="345">
        <f>[3]Reserve!$Q129</f>
        <v>139135.37244499996</v>
      </c>
      <c r="E41" s="428">
        <v>0</v>
      </c>
      <c r="F41" s="428">
        <f t="shared" si="7"/>
        <v>139135.37244499996</v>
      </c>
      <c r="G41" s="464">
        <f t="shared" si="8"/>
        <v>1</v>
      </c>
      <c r="H41" s="464">
        <f t="shared" si="8"/>
        <v>1</v>
      </c>
      <c r="I41" s="428">
        <f t="shared" si="9"/>
        <v>139135.37244499996</v>
      </c>
      <c r="K41" s="345">
        <f>[3]Reserve!$C129</f>
        <v>138412.45258134609</v>
      </c>
      <c r="L41" s="464">
        <f t="shared" si="10"/>
        <v>1</v>
      </c>
      <c r="M41" s="464">
        <f t="shared" si="10"/>
        <v>1</v>
      </c>
      <c r="N41" s="428">
        <f t="shared" si="11"/>
        <v>138412.45258134609</v>
      </c>
    </row>
    <row r="42" spans="1:14">
      <c r="A42" s="858">
        <f t="shared" si="1"/>
        <v>28</v>
      </c>
      <c r="B42" s="512">
        <v>35302</v>
      </c>
      <c r="C42" s="88" t="s">
        <v>602</v>
      </c>
      <c r="D42" s="345">
        <f>[3]Reserve!$Q130</f>
        <v>194114.34575050004</v>
      </c>
      <c r="E42" s="428">
        <v>0</v>
      </c>
      <c r="F42" s="428">
        <f t="shared" si="7"/>
        <v>194114.34575050004</v>
      </c>
      <c r="G42" s="464">
        <f t="shared" si="8"/>
        <v>1</v>
      </c>
      <c r="H42" s="464">
        <f t="shared" si="8"/>
        <v>1</v>
      </c>
      <c r="I42" s="428">
        <f t="shared" si="9"/>
        <v>194114.34575050004</v>
      </c>
      <c r="K42" s="345">
        <f>[3]Reserve!$C130</f>
        <v>193266.04693282695</v>
      </c>
      <c r="L42" s="464">
        <f t="shared" si="10"/>
        <v>1</v>
      </c>
      <c r="M42" s="464">
        <f t="shared" si="10"/>
        <v>1</v>
      </c>
      <c r="N42" s="428">
        <f t="shared" si="11"/>
        <v>193266.04693282695</v>
      </c>
    </row>
    <row r="43" spans="1:14">
      <c r="A43" s="858">
        <f t="shared" si="1"/>
        <v>29</v>
      </c>
      <c r="B43" s="512">
        <v>35400</v>
      </c>
      <c r="C43" s="88" t="s">
        <v>597</v>
      </c>
      <c r="D43" s="345">
        <f>[3]Reserve!$Q131</f>
        <v>469225.85444999981</v>
      </c>
      <c r="E43" s="428">
        <v>0</v>
      </c>
      <c r="F43" s="428">
        <f t="shared" si="7"/>
        <v>469225.85444999981</v>
      </c>
      <c r="G43" s="464">
        <f t="shared" si="8"/>
        <v>1</v>
      </c>
      <c r="H43" s="464">
        <f t="shared" si="8"/>
        <v>1</v>
      </c>
      <c r="I43" s="428">
        <f t="shared" si="9"/>
        <v>469225.85444999981</v>
      </c>
      <c r="K43" s="345">
        <f>[3]Reserve!$C131</f>
        <v>460914.83850576915</v>
      </c>
      <c r="L43" s="464">
        <f t="shared" si="10"/>
        <v>1</v>
      </c>
      <c r="M43" s="464">
        <f t="shared" si="10"/>
        <v>1</v>
      </c>
      <c r="N43" s="428">
        <f t="shared" si="11"/>
        <v>460914.83850576915</v>
      </c>
    </row>
    <row r="44" spans="1:14">
      <c r="A44" s="858">
        <f t="shared" si="1"/>
        <v>30</v>
      </c>
      <c r="B44" s="512">
        <v>35500</v>
      </c>
      <c r="C44" s="88" t="s">
        <v>1000</v>
      </c>
      <c r="D44" s="345">
        <f>[3]Reserve!$Q132</f>
        <v>195122.49316964822</v>
      </c>
      <c r="E44" s="428">
        <v>0</v>
      </c>
      <c r="F44" s="428">
        <f t="shared" si="7"/>
        <v>195122.49316964822</v>
      </c>
      <c r="G44" s="464">
        <f t="shared" si="8"/>
        <v>1</v>
      </c>
      <c r="H44" s="464">
        <f t="shared" si="8"/>
        <v>1</v>
      </c>
      <c r="I44" s="428">
        <f t="shared" si="9"/>
        <v>195122.49316964822</v>
      </c>
      <c r="K44" s="345">
        <f>[3]Reserve!$C132</f>
        <v>199502.75481482738</v>
      </c>
      <c r="L44" s="464">
        <f t="shared" si="10"/>
        <v>1</v>
      </c>
      <c r="M44" s="464">
        <f t="shared" si="10"/>
        <v>1</v>
      </c>
      <c r="N44" s="428">
        <f t="shared" si="11"/>
        <v>199502.75481482738</v>
      </c>
    </row>
    <row r="45" spans="1:14">
      <c r="A45" s="858">
        <f t="shared" si="1"/>
        <v>31</v>
      </c>
      <c r="B45" s="512">
        <v>35600</v>
      </c>
      <c r="C45" s="88" t="s">
        <v>1049</v>
      </c>
      <c r="D45" s="345">
        <f>[3]Reserve!$Q133</f>
        <v>177066.61036250004</v>
      </c>
      <c r="E45" s="1049">
        <v>0</v>
      </c>
      <c r="F45" s="1049">
        <f t="shared" si="7"/>
        <v>177066.61036250004</v>
      </c>
      <c r="G45" s="464">
        <f t="shared" si="8"/>
        <v>1</v>
      </c>
      <c r="H45" s="464">
        <f t="shared" si="8"/>
        <v>1</v>
      </c>
      <c r="I45" s="1049">
        <f t="shared" si="9"/>
        <v>177066.61036250004</v>
      </c>
      <c r="K45" s="345">
        <f>[3]Reserve!$C133</f>
        <v>172816.31548221159</v>
      </c>
      <c r="L45" s="464">
        <f t="shared" si="10"/>
        <v>1</v>
      </c>
      <c r="M45" s="464">
        <f t="shared" si="10"/>
        <v>1</v>
      </c>
      <c r="N45" s="1049">
        <f t="shared" si="11"/>
        <v>172816.31548221159</v>
      </c>
    </row>
    <row r="46" spans="1:14">
      <c r="A46" s="858">
        <f t="shared" si="1"/>
        <v>32</v>
      </c>
      <c r="B46" s="512"/>
      <c r="C46" s="88"/>
      <c r="D46" s="1063"/>
      <c r="E46" s="428"/>
      <c r="F46" s="428"/>
      <c r="G46" s="464"/>
      <c r="H46" s="464"/>
      <c r="I46" s="428"/>
      <c r="K46" s="1063"/>
      <c r="N46" s="428"/>
    </row>
    <row r="47" spans="1:14">
      <c r="A47" s="858">
        <f t="shared" si="1"/>
        <v>33</v>
      </c>
      <c r="B47" s="512"/>
      <c r="C47" s="88" t="s">
        <v>1403</v>
      </c>
      <c r="D47" s="345">
        <f>SUM(D29:D46)</f>
        <v>5223836.9761056481</v>
      </c>
      <c r="E47" s="345">
        <f>SUM(E29:E46)</f>
        <v>0</v>
      </c>
      <c r="F47" s="345">
        <f>SUM(F29:F46)</f>
        <v>5223836.9761056481</v>
      </c>
      <c r="G47" s="464"/>
      <c r="H47" s="464"/>
      <c r="I47" s="345">
        <f>SUM(I29:I46)</f>
        <v>5223836.9761056481</v>
      </c>
      <c r="K47" s="345">
        <f>SUM(K29:K46)</f>
        <v>5144962.5248360578</v>
      </c>
      <c r="N47" s="345">
        <f>SUM(N29:N46)</f>
        <v>5144962.5248360578</v>
      </c>
    </row>
    <row r="48" spans="1:14">
      <c r="A48" s="858">
        <f t="shared" si="1"/>
        <v>34</v>
      </c>
      <c r="B48" s="512"/>
      <c r="C48" s="88"/>
      <c r="D48" s="428"/>
      <c r="E48" s="428"/>
      <c r="F48" s="428"/>
      <c r="G48" s="464"/>
      <c r="H48" s="464"/>
      <c r="I48" s="428"/>
      <c r="K48" s="428"/>
      <c r="N48" s="428"/>
    </row>
    <row r="49" spans="1:14">
      <c r="A49" s="858">
        <f t="shared" si="1"/>
        <v>35</v>
      </c>
      <c r="B49" s="512"/>
      <c r="C49" s="619" t="s">
        <v>1001</v>
      </c>
      <c r="D49" s="428"/>
      <c r="E49" s="428"/>
      <c r="F49" s="428"/>
      <c r="G49" s="464"/>
      <c r="H49" s="464"/>
      <c r="I49" s="428"/>
      <c r="K49" s="428"/>
      <c r="N49" s="428"/>
    </row>
    <row r="50" spans="1:14">
      <c r="A50" s="858">
        <f t="shared" si="1"/>
        <v>36</v>
      </c>
      <c r="B50" s="512">
        <v>36510</v>
      </c>
      <c r="C50" s="88" t="s">
        <v>296</v>
      </c>
      <c r="D50" s="345">
        <f>[3]Reserve!$Q134</f>
        <v>0</v>
      </c>
      <c r="E50" s="345">
        <v>0</v>
      </c>
      <c r="F50" s="345">
        <f t="shared" ref="F50:F57" si="12">D50-E50</f>
        <v>0</v>
      </c>
      <c r="G50" s="464">
        <f t="shared" ref="G50:H57" si="13">$G$16</f>
        <v>1</v>
      </c>
      <c r="H50" s="464">
        <f t="shared" si="13"/>
        <v>1</v>
      </c>
      <c r="I50" s="345">
        <f t="shared" ref="I50:I57" si="14">F50*G50*H50</f>
        <v>0</v>
      </c>
      <c r="K50" s="345">
        <f>[3]Reserve!$C134</f>
        <v>0</v>
      </c>
      <c r="L50" s="464">
        <f t="shared" ref="L50:M57" si="15">$G$16</f>
        <v>1</v>
      </c>
      <c r="M50" s="464">
        <f t="shared" si="15"/>
        <v>1</v>
      </c>
      <c r="N50" s="345">
        <f t="shared" ref="N50:N57" si="16">K50*L50*M50</f>
        <v>0</v>
      </c>
    </row>
    <row r="51" spans="1:14">
      <c r="A51" s="858">
        <f t="shared" si="1"/>
        <v>37</v>
      </c>
      <c r="B51" s="512">
        <v>36520</v>
      </c>
      <c r="C51" s="88" t="s">
        <v>799</v>
      </c>
      <c r="D51" s="345">
        <f>[3]Reserve!$Q135</f>
        <v>409113.06380000006</v>
      </c>
      <c r="E51" s="428">
        <v>0</v>
      </c>
      <c r="F51" s="428">
        <f t="shared" si="12"/>
        <v>409113.06380000006</v>
      </c>
      <c r="G51" s="464">
        <f t="shared" si="13"/>
        <v>1</v>
      </c>
      <c r="H51" s="464">
        <f t="shared" si="13"/>
        <v>1</v>
      </c>
      <c r="I51" s="428">
        <f t="shared" si="14"/>
        <v>409113.06380000006</v>
      </c>
      <c r="K51" s="345">
        <f>[3]Reserve!$C135</f>
        <v>403342.381023077</v>
      </c>
      <c r="L51" s="464">
        <f t="shared" si="15"/>
        <v>1</v>
      </c>
      <c r="M51" s="464">
        <f t="shared" si="15"/>
        <v>1</v>
      </c>
      <c r="N51" s="428">
        <f t="shared" si="16"/>
        <v>403342.381023077</v>
      </c>
    </row>
    <row r="52" spans="1:14">
      <c r="A52" s="858">
        <f t="shared" si="1"/>
        <v>38</v>
      </c>
      <c r="B52" s="512">
        <v>36602</v>
      </c>
      <c r="C52" s="88" t="s">
        <v>863</v>
      </c>
      <c r="D52" s="345">
        <f>[3]Reserve!$Q136</f>
        <v>15443.385308000006</v>
      </c>
      <c r="E52" s="428">
        <v>0</v>
      </c>
      <c r="F52" s="428">
        <f t="shared" si="12"/>
        <v>15443.385308000006</v>
      </c>
      <c r="G52" s="464">
        <f t="shared" si="13"/>
        <v>1</v>
      </c>
      <c r="H52" s="464">
        <f t="shared" si="13"/>
        <v>1</v>
      </c>
      <c r="I52" s="428">
        <f t="shared" si="14"/>
        <v>15443.385308000006</v>
      </c>
      <c r="K52" s="345">
        <f>[3]Reserve!$C136</f>
        <v>15007.279506000001</v>
      </c>
      <c r="L52" s="464">
        <f t="shared" si="15"/>
        <v>1</v>
      </c>
      <c r="M52" s="464">
        <f t="shared" si="15"/>
        <v>1</v>
      </c>
      <c r="N52" s="428">
        <f t="shared" si="16"/>
        <v>15007.279506000001</v>
      </c>
    </row>
    <row r="53" spans="1:14">
      <c r="A53" s="858">
        <f t="shared" si="1"/>
        <v>39</v>
      </c>
      <c r="B53" s="512">
        <v>36603</v>
      </c>
      <c r="C53" s="88" t="s">
        <v>1002</v>
      </c>
      <c r="D53" s="345">
        <f>[3]Reserve!$Q137</f>
        <v>51335.343981000027</v>
      </c>
      <c r="E53" s="428">
        <v>0</v>
      </c>
      <c r="F53" s="428">
        <f t="shared" si="12"/>
        <v>51335.343981000027</v>
      </c>
      <c r="G53" s="464">
        <f t="shared" si="13"/>
        <v>1</v>
      </c>
      <c r="H53" s="464">
        <f t="shared" si="13"/>
        <v>1</v>
      </c>
      <c r="I53" s="428">
        <f t="shared" si="14"/>
        <v>51335.343981000027</v>
      </c>
      <c r="K53" s="345">
        <f>[3]Reserve!$C137</f>
        <v>50793.982994884631</v>
      </c>
      <c r="L53" s="464">
        <f t="shared" si="15"/>
        <v>1</v>
      </c>
      <c r="M53" s="464">
        <f t="shared" si="15"/>
        <v>1</v>
      </c>
      <c r="N53" s="428">
        <f t="shared" si="16"/>
        <v>50793.982994884631</v>
      </c>
    </row>
    <row r="54" spans="1:14">
      <c r="A54" s="858">
        <f t="shared" si="1"/>
        <v>40</v>
      </c>
      <c r="B54" s="512">
        <v>36700</v>
      </c>
      <c r="C54" s="88" t="s">
        <v>851</v>
      </c>
      <c r="D54" s="345">
        <f>[3]Reserve!$Q138</f>
        <v>106919.17599999998</v>
      </c>
      <c r="E54" s="428">
        <v>0</v>
      </c>
      <c r="F54" s="428">
        <f t="shared" si="12"/>
        <v>106919.17599999998</v>
      </c>
      <c r="G54" s="464">
        <f t="shared" si="13"/>
        <v>1</v>
      </c>
      <c r="H54" s="464">
        <f t="shared" si="13"/>
        <v>1</v>
      </c>
      <c r="I54" s="428">
        <f t="shared" si="14"/>
        <v>106919.17599999998</v>
      </c>
      <c r="K54" s="345">
        <f>[3]Reserve!$C138</f>
        <v>102946.03892307692</v>
      </c>
      <c r="L54" s="464">
        <f t="shared" si="15"/>
        <v>1</v>
      </c>
      <c r="M54" s="464">
        <f t="shared" si="15"/>
        <v>1</v>
      </c>
      <c r="N54" s="428">
        <f t="shared" si="16"/>
        <v>102946.03892307692</v>
      </c>
    </row>
    <row r="55" spans="1:14">
      <c r="A55" s="858">
        <f t="shared" si="1"/>
        <v>41</v>
      </c>
      <c r="B55" s="512">
        <v>36701</v>
      </c>
      <c r="C55" s="88" t="s">
        <v>16</v>
      </c>
      <c r="D55" s="345">
        <f>[3]Reserve!$Q139</f>
        <v>18265248.913403515</v>
      </c>
      <c r="E55" s="428">
        <v>0</v>
      </c>
      <c r="F55" s="428">
        <f t="shared" si="12"/>
        <v>18265248.913403515</v>
      </c>
      <c r="G55" s="464">
        <f t="shared" si="13"/>
        <v>1</v>
      </c>
      <c r="H55" s="464">
        <f t="shared" si="13"/>
        <v>1</v>
      </c>
      <c r="I55" s="428">
        <f t="shared" si="14"/>
        <v>18265248.913403515</v>
      </c>
      <c r="K55" s="345">
        <f>[3]Reserve!$C139</f>
        <v>18006126.327839408</v>
      </c>
      <c r="L55" s="464">
        <f t="shared" si="15"/>
        <v>1</v>
      </c>
      <c r="M55" s="464">
        <f t="shared" si="15"/>
        <v>1</v>
      </c>
      <c r="N55" s="428">
        <f t="shared" si="16"/>
        <v>18006126.327839408</v>
      </c>
    </row>
    <row r="56" spans="1:14">
      <c r="A56" s="858">
        <f t="shared" si="1"/>
        <v>42</v>
      </c>
      <c r="B56" s="512">
        <v>36900</v>
      </c>
      <c r="C56" s="88" t="s">
        <v>1003</v>
      </c>
      <c r="D56" s="345">
        <f>[3]Reserve!$Q140</f>
        <v>328270.10304800014</v>
      </c>
      <c r="E56" s="428">
        <v>0</v>
      </c>
      <c r="F56" s="428">
        <f t="shared" si="12"/>
        <v>328270.10304800014</v>
      </c>
      <c r="G56" s="464">
        <f t="shared" si="13"/>
        <v>1</v>
      </c>
      <c r="H56" s="464">
        <f t="shared" si="13"/>
        <v>1</v>
      </c>
      <c r="I56" s="428">
        <f t="shared" si="14"/>
        <v>328270.10304800014</v>
      </c>
      <c r="K56" s="345">
        <f>[3]Reserve!$C140</f>
        <v>320443.39197446161</v>
      </c>
      <c r="L56" s="464">
        <f t="shared" si="15"/>
        <v>1</v>
      </c>
      <c r="M56" s="464">
        <f t="shared" si="15"/>
        <v>1</v>
      </c>
      <c r="N56" s="428">
        <f t="shared" si="16"/>
        <v>320443.39197446161</v>
      </c>
    </row>
    <row r="57" spans="1:14">
      <c r="A57" s="858">
        <f t="shared" si="1"/>
        <v>43</v>
      </c>
      <c r="B57" s="512">
        <v>36901</v>
      </c>
      <c r="C57" s="88" t="s">
        <v>1003</v>
      </c>
      <c r="D57" s="345">
        <f>[3]Reserve!$Q141</f>
        <v>1696064.6682369986</v>
      </c>
      <c r="E57" s="1049">
        <v>0</v>
      </c>
      <c r="F57" s="1049">
        <f t="shared" si="12"/>
        <v>1696064.6682369986</v>
      </c>
      <c r="G57" s="464">
        <f t="shared" si="13"/>
        <v>1</v>
      </c>
      <c r="H57" s="464">
        <f t="shared" si="13"/>
        <v>1</v>
      </c>
      <c r="I57" s="1049">
        <f t="shared" si="14"/>
        <v>1696064.6682369986</v>
      </c>
      <c r="K57" s="345">
        <f>[3]Reserve!$C141</f>
        <v>1671780.4114484224</v>
      </c>
      <c r="L57" s="464">
        <f t="shared" si="15"/>
        <v>1</v>
      </c>
      <c r="M57" s="464">
        <f t="shared" si="15"/>
        <v>1</v>
      </c>
      <c r="N57" s="1049">
        <f t="shared" si="16"/>
        <v>1671780.4114484224</v>
      </c>
    </row>
    <row r="58" spans="1:14">
      <c r="A58" s="858">
        <f t="shared" si="1"/>
        <v>44</v>
      </c>
      <c r="B58" s="512"/>
      <c r="C58" s="88"/>
      <c r="D58" s="1063"/>
      <c r="E58" s="428"/>
      <c r="F58" s="428"/>
      <c r="G58" s="464"/>
      <c r="H58" s="464"/>
      <c r="I58" s="428"/>
      <c r="K58" s="1063"/>
      <c r="N58" s="428"/>
    </row>
    <row r="59" spans="1:14">
      <c r="A59" s="858">
        <f t="shared" si="1"/>
        <v>45</v>
      </c>
      <c r="B59" s="706"/>
      <c r="C59" s="88" t="s">
        <v>1402</v>
      </c>
      <c r="D59" s="345">
        <f>SUM(D50:D58)</f>
        <v>20872394.653777514</v>
      </c>
      <c r="E59" s="345">
        <f>SUM(E50:E58)</f>
        <v>0</v>
      </c>
      <c r="F59" s="345">
        <f>SUM(F50:F58)</f>
        <v>20872394.653777514</v>
      </c>
      <c r="G59" s="464"/>
      <c r="H59" s="464"/>
      <c r="I59" s="345">
        <f>SUM(I50:I58)</f>
        <v>20872394.653777514</v>
      </c>
      <c r="K59" s="345">
        <f>SUM(K50:K58)</f>
        <v>20570439.81370933</v>
      </c>
      <c r="N59" s="345">
        <f>SUM(N50:N58)</f>
        <v>20570439.81370933</v>
      </c>
    </row>
    <row r="60" spans="1:14">
      <c r="A60" s="858">
        <f t="shared" si="1"/>
        <v>46</v>
      </c>
      <c r="B60" s="706"/>
      <c r="C60" s="81"/>
      <c r="D60" s="428"/>
      <c r="E60" s="428"/>
      <c r="F60" s="428"/>
      <c r="G60" s="464"/>
      <c r="H60" s="464"/>
      <c r="I60" s="428"/>
      <c r="K60" s="428"/>
      <c r="N60" s="428"/>
    </row>
    <row r="61" spans="1:14">
      <c r="A61" s="858">
        <f t="shared" si="1"/>
        <v>47</v>
      </c>
      <c r="B61" s="706"/>
      <c r="C61" s="619" t="s">
        <v>303</v>
      </c>
      <c r="D61" s="428"/>
      <c r="E61" s="428"/>
      <c r="F61" s="428"/>
      <c r="G61" s="464"/>
      <c r="H61" s="464"/>
      <c r="I61" s="428"/>
      <c r="K61" s="428"/>
      <c r="N61" s="428"/>
    </row>
    <row r="62" spans="1:14">
      <c r="A62" s="858">
        <f t="shared" si="1"/>
        <v>48</v>
      </c>
      <c r="B62" s="512">
        <v>37400</v>
      </c>
      <c r="C62" s="88" t="s">
        <v>1157</v>
      </c>
      <c r="D62" s="345">
        <f>[3]Reserve!$Q142</f>
        <v>0</v>
      </c>
      <c r="E62" s="345">
        <v>0</v>
      </c>
      <c r="F62" s="345">
        <f t="shared" ref="F62:F81" si="17">D62-E62</f>
        <v>0</v>
      </c>
      <c r="G62" s="464">
        <f t="shared" ref="G62:H81" si="18">$G$16</f>
        <v>1</v>
      </c>
      <c r="H62" s="464">
        <f t="shared" si="18"/>
        <v>1</v>
      </c>
      <c r="I62" s="345">
        <f t="shared" ref="I62:I81" si="19">F62*G62*H62</f>
        <v>0</v>
      </c>
      <c r="K62" s="345">
        <f>[3]Reserve!$C142</f>
        <v>0</v>
      </c>
      <c r="L62" s="464">
        <f t="shared" ref="L62:M81" si="20">$G$16</f>
        <v>1</v>
      </c>
      <c r="M62" s="464">
        <f t="shared" si="20"/>
        <v>1</v>
      </c>
      <c r="N62" s="345">
        <f t="shared" ref="N62:N81" si="21">K62*L62*M62</f>
        <v>0</v>
      </c>
    </row>
    <row r="63" spans="1:14">
      <c r="A63" s="858">
        <f t="shared" si="1"/>
        <v>49</v>
      </c>
      <c r="B63" s="512">
        <v>37401</v>
      </c>
      <c r="C63" s="88" t="s">
        <v>296</v>
      </c>
      <c r="D63" s="345">
        <f>[3]Reserve!$Q143</f>
        <v>0</v>
      </c>
      <c r="E63" s="428">
        <v>0</v>
      </c>
      <c r="F63" s="428">
        <f t="shared" si="17"/>
        <v>0</v>
      </c>
      <c r="G63" s="464">
        <f t="shared" si="18"/>
        <v>1</v>
      </c>
      <c r="H63" s="464">
        <f t="shared" si="18"/>
        <v>1</v>
      </c>
      <c r="I63" s="428">
        <f t="shared" si="19"/>
        <v>0</v>
      </c>
      <c r="K63" s="345">
        <f>[3]Reserve!$C143</f>
        <v>0</v>
      </c>
      <c r="L63" s="464">
        <f t="shared" si="20"/>
        <v>1</v>
      </c>
      <c r="M63" s="464">
        <f t="shared" si="20"/>
        <v>1</v>
      </c>
      <c r="N63" s="428">
        <f t="shared" si="21"/>
        <v>0</v>
      </c>
    </row>
    <row r="64" spans="1:14">
      <c r="A64" s="858">
        <f t="shared" si="1"/>
        <v>50</v>
      </c>
      <c r="B64" s="512">
        <v>37402</v>
      </c>
      <c r="C64" s="88" t="s">
        <v>1007</v>
      </c>
      <c r="D64" s="345">
        <f>[3]Reserve!$Q144</f>
        <v>158628.07827421895</v>
      </c>
      <c r="E64" s="428">
        <v>0</v>
      </c>
      <c r="F64" s="428">
        <f t="shared" si="17"/>
        <v>158628.07827421895</v>
      </c>
      <c r="G64" s="464">
        <f t="shared" si="18"/>
        <v>1</v>
      </c>
      <c r="H64" s="464">
        <f t="shared" si="18"/>
        <v>1</v>
      </c>
      <c r="I64" s="428">
        <f t="shared" si="19"/>
        <v>158628.07827421895</v>
      </c>
      <c r="K64" s="345">
        <f>[3]Reserve!$C144</f>
        <v>140150.25409150112</v>
      </c>
      <c r="L64" s="464">
        <f t="shared" si="20"/>
        <v>1</v>
      </c>
      <c r="M64" s="464">
        <f t="shared" si="20"/>
        <v>1</v>
      </c>
      <c r="N64" s="428">
        <f t="shared" si="21"/>
        <v>140150.25409150112</v>
      </c>
    </row>
    <row r="65" spans="1:14">
      <c r="A65" s="858">
        <f t="shared" si="1"/>
        <v>51</v>
      </c>
      <c r="B65" s="512">
        <v>37403</v>
      </c>
      <c r="C65" s="88" t="s">
        <v>1004</v>
      </c>
      <c r="D65" s="345">
        <f>[3]Reserve!$Q145</f>
        <v>0</v>
      </c>
      <c r="E65" s="428">
        <v>0</v>
      </c>
      <c r="F65" s="428">
        <f t="shared" si="17"/>
        <v>0</v>
      </c>
      <c r="G65" s="464">
        <f t="shared" si="18"/>
        <v>1</v>
      </c>
      <c r="H65" s="464">
        <f t="shared" si="18"/>
        <v>1</v>
      </c>
      <c r="I65" s="428">
        <f t="shared" si="19"/>
        <v>0</v>
      </c>
      <c r="K65" s="345">
        <f>[3]Reserve!$C145</f>
        <v>0</v>
      </c>
      <c r="L65" s="464">
        <f t="shared" si="20"/>
        <v>1</v>
      </c>
      <c r="M65" s="464">
        <f t="shared" si="20"/>
        <v>1</v>
      </c>
      <c r="N65" s="428">
        <f t="shared" si="21"/>
        <v>0</v>
      </c>
    </row>
    <row r="66" spans="1:14">
      <c r="A66" s="858">
        <f t="shared" si="1"/>
        <v>52</v>
      </c>
      <c r="B66" s="512">
        <v>37500</v>
      </c>
      <c r="C66" s="88" t="s">
        <v>863</v>
      </c>
      <c r="D66" s="345">
        <f>[3]Reserve!$Q146</f>
        <v>102030.10566199994</v>
      </c>
      <c r="E66" s="428">
        <v>0</v>
      </c>
      <c r="F66" s="428">
        <f t="shared" si="17"/>
        <v>102030.10566199994</v>
      </c>
      <c r="G66" s="464">
        <f t="shared" si="18"/>
        <v>1</v>
      </c>
      <c r="H66" s="464">
        <f t="shared" si="18"/>
        <v>1</v>
      </c>
      <c r="I66" s="428">
        <f t="shared" si="19"/>
        <v>102030.10566199994</v>
      </c>
      <c r="K66" s="345">
        <f>[3]Reserve!$C146</f>
        <v>98567.576139769197</v>
      </c>
      <c r="L66" s="464">
        <f t="shared" si="20"/>
        <v>1</v>
      </c>
      <c r="M66" s="464">
        <f t="shared" si="20"/>
        <v>1</v>
      </c>
      <c r="N66" s="428">
        <f t="shared" si="21"/>
        <v>98567.576139769197</v>
      </c>
    </row>
    <row r="67" spans="1:14">
      <c r="A67" s="858">
        <f t="shared" si="1"/>
        <v>53</v>
      </c>
      <c r="B67" s="512">
        <v>37501</v>
      </c>
      <c r="C67" s="88" t="s">
        <v>1005</v>
      </c>
      <c r="D67" s="345">
        <f>[3]Reserve!$Q147</f>
        <v>67985.266739000057</v>
      </c>
      <c r="E67" s="428">
        <v>0</v>
      </c>
      <c r="F67" s="428">
        <f t="shared" si="17"/>
        <v>67985.266739000057</v>
      </c>
      <c r="G67" s="464">
        <f t="shared" si="18"/>
        <v>1</v>
      </c>
      <c r="H67" s="464">
        <f t="shared" si="18"/>
        <v>1</v>
      </c>
      <c r="I67" s="428">
        <f t="shared" si="19"/>
        <v>67985.266739000057</v>
      </c>
      <c r="K67" s="345">
        <f>[3]Reserve!$C147</f>
        <v>66957.147198961567</v>
      </c>
      <c r="L67" s="464">
        <f t="shared" si="20"/>
        <v>1</v>
      </c>
      <c r="M67" s="464">
        <f t="shared" si="20"/>
        <v>1</v>
      </c>
      <c r="N67" s="428">
        <f t="shared" si="21"/>
        <v>66957.147198961567</v>
      </c>
    </row>
    <row r="68" spans="1:14">
      <c r="A68" s="858">
        <f t="shared" si="1"/>
        <v>54</v>
      </c>
      <c r="B68" s="512">
        <v>37502</v>
      </c>
      <c r="C68" s="88" t="s">
        <v>1007</v>
      </c>
      <c r="D68" s="345">
        <f>[3]Reserve!$Q148</f>
        <v>33793.991156999997</v>
      </c>
      <c r="E68" s="428">
        <v>0</v>
      </c>
      <c r="F68" s="428">
        <f t="shared" si="17"/>
        <v>33793.991156999997</v>
      </c>
      <c r="G68" s="464">
        <f t="shared" si="18"/>
        <v>1</v>
      </c>
      <c r="H68" s="464">
        <f t="shared" si="18"/>
        <v>1</v>
      </c>
      <c r="I68" s="428">
        <f t="shared" si="19"/>
        <v>33793.991156999997</v>
      </c>
      <c r="K68" s="345">
        <f>[3]Reserve!$C148</f>
        <v>33317.470311499987</v>
      </c>
      <c r="L68" s="464">
        <f t="shared" si="20"/>
        <v>1</v>
      </c>
      <c r="M68" s="464">
        <f t="shared" si="20"/>
        <v>1</v>
      </c>
      <c r="N68" s="428">
        <f t="shared" si="21"/>
        <v>33317.470311499987</v>
      </c>
    </row>
    <row r="69" spans="1:14">
      <c r="A69" s="858">
        <f t="shared" si="1"/>
        <v>55</v>
      </c>
      <c r="B69" s="512">
        <v>37503</v>
      </c>
      <c r="C69" s="88" t="s">
        <v>1006</v>
      </c>
      <c r="D69" s="345">
        <f>[3]Reserve!$Q149</f>
        <v>1781.2423239999989</v>
      </c>
      <c r="E69" s="428">
        <v>0</v>
      </c>
      <c r="F69" s="428">
        <f t="shared" si="17"/>
        <v>1781.2423239999989</v>
      </c>
      <c r="G69" s="464">
        <f t="shared" si="18"/>
        <v>1</v>
      </c>
      <c r="H69" s="464">
        <f t="shared" si="18"/>
        <v>1</v>
      </c>
      <c r="I69" s="428">
        <f t="shared" si="19"/>
        <v>1781.2423239999989</v>
      </c>
      <c r="K69" s="345">
        <f>[3]Reserve!$C149</f>
        <v>1739.998702615384</v>
      </c>
      <c r="L69" s="464">
        <f t="shared" si="20"/>
        <v>1</v>
      </c>
      <c r="M69" s="464">
        <f t="shared" si="20"/>
        <v>1</v>
      </c>
      <c r="N69" s="428">
        <f t="shared" si="21"/>
        <v>1739.998702615384</v>
      </c>
    </row>
    <row r="70" spans="1:14">
      <c r="A70" s="858">
        <f t="shared" si="1"/>
        <v>56</v>
      </c>
      <c r="B70" s="512">
        <v>37600</v>
      </c>
      <c r="C70" s="88" t="s">
        <v>851</v>
      </c>
      <c r="D70" s="345">
        <f>[3]Reserve!$Q150</f>
        <v>12235479.171516361</v>
      </c>
      <c r="E70" s="428">
        <v>0</v>
      </c>
      <c r="F70" s="428">
        <f t="shared" si="17"/>
        <v>12235479.171516361</v>
      </c>
      <c r="G70" s="464">
        <f t="shared" si="18"/>
        <v>1</v>
      </c>
      <c r="H70" s="464">
        <f t="shared" si="18"/>
        <v>1</v>
      </c>
      <c r="I70" s="428">
        <f t="shared" si="19"/>
        <v>12235479.171516361</v>
      </c>
      <c r="K70" s="345">
        <f>[3]Reserve!$C150</f>
        <v>11987064.528873006</v>
      </c>
      <c r="L70" s="464">
        <f t="shared" si="20"/>
        <v>1</v>
      </c>
      <c r="M70" s="464">
        <f t="shared" si="20"/>
        <v>1</v>
      </c>
      <c r="N70" s="428">
        <f t="shared" si="21"/>
        <v>11987064.528873006</v>
      </c>
    </row>
    <row r="71" spans="1:14">
      <c r="A71" s="858">
        <f t="shared" si="1"/>
        <v>57</v>
      </c>
      <c r="B71" s="512">
        <v>37601</v>
      </c>
      <c r="C71" s="88" t="s">
        <v>16</v>
      </c>
      <c r="D71" s="345">
        <f>[3]Reserve!$Q151</f>
        <v>28704987.752647236</v>
      </c>
      <c r="E71" s="428">
        <v>0</v>
      </c>
      <c r="F71" s="428">
        <f t="shared" si="17"/>
        <v>28704987.752647236</v>
      </c>
      <c r="G71" s="464">
        <f t="shared" si="18"/>
        <v>1</v>
      </c>
      <c r="H71" s="464">
        <f t="shared" si="18"/>
        <v>1</v>
      </c>
      <c r="I71" s="428">
        <f t="shared" si="19"/>
        <v>28704987.752647236</v>
      </c>
      <c r="K71" s="345">
        <f>[3]Reserve!$C151</f>
        <v>28363166.556201007</v>
      </c>
      <c r="L71" s="464">
        <f t="shared" si="20"/>
        <v>1</v>
      </c>
      <c r="M71" s="464">
        <f t="shared" si="20"/>
        <v>1</v>
      </c>
      <c r="N71" s="428">
        <f t="shared" si="21"/>
        <v>28363166.556201007</v>
      </c>
    </row>
    <row r="72" spans="1:14">
      <c r="A72" s="858">
        <f t="shared" si="1"/>
        <v>58</v>
      </c>
      <c r="B72" s="512">
        <v>37602</v>
      </c>
      <c r="C72" s="88" t="s">
        <v>852</v>
      </c>
      <c r="D72" s="345">
        <f>[3]Reserve!$Q152</f>
        <v>14869647.322718861</v>
      </c>
      <c r="E72" s="428">
        <v>0</v>
      </c>
      <c r="F72" s="428">
        <f t="shared" si="17"/>
        <v>14869647.322718861</v>
      </c>
      <c r="G72" s="464">
        <f t="shared" si="18"/>
        <v>1</v>
      </c>
      <c r="H72" s="464">
        <f t="shared" si="18"/>
        <v>1</v>
      </c>
      <c r="I72" s="428">
        <f t="shared" si="19"/>
        <v>14869647.322718861</v>
      </c>
      <c r="K72" s="345">
        <f>[3]Reserve!$C152</f>
        <v>13922298.169434525</v>
      </c>
      <c r="L72" s="464">
        <f t="shared" si="20"/>
        <v>1</v>
      </c>
      <c r="M72" s="464">
        <f t="shared" si="20"/>
        <v>1</v>
      </c>
      <c r="N72" s="428">
        <f t="shared" si="21"/>
        <v>13922298.169434525</v>
      </c>
    </row>
    <row r="73" spans="1:14">
      <c r="A73" s="858">
        <f t="shared" si="1"/>
        <v>59</v>
      </c>
      <c r="B73" s="512">
        <v>37800</v>
      </c>
      <c r="C73" s="88" t="s">
        <v>230</v>
      </c>
      <c r="D73" s="345">
        <f>[3]Reserve!$Q153</f>
        <v>2286706.2080893051</v>
      </c>
      <c r="E73" s="428">
        <v>0</v>
      </c>
      <c r="F73" s="428">
        <f t="shared" si="17"/>
        <v>2286706.2080893051</v>
      </c>
      <c r="G73" s="464">
        <f t="shared" si="18"/>
        <v>1</v>
      </c>
      <c r="H73" s="464">
        <f t="shared" si="18"/>
        <v>1</v>
      </c>
      <c r="I73" s="428">
        <f t="shared" si="19"/>
        <v>2286706.2080893051</v>
      </c>
      <c r="K73" s="345">
        <f>[3]Reserve!$C153</f>
        <v>2148184.9745646669</v>
      </c>
      <c r="L73" s="464">
        <f t="shared" si="20"/>
        <v>1</v>
      </c>
      <c r="M73" s="464">
        <f t="shared" si="20"/>
        <v>1</v>
      </c>
      <c r="N73" s="428">
        <f t="shared" si="21"/>
        <v>2148184.9745646669</v>
      </c>
    </row>
    <row r="74" spans="1:14">
      <c r="A74" s="858">
        <f t="shared" si="1"/>
        <v>60</v>
      </c>
      <c r="B74" s="512">
        <v>37900</v>
      </c>
      <c r="C74" s="88" t="s">
        <v>1200</v>
      </c>
      <c r="D74" s="345">
        <f>[3]Reserve!$Q154</f>
        <v>836582.26880301081</v>
      </c>
      <c r="E74" s="428">
        <v>0</v>
      </c>
      <c r="F74" s="428">
        <f t="shared" si="17"/>
        <v>836582.26880301081</v>
      </c>
      <c r="G74" s="464">
        <f t="shared" si="18"/>
        <v>1</v>
      </c>
      <c r="H74" s="464">
        <f t="shared" si="18"/>
        <v>1</v>
      </c>
      <c r="I74" s="428">
        <f t="shared" si="19"/>
        <v>836582.26880301081</v>
      </c>
      <c r="K74" s="345">
        <f>[3]Reserve!$C154</f>
        <v>777394.2082683749</v>
      </c>
      <c r="L74" s="464">
        <f t="shared" si="20"/>
        <v>1</v>
      </c>
      <c r="M74" s="464">
        <f t="shared" si="20"/>
        <v>1</v>
      </c>
      <c r="N74" s="428">
        <f t="shared" si="21"/>
        <v>777394.2082683749</v>
      </c>
    </row>
    <row r="75" spans="1:14">
      <c r="A75" s="858">
        <f t="shared" si="1"/>
        <v>61</v>
      </c>
      <c r="B75" s="512">
        <v>37905</v>
      </c>
      <c r="C75" s="88" t="s">
        <v>732</v>
      </c>
      <c r="D75" s="345">
        <f>[3]Reserve!$Q155</f>
        <v>965480.00894361886</v>
      </c>
      <c r="E75" s="428">
        <v>0</v>
      </c>
      <c r="F75" s="428">
        <f t="shared" si="17"/>
        <v>965480.00894361886</v>
      </c>
      <c r="G75" s="464">
        <f t="shared" si="18"/>
        <v>1</v>
      </c>
      <c r="H75" s="464">
        <f t="shared" si="18"/>
        <v>1</v>
      </c>
      <c r="I75" s="428">
        <f t="shared" si="19"/>
        <v>965480.00894361886</v>
      </c>
      <c r="K75" s="345">
        <f>[3]Reserve!$C155</f>
        <v>940444.39655159088</v>
      </c>
      <c r="L75" s="464">
        <f t="shared" si="20"/>
        <v>1</v>
      </c>
      <c r="M75" s="464">
        <f t="shared" si="20"/>
        <v>1</v>
      </c>
      <c r="N75" s="428">
        <f t="shared" si="21"/>
        <v>940444.39655159088</v>
      </c>
    </row>
    <row r="76" spans="1:14">
      <c r="A76" s="858">
        <f t="shared" si="1"/>
        <v>62</v>
      </c>
      <c r="B76" s="512">
        <v>38000</v>
      </c>
      <c r="C76" s="88" t="s">
        <v>1061</v>
      </c>
      <c r="D76" s="345">
        <f>[3]Reserve!$Q156</f>
        <v>36490191.003144294</v>
      </c>
      <c r="E76" s="428">
        <v>0</v>
      </c>
      <c r="F76" s="428">
        <f t="shared" si="17"/>
        <v>36490191.003144294</v>
      </c>
      <c r="G76" s="464">
        <f t="shared" si="18"/>
        <v>1</v>
      </c>
      <c r="H76" s="464">
        <f t="shared" si="18"/>
        <v>1</v>
      </c>
      <c r="I76" s="428">
        <f t="shared" si="19"/>
        <v>36490191.003144294</v>
      </c>
      <c r="K76" s="345">
        <f>[3]Reserve!$C156</f>
        <v>36093808.135608226</v>
      </c>
      <c r="L76" s="464">
        <f t="shared" si="20"/>
        <v>1</v>
      </c>
      <c r="M76" s="464">
        <f t="shared" si="20"/>
        <v>1</v>
      </c>
      <c r="N76" s="428">
        <f t="shared" si="21"/>
        <v>36093808.135608226</v>
      </c>
    </row>
    <row r="77" spans="1:14">
      <c r="A77" s="858">
        <f t="shared" si="1"/>
        <v>63</v>
      </c>
      <c r="B77" s="512">
        <v>38100</v>
      </c>
      <c r="C77" s="88" t="s">
        <v>853</v>
      </c>
      <c r="D77" s="345">
        <f>[3]Reserve!$Q157</f>
        <v>16957783.094844159</v>
      </c>
      <c r="E77" s="428">
        <v>0</v>
      </c>
      <c r="F77" s="428">
        <f t="shared" si="17"/>
        <v>16957783.094844159</v>
      </c>
      <c r="G77" s="464">
        <f t="shared" si="18"/>
        <v>1</v>
      </c>
      <c r="H77" s="464">
        <f t="shared" si="18"/>
        <v>1</v>
      </c>
      <c r="I77" s="428">
        <f t="shared" si="19"/>
        <v>16957783.094844159</v>
      </c>
      <c r="K77" s="345">
        <f>[3]Reserve!$C157</f>
        <v>15884766.076107204</v>
      </c>
      <c r="L77" s="464">
        <f t="shared" si="20"/>
        <v>1</v>
      </c>
      <c r="M77" s="464">
        <f t="shared" si="20"/>
        <v>1</v>
      </c>
      <c r="N77" s="428">
        <f t="shared" si="21"/>
        <v>15884766.076107204</v>
      </c>
    </row>
    <row r="78" spans="1:14">
      <c r="A78" s="858">
        <f t="shared" si="1"/>
        <v>64</v>
      </c>
      <c r="B78" s="512">
        <v>38200</v>
      </c>
      <c r="C78" s="88" t="s">
        <v>447</v>
      </c>
      <c r="D78" s="345">
        <f>[3]Reserve!$Q158</f>
        <v>24018617.963506754</v>
      </c>
      <c r="E78" s="428">
        <v>0</v>
      </c>
      <c r="F78" s="428">
        <f t="shared" si="17"/>
        <v>24018617.963506754</v>
      </c>
      <c r="G78" s="464">
        <f t="shared" si="18"/>
        <v>1</v>
      </c>
      <c r="H78" s="464">
        <f t="shared" si="18"/>
        <v>1</v>
      </c>
      <c r="I78" s="428">
        <f t="shared" si="19"/>
        <v>24018617.963506754</v>
      </c>
      <c r="K78" s="345">
        <f>[3]Reserve!$C158</f>
        <v>23364617.52048701</v>
      </c>
      <c r="L78" s="464">
        <f t="shared" si="20"/>
        <v>1</v>
      </c>
      <c r="M78" s="464">
        <f t="shared" si="20"/>
        <v>1</v>
      </c>
      <c r="N78" s="428">
        <f t="shared" si="21"/>
        <v>23364617.52048701</v>
      </c>
    </row>
    <row r="79" spans="1:14">
      <c r="A79" s="858">
        <f t="shared" si="1"/>
        <v>65</v>
      </c>
      <c r="B79" s="512">
        <v>38300</v>
      </c>
      <c r="C79" s="88" t="s">
        <v>1062</v>
      </c>
      <c r="D79" s="345">
        <f>[3]Reserve!$Q159</f>
        <v>3701976.2719964143</v>
      </c>
      <c r="E79" s="428">
        <v>0</v>
      </c>
      <c r="F79" s="428">
        <f t="shared" si="17"/>
        <v>3701976.2719964143</v>
      </c>
      <c r="G79" s="464">
        <f t="shared" si="18"/>
        <v>1</v>
      </c>
      <c r="H79" s="464">
        <f t="shared" si="18"/>
        <v>1</v>
      </c>
      <c r="I79" s="428">
        <f t="shared" si="19"/>
        <v>3701976.2719964143</v>
      </c>
      <c r="K79" s="345">
        <f>[3]Reserve!$C159</f>
        <v>3534078.5885929666</v>
      </c>
      <c r="L79" s="464">
        <f t="shared" si="20"/>
        <v>1</v>
      </c>
      <c r="M79" s="464">
        <f t="shared" si="20"/>
        <v>1</v>
      </c>
      <c r="N79" s="428">
        <f t="shared" si="21"/>
        <v>3534078.5885929666</v>
      </c>
    </row>
    <row r="80" spans="1:14">
      <c r="A80" s="858">
        <f t="shared" si="1"/>
        <v>66</v>
      </c>
      <c r="B80" s="512">
        <v>38400</v>
      </c>
      <c r="C80" s="88" t="s">
        <v>448</v>
      </c>
      <c r="D80" s="345">
        <f>[3]Reserve!$Q160</f>
        <v>83731.821941066824</v>
      </c>
      <c r="E80" s="428">
        <v>0</v>
      </c>
      <c r="F80" s="428">
        <f t="shared" si="17"/>
        <v>83731.821941066824</v>
      </c>
      <c r="G80" s="464">
        <f t="shared" si="18"/>
        <v>1</v>
      </c>
      <c r="H80" s="464">
        <f t="shared" si="18"/>
        <v>1</v>
      </c>
      <c r="I80" s="428">
        <f t="shared" si="19"/>
        <v>83731.821941066824</v>
      </c>
      <c r="K80" s="345">
        <f>[3]Reserve!$C160</f>
        <v>81320.237729394139</v>
      </c>
      <c r="L80" s="464">
        <f t="shared" si="20"/>
        <v>1</v>
      </c>
      <c r="M80" s="464">
        <f t="shared" si="20"/>
        <v>1</v>
      </c>
      <c r="N80" s="428">
        <f t="shared" si="21"/>
        <v>81320.237729394139</v>
      </c>
    </row>
    <row r="81" spans="1:14">
      <c r="A81" s="858">
        <f t="shared" ref="A81:A148" si="22">A80+1</f>
        <v>67</v>
      </c>
      <c r="B81" s="512">
        <v>38500</v>
      </c>
      <c r="C81" s="88" t="s">
        <v>449</v>
      </c>
      <c r="D81" s="345">
        <f>[3]Reserve!$Q161</f>
        <v>2726830.4437771947</v>
      </c>
      <c r="E81" s="428">
        <v>0</v>
      </c>
      <c r="F81" s="428">
        <f t="shared" si="17"/>
        <v>2726830.4437771947</v>
      </c>
      <c r="G81" s="464">
        <f t="shared" si="18"/>
        <v>1</v>
      </c>
      <c r="H81" s="464">
        <f t="shared" si="18"/>
        <v>1</v>
      </c>
      <c r="I81" s="428">
        <f t="shared" si="19"/>
        <v>2726830.4437771947</v>
      </c>
      <c r="K81" s="345">
        <f>[3]Reserve!$C161</f>
        <v>2656783.3444472551</v>
      </c>
      <c r="L81" s="464">
        <f t="shared" si="20"/>
        <v>1</v>
      </c>
      <c r="M81" s="464">
        <f t="shared" si="20"/>
        <v>1</v>
      </c>
      <c r="N81" s="428">
        <f t="shared" si="21"/>
        <v>2656783.3444472551</v>
      </c>
    </row>
    <row r="82" spans="1:14">
      <c r="A82" s="858">
        <f t="shared" si="22"/>
        <v>68</v>
      </c>
      <c r="B82" s="512"/>
      <c r="C82" s="88"/>
      <c r="D82" s="1063"/>
      <c r="E82" s="1063"/>
      <c r="F82" s="1063"/>
      <c r="G82" s="464"/>
      <c r="H82" s="464"/>
      <c r="I82" s="1063"/>
      <c r="K82" s="1063"/>
      <c r="N82" s="1063"/>
    </row>
    <row r="83" spans="1:14">
      <c r="A83" s="858">
        <f t="shared" si="22"/>
        <v>69</v>
      </c>
      <c r="B83" s="512"/>
      <c r="C83" s="88" t="s">
        <v>1401</v>
      </c>
      <c r="D83" s="345">
        <f>SUM(D62:D82)</f>
        <v>144242232.01608452</v>
      </c>
      <c r="E83" s="345">
        <f>SUM(E62:E82)</f>
        <v>0</v>
      </c>
      <c r="F83" s="345">
        <f>SUM(F62:F82)</f>
        <v>144242232.01608452</v>
      </c>
      <c r="G83" s="464"/>
      <c r="H83" s="464"/>
      <c r="I83" s="345">
        <f>SUM(I62:I82)</f>
        <v>144242232.01608452</v>
      </c>
      <c r="K83" s="345">
        <f>SUM(K62:K82)</f>
        <v>140094659.18330958</v>
      </c>
      <c r="N83" s="345">
        <f>SUM(N62:N82)</f>
        <v>140094659.18330958</v>
      </c>
    </row>
    <row r="84" spans="1:14">
      <c r="A84" s="858">
        <f t="shared" si="22"/>
        <v>70</v>
      </c>
      <c r="B84" s="512"/>
      <c r="C84" s="88"/>
      <c r="D84" s="428"/>
      <c r="E84" s="428"/>
      <c r="F84" s="428"/>
      <c r="G84" s="464"/>
      <c r="H84" s="464"/>
      <c r="I84" s="428"/>
      <c r="K84" s="428"/>
      <c r="N84" s="428"/>
    </row>
    <row r="85" spans="1:14">
      <c r="A85" s="858">
        <f t="shared" si="22"/>
        <v>71</v>
      </c>
      <c r="B85" s="706"/>
      <c r="C85" s="619" t="s">
        <v>305</v>
      </c>
      <c r="D85" s="428"/>
      <c r="E85" s="428"/>
      <c r="F85" s="428"/>
      <c r="G85" s="464"/>
      <c r="H85" s="464"/>
      <c r="I85" s="428"/>
      <c r="K85" s="428"/>
      <c r="N85" s="428"/>
    </row>
    <row r="86" spans="1:14">
      <c r="A86" s="858">
        <f t="shared" si="22"/>
        <v>72</v>
      </c>
      <c r="B86" s="512">
        <v>38900</v>
      </c>
      <c r="C86" s="1064" t="s">
        <v>1557</v>
      </c>
      <c r="D86" s="345">
        <f>[3]Reserve!$Q162</f>
        <v>0</v>
      </c>
      <c r="E86" s="345">
        <v>0</v>
      </c>
      <c r="F86" s="345">
        <f t="shared" ref="F86:F112" si="23">D86-E86</f>
        <v>0</v>
      </c>
      <c r="G86" s="464">
        <f t="shared" ref="G86:H99" si="24">$G$16</f>
        <v>1</v>
      </c>
      <c r="H86" s="464">
        <f t="shared" si="24"/>
        <v>1</v>
      </c>
      <c r="I86" s="345">
        <f t="shared" ref="I86:I112" si="25">F86*G86*H86</f>
        <v>0</v>
      </c>
      <c r="K86" s="345">
        <f>[3]Reserve!$C162</f>
        <v>0</v>
      </c>
      <c r="L86" s="464">
        <f t="shared" ref="L86:M99" si="26">$G$16</f>
        <v>1</v>
      </c>
      <c r="M86" s="464">
        <f t="shared" si="26"/>
        <v>1</v>
      </c>
      <c r="N86" s="345">
        <f t="shared" ref="N86:N111" si="27">K86*L86*M86</f>
        <v>0</v>
      </c>
    </row>
    <row r="87" spans="1:14">
      <c r="A87" s="858">
        <f t="shared" si="22"/>
        <v>73</v>
      </c>
      <c r="B87" s="512">
        <v>39000</v>
      </c>
      <c r="C87" s="1064" t="s">
        <v>1558</v>
      </c>
      <c r="D87" s="345">
        <f>[3]Reserve!$Q163</f>
        <v>787679.57708903844</v>
      </c>
      <c r="E87" s="428">
        <v>0</v>
      </c>
      <c r="F87" s="428">
        <f t="shared" si="23"/>
        <v>787679.57708903844</v>
      </c>
      <c r="G87" s="464">
        <f t="shared" si="24"/>
        <v>1</v>
      </c>
      <c r="H87" s="464">
        <f t="shared" si="24"/>
        <v>1</v>
      </c>
      <c r="I87" s="428">
        <f t="shared" si="25"/>
        <v>787679.57708903844</v>
      </c>
      <c r="K87" s="345">
        <f>[3]Reserve!$C163</f>
        <v>653447.18755695969</v>
      </c>
      <c r="L87" s="464">
        <f t="shared" si="26"/>
        <v>1</v>
      </c>
      <c r="M87" s="464">
        <f t="shared" si="26"/>
        <v>1</v>
      </c>
      <c r="N87" s="428">
        <f t="shared" si="27"/>
        <v>653447.18755695969</v>
      </c>
    </row>
    <row r="88" spans="1:14">
      <c r="A88" s="858">
        <f t="shared" si="22"/>
        <v>74</v>
      </c>
      <c r="B88" s="512">
        <v>39002</v>
      </c>
      <c r="C88" s="1064" t="s">
        <v>1559</v>
      </c>
      <c r="D88" s="345">
        <f>[3]Reserve!$Q164</f>
        <v>96659.149179999935</v>
      </c>
      <c r="E88" s="428">
        <v>0</v>
      </c>
      <c r="F88" s="428">
        <f t="shared" si="23"/>
        <v>96659.149179999935</v>
      </c>
      <c r="G88" s="464">
        <f t="shared" si="24"/>
        <v>1</v>
      </c>
      <c r="H88" s="464">
        <f t="shared" si="24"/>
        <v>1</v>
      </c>
      <c r="I88" s="428">
        <f t="shared" si="25"/>
        <v>96659.149179999935</v>
      </c>
      <c r="K88" s="345">
        <f>[3]Reserve!$C164</f>
        <v>93404.584394615347</v>
      </c>
      <c r="L88" s="464">
        <f t="shared" si="26"/>
        <v>1</v>
      </c>
      <c r="M88" s="464">
        <f t="shared" si="26"/>
        <v>1</v>
      </c>
      <c r="N88" s="428">
        <f t="shared" si="27"/>
        <v>93404.584394615347</v>
      </c>
    </row>
    <row r="89" spans="1:14">
      <c r="A89" s="858">
        <f t="shared" si="22"/>
        <v>75</v>
      </c>
      <c r="B89" s="512">
        <v>39003</v>
      </c>
      <c r="C89" s="1064" t="s">
        <v>1560</v>
      </c>
      <c r="D89" s="345">
        <f>[3]Reserve!$Q165</f>
        <v>247979.42458400005</v>
      </c>
      <c r="E89" s="428">
        <v>0</v>
      </c>
      <c r="F89" s="428">
        <f t="shared" si="23"/>
        <v>247979.42458400005</v>
      </c>
      <c r="G89" s="464">
        <f t="shared" si="24"/>
        <v>1</v>
      </c>
      <c r="H89" s="464">
        <f t="shared" si="24"/>
        <v>1</v>
      </c>
      <c r="I89" s="428">
        <f t="shared" si="25"/>
        <v>247979.42458400005</v>
      </c>
      <c r="K89" s="345">
        <f>[3]Reserve!$C165</f>
        <v>234646.47584953852</v>
      </c>
      <c r="L89" s="464">
        <f t="shared" si="26"/>
        <v>1</v>
      </c>
      <c r="M89" s="464">
        <f t="shared" si="26"/>
        <v>1</v>
      </c>
      <c r="N89" s="428">
        <f t="shared" si="27"/>
        <v>234646.47584953852</v>
      </c>
    </row>
    <row r="90" spans="1:14">
      <c r="A90" s="858">
        <f t="shared" si="22"/>
        <v>76</v>
      </c>
      <c r="B90" s="512">
        <v>39004</v>
      </c>
      <c r="C90" s="1064" t="s">
        <v>1561</v>
      </c>
      <c r="D90" s="345">
        <f>[3]Reserve!$Q166</f>
        <v>4075.2191120000007</v>
      </c>
      <c r="E90" s="428">
        <v>0</v>
      </c>
      <c r="F90" s="428">
        <f t="shared" si="23"/>
        <v>4075.2191120000007</v>
      </c>
      <c r="G90" s="464">
        <f t="shared" si="24"/>
        <v>1</v>
      </c>
      <c r="H90" s="464">
        <f t="shared" si="24"/>
        <v>1</v>
      </c>
      <c r="I90" s="428">
        <f t="shared" si="25"/>
        <v>4075.2191120000007</v>
      </c>
      <c r="K90" s="345">
        <f>[3]Reserve!$C166</f>
        <v>3831.6724532307699</v>
      </c>
      <c r="L90" s="464">
        <f t="shared" si="26"/>
        <v>1</v>
      </c>
      <c r="M90" s="464">
        <f t="shared" si="26"/>
        <v>1</v>
      </c>
      <c r="N90" s="428">
        <f t="shared" si="27"/>
        <v>3831.6724532307699</v>
      </c>
    </row>
    <row r="91" spans="1:14">
      <c r="A91" s="858">
        <f t="shared" si="22"/>
        <v>77</v>
      </c>
      <c r="B91" s="512">
        <v>39009</v>
      </c>
      <c r="C91" s="1064" t="s">
        <v>1562</v>
      </c>
      <c r="D91" s="345">
        <f>[3]Reserve!$Q167</f>
        <v>1092667.9055389999</v>
      </c>
      <c r="E91" s="428">
        <v>0</v>
      </c>
      <c r="F91" s="428">
        <f t="shared" si="23"/>
        <v>1092667.9055389999</v>
      </c>
      <c r="G91" s="464">
        <f t="shared" si="24"/>
        <v>1</v>
      </c>
      <c r="H91" s="464">
        <f t="shared" si="24"/>
        <v>1</v>
      </c>
      <c r="I91" s="428">
        <f t="shared" si="25"/>
        <v>1092667.9055389999</v>
      </c>
      <c r="K91" s="345">
        <f>[3]Reserve!$C167</f>
        <v>976086.44687588455</v>
      </c>
      <c r="L91" s="464">
        <f t="shared" si="26"/>
        <v>1</v>
      </c>
      <c r="M91" s="464">
        <f t="shared" si="26"/>
        <v>1</v>
      </c>
      <c r="N91" s="428">
        <f t="shared" si="27"/>
        <v>976086.44687588455</v>
      </c>
    </row>
    <row r="92" spans="1:14">
      <c r="A92" s="858">
        <f t="shared" si="22"/>
        <v>78</v>
      </c>
      <c r="B92" s="512">
        <v>39100</v>
      </c>
      <c r="C92" s="1064" t="s">
        <v>1563</v>
      </c>
      <c r="D92" s="345">
        <f>[3]Reserve!$Q168</f>
        <v>899145.27698500035</v>
      </c>
      <c r="E92" s="428">
        <v>0</v>
      </c>
      <c r="F92" s="428">
        <f t="shared" si="23"/>
        <v>899145.27698500035</v>
      </c>
      <c r="G92" s="464">
        <f t="shared" si="24"/>
        <v>1</v>
      </c>
      <c r="H92" s="464">
        <f t="shared" si="24"/>
        <v>1</v>
      </c>
      <c r="I92" s="428">
        <f t="shared" si="25"/>
        <v>899145.27698500035</v>
      </c>
      <c r="K92" s="345">
        <f>[3]Reserve!$C168</f>
        <v>826344.06418826943</v>
      </c>
      <c r="L92" s="464">
        <f t="shared" si="26"/>
        <v>1</v>
      </c>
      <c r="M92" s="464">
        <f t="shared" si="26"/>
        <v>1</v>
      </c>
      <c r="N92" s="428">
        <f t="shared" si="27"/>
        <v>826344.06418826943</v>
      </c>
    </row>
    <row r="93" spans="1:14">
      <c r="A93" s="858">
        <f t="shared" si="22"/>
        <v>79</v>
      </c>
      <c r="B93" s="512">
        <v>39103</v>
      </c>
      <c r="C93" s="1064" t="s">
        <v>787</v>
      </c>
      <c r="D93" s="345">
        <f>[3]Reserve!$Q169</f>
        <v>0</v>
      </c>
      <c r="E93" s="428">
        <v>0</v>
      </c>
      <c r="F93" s="428">
        <f t="shared" si="23"/>
        <v>0</v>
      </c>
      <c r="G93" s="464">
        <f t="shared" si="24"/>
        <v>1</v>
      </c>
      <c r="H93" s="464">
        <f t="shared" si="24"/>
        <v>1</v>
      </c>
      <c r="I93" s="428">
        <f t="shared" si="25"/>
        <v>0</v>
      </c>
      <c r="K93" s="345">
        <f>[3]Reserve!$C169</f>
        <v>0</v>
      </c>
      <c r="L93" s="464">
        <f t="shared" si="26"/>
        <v>1</v>
      </c>
      <c r="M93" s="464">
        <f t="shared" si="26"/>
        <v>1</v>
      </c>
      <c r="N93" s="428">
        <f t="shared" si="27"/>
        <v>0</v>
      </c>
    </row>
    <row r="94" spans="1:14">
      <c r="A94" s="858">
        <f t="shared" si="22"/>
        <v>80</v>
      </c>
      <c r="B94" s="512">
        <v>39200</v>
      </c>
      <c r="C94" s="1064" t="s">
        <v>1564</v>
      </c>
      <c r="D94" s="345">
        <f>[3]Reserve!$Q170</f>
        <v>65707.278329999986</v>
      </c>
      <c r="E94" s="428">
        <v>0</v>
      </c>
      <c r="F94" s="428">
        <f t="shared" si="23"/>
        <v>65707.278329999986</v>
      </c>
      <c r="G94" s="464">
        <f t="shared" si="24"/>
        <v>1</v>
      </c>
      <c r="H94" s="464">
        <f t="shared" si="24"/>
        <v>1</v>
      </c>
      <c r="I94" s="428">
        <f t="shared" si="25"/>
        <v>65707.278329999986</v>
      </c>
      <c r="K94" s="345">
        <f>[3]Reserve!$C170</f>
        <v>72660.259934999995</v>
      </c>
      <c r="L94" s="464">
        <f t="shared" si="26"/>
        <v>1</v>
      </c>
      <c r="M94" s="464">
        <f t="shared" si="26"/>
        <v>1</v>
      </c>
      <c r="N94" s="428">
        <f t="shared" si="27"/>
        <v>72660.259934999995</v>
      </c>
    </row>
    <row r="95" spans="1:14">
      <c r="A95" s="858">
        <f t="shared" si="22"/>
        <v>81</v>
      </c>
      <c r="B95" s="512">
        <v>39202</v>
      </c>
      <c r="C95" s="1064" t="s">
        <v>1565</v>
      </c>
      <c r="D95" s="345">
        <f>[3]Reserve!$Q171</f>
        <v>-2549.7600000000002</v>
      </c>
      <c r="E95" s="428">
        <v>0</v>
      </c>
      <c r="F95" s="428">
        <f t="shared" si="23"/>
        <v>-2549.7600000000002</v>
      </c>
      <c r="G95" s="464">
        <f t="shared" si="24"/>
        <v>1</v>
      </c>
      <c r="H95" s="464">
        <f t="shared" si="24"/>
        <v>1</v>
      </c>
      <c r="I95" s="428">
        <f t="shared" si="25"/>
        <v>-2549.7600000000002</v>
      </c>
      <c r="K95" s="345">
        <f>[3]Reserve!$C171</f>
        <v>-1247.4438461538464</v>
      </c>
      <c r="L95" s="464">
        <f t="shared" si="26"/>
        <v>1</v>
      </c>
      <c r="M95" s="464">
        <f t="shared" si="26"/>
        <v>1</v>
      </c>
      <c r="N95" s="428">
        <f t="shared" si="27"/>
        <v>-1247.4438461538464</v>
      </c>
    </row>
    <row r="96" spans="1:14">
      <c r="A96" s="858">
        <f t="shared" si="22"/>
        <v>82</v>
      </c>
      <c r="B96" s="706">
        <v>39400</v>
      </c>
      <c r="C96" s="1064" t="s">
        <v>1566</v>
      </c>
      <c r="D96" s="345">
        <f>[3]Reserve!$Q172</f>
        <v>961270.1071757368</v>
      </c>
      <c r="E96" s="428">
        <v>0</v>
      </c>
      <c r="F96" s="428">
        <f t="shared" si="23"/>
        <v>961270.1071757368</v>
      </c>
      <c r="G96" s="464">
        <f t="shared" si="24"/>
        <v>1</v>
      </c>
      <c r="H96" s="464">
        <f t="shared" si="24"/>
        <v>1</v>
      </c>
      <c r="I96" s="428">
        <f t="shared" si="25"/>
        <v>961270.1071757368</v>
      </c>
      <c r="K96" s="345">
        <f>[3]Reserve!$C172</f>
        <v>843925.97840061842</v>
      </c>
      <c r="L96" s="464">
        <f t="shared" si="26"/>
        <v>1</v>
      </c>
      <c r="M96" s="464">
        <f t="shared" si="26"/>
        <v>1</v>
      </c>
      <c r="N96" s="428">
        <f t="shared" si="27"/>
        <v>843925.97840061842</v>
      </c>
    </row>
    <row r="97" spans="1:14">
      <c r="A97" s="858">
        <f t="shared" si="22"/>
        <v>83</v>
      </c>
      <c r="B97" s="706">
        <v>39603</v>
      </c>
      <c r="C97" s="389" t="s">
        <v>1567</v>
      </c>
      <c r="D97" s="345">
        <f>[3]Reserve!$Q173</f>
        <v>34619.411287999981</v>
      </c>
      <c r="E97" s="428">
        <v>0</v>
      </c>
      <c r="F97" s="428">
        <f t="shared" si="23"/>
        <v>34619.411287999981</v>
      </c>
      <c r="G97" s="464">
        <f t="shared" si="24"/>
        <v>1</v>
      </c>
      <c r="H97" s="464">
        <f t="shared" si="24"/>
        <v>1</v>
      </c>
      <c r="I97" s="428">
        <f t="shared" si="25"/>
        <v>34619.411287999981</v>
      </c>
      <c r="K97" s="345">
        <f>[3]Reserve!$C173</f>
        <v>30763.3757313846</v>
      </c>
      <c r="L97" s="464">
        <f t="shared" si="26"/>
        <v>1</v>
      </c>
      <c r="M97" s="464">
        <f t="shared" si="26"/>
        <v>1</v>
      </c>
      <c r="N97" s="428">
        <f t="shared" si="27"/>
        <v>30763.3757313846</v>
      </c>
    </row>
    <row r="98" spans="1:14">
      <c r="A98" s="858">
        <f t="shared" si="22"/>
        <v>84</v>
      </c>
      <c r="B98" s="706">
        <v>39604</v>
      </c>
      <c r="C98" s="1064" t="s">
        <v>1568</v>
      </c>
      <c r="D98" s="345">
        <f>[3]Reserve!$Q174</f>
        <v>54742.508681499981</v>
      </c>
      <c r="E98" s="428">
        <v>0</v>
      </c>
      <c r="F98" s="428">
        <f t="shared" si="23"/>
        <v>54742.508681499981</v>
      </c>
      <c r="G98" s="464">
        <f t="shared" si="24"/>
        <v>1</v>
      </c>
      <c r="H98" s="464">
        <f t="shared" si="24"/>
        <v>1</v>
      </c>
      <c r="I98" s="428">
        <f t="shared" si="25"/>
        <v>54742.508681499981</v>
      </c>
      <c r="K98" s="345">
        <f>[3]Reserve!$C174</f>
        <v>48634.067721942294</v>
      </c>
      <c r="L98" s="464">
        <f t="shared" si="26"/>
        <v>1</v>
      </c>
      <c r="M98" s="464">
        <f t="shared" si="26"/>
        <v>1</v>
      </c>
      <c r="N98" s="428">
        <f t="shared" si="27"/>
        <v>48634.067721942294</v>
      </c>
    </row>
    <row r="99" spans="1:14">
      <c r="A99" s="858">
        <f t="shared" si="22"/>
        <v>85</v>
      </c>
      <c r="B99" s="706">
        <v>39605</v>
      </c>
      <c r="C99" s="1064" t="s">
        <v>1569</v>
      </c>
      <c r="D99" s="345">
        <f>[3]Reserve!$Q175</f>
        <v>15358.700840499998</v>
      </c>
      <c r="E99" s="428">
        <v>0</v>
      </c>
      <c r="F99" s="428">
        <f t="shared" si="23"/>
        <v>15358.700840499998</v>
      </c>
      <c r="G99" s="464">
        <f t="shared" si="24"/>
        <v>1</v>
      </c>
      <c r="H99" s="464">
        <f t="shared" si="24"/>
        <v>1</v>
      </c>
      <c r="I99" s="428">
        <f t="shared" si="25"/>
        <v>15358.700840499998</v>
      </c>
      <c r="K99" s="345">
        <f>[3]Reserve!$C175</f>
        <v>13467.454841673076</v>
      </c>
      <c r="L99" s="464">
        <f t="shared" si="26"/>
        <v>1</v>
      </c>
      <c r="M99" s="464">
        <f t="shared" si="26"/>
        <v>1</v>
      </c>
      <c r="N99" s="428">
        <f t="shared" si="27"/>
        <v>13467.454841673076</v>
      </c>
    </row>
    <row r="100" spans="1:14">
      <c r="A100" s="858">
        <f t="shared" si="22"/>
        <v>86</v>
      </c>
      <c r="B100" s="706">
        <v>39700</v>
      </c>
      <c r="C100" s="1064" t="s">
        <v>1570</v>
      </c>
      <c r="D100" s="345">
        <f>[3]Reserve!$Q176</f>
        <v>183263.64674199995</v>
      </c>
      <c r="E100" s="428">
        <v>0</v>
      </c>
      <c r="F100" s="428">
        <f t="shared" si="23"/>
        <v>183263.64674199995</v>
      </c>
      <c r="G100" s="464">
        <f t="shared" ref="G100:H113" si="28">$G$16</f>
        <v>1</v>
      </c>
      <c r="H100" s="464">
        <f t="shared" si="28"/>
        <v>1</v>
      </c>
      <c r="I100" s="428">
        <f t="shared" si="25"/>
        <v>183263.64674199995</v>
      </c>
      <c r="K100" s="345">
        <f>[3]Reserve!$C176</f>
        <v>168420.01719976918</v>
      </c>
      <c r="L100" s="464">
        <f t="shared" ref="L100:M113" si="29">$G$16</f>
        <v>1</v>
      </c>
      <c r="M100" s="464">
        <f t="shared" si="29"/>
        <v>1</v>
      </c>
      <c r="N100" s="428">
        <f t="shared" si="27"/>
        <v>168420.01719976918</v>
      </c>
    </row>
    <row r="101" spans="1:14">
      <c r="A101" s="858">
        <f t="shared" si="22"/>
        <v>87</v>
      </c>
      <c r="B101" s="706">
        <v>39701</v>
      </c>
      <c r="C101" s="1064" t="s">
        <v>1530</v>
      </c>
      <c r="D101" s="345">
        <f>[3]Reserve!$Q177</f>
        <v>0</v>
      </c>
      <c r="E101" s="428">
        <v>0</v>
      </c>
      <c r="F101" s="428">
        <f t="shared" si="23"/>
        <v>0</v>
      </c>
      <c r="G101" s="464">
        <f t="shared" si="28"/>
        <v>1</v>
      </c>
      <c r="H101" s="464">
        <f t="shared" si="28"/>
        <v>1</v>
      </c>
      <c r="I101" s="428">
        <f t="shared" si="25"/>
        <v>0</v>
      </c>
      <c r="K101" s="345">
        <f>[3]Reserve!$C177</f>
        <v>0</v>
      </c>
      <c r="L101" s="464">
        <f t="shared" si="29"/>
        <v>1</v>
      </c>
      <c r="M101" s="464">
        <f t="shared" si="29"/>
        <v>1</v>
      </c>
      <c r="N101" s="428">
        <f t="shared" si="27"/>
        <v>0</v>
      </c>
    </row>
    <row r="102" spans="1:14">
      <c r="A102" s="858">
        <f t="shared" si="22"/>
        <v>88</v>
      </c>
      <c r="B102" s="706">
        <v>39702</v>
      </c>
      <c r="C102" s="1064" t="s">
        <v>1530</v>
      </c>
      <c r="D102" s="345">
        <f>[3]Reserve!$Q178</f>
        <v>0</v>
      </c>
      <c r="E102" s="428">
        <v>0</v>
      </c>
      <c r="F102" s="428">
        <f t="shared" si="23"/>
        <v>0</v>
      </c>
      <c r="G102" s="464">
        <f t="shared" si="28"/>
        <v>1</v>
      </c>
      <c r="H102" s="464">
        <f t="shared" si="28"/>
        <v>1</v>
      </c>
      <c r="I102" s="428">
        <f t="shared" si="25"/>
        <v>0</v>
      </c>
      <c r="K102" s="345">
        <f>[3]Reserve!$C178</f>
        <v>0</v>
      </c>
      <c r="L102" s="464">
        <f t="shared" si="29"/>
        <v>1</v>
      </c>
      <c r="M102" s="464">
        <f t="shared" si="29"/>
        <v>1</v>
      </c>
      <c r="N102" s="428">
        <f t="shared" si="27"/>
        <v>0</v>
      </c>
    </row>
    <row r="103" spans="1:14">
      <c r="A103" s="858">
        <f t="shared" si="22"/>
        <v>89</v>
      </c>
      <c r="B103" s="706">
        <v>39705</v>
      </c>
      <c r="C103" s="1064" t="s">
        <v>1571</v>
      </c>
      <c r="D103" s="345">
        <f>[3]Reserve!$Q179</f>
        <v>0</v>
      </c>
      <c r="E103" s="428">
        <v>0</v>
      </c>
      <c r="F103" s="428">
        <f t="shared" si="23"/>
        <v>0</v>
      </c>
      <c r="G103" s="464">
        <f t="shared" si="28"/>
        <v>1</v>
      </c>
      <c r="H103" s="464">
        <f t="shared" si="28"/>
        <v>1</v>
      </c>
      <c r="I103" s="428">
        <f t="shared" si="25"/>
        <v>0</v>
      </c>
      <c r="K103" s="345">
        <f>[3]Reserve!$C179</f>
        <v>0</v>
      </c>
      <c r="L103" s="464">
        <f t="shared" si="29"/>
        <v>1</v>
      </c>
      <c r="M103" s="464">
        <f t="shared" si="29"/>
        <v>1</v>
      </c>
      <c r="N103" s="428">
        <f t="shared" si="27"/>
        <v>0</v>
      </c>
    </row>
    <row r="104" spans="1:14">
      <c r="A104" s="858">
        <f t="shared" si="22"/>
        <v>90</v>
      </c>
      <c r="B104" s="706">
        <v>39800</v>
      </c>
      <c r="C104" s="1064" t="s">
        <v>1572</v>
      </c>
      <c r="D104" s="345">
        <f>[3]Reserve!$Q180</f>
        <v>1550890.4717666758</v>
      </c>
      <c r="E104" s="428">
        <v>0</v>
      </c>
      <c r="F104" s="428">
        <f t="shared" si="23"/>
        <v>1550890.4717666758</v>
      </c>
      <c r="G104" s="464">
        <f t="shared" si="28"/>
        <v>1</v>
      </c>
      <c r="H104" s="464">
        <f t="shared" si="28"/>
        <v>1</v>
      </c>
      <c r="I104" s="428">
        <f t="shared" si="25"/>
        <v>1550890.4717666758</v>
      </c>
      <c r="K104" s="345">
        <f>[3]Reserve!$C180</f>
        <v>1429713.5362822737</v>
      </c>
      <c r="L104" s="464">
        <f t="shared" si="29"/>
        <v>1</v>
      </c>
      <c r="M104" s="464">
        <f t="shared" si="29"/>
        <v>1</v>
      </c>
      <c r="N104" s="428">
        <f t="shared" si="27"/>
        <v>1429713.5362822737</v>
      </c>
    </row>
    <row r="105" spans="1:14">
      <c r="A105" s="858">
        <f t="shared" si="22"/>
        <v>91</v>
      </c>
      <c r="B105" s="706">
        <v>39901</v>
      </c>
      <c r="C105" s="1064" t="s">
        <v>1531</v>
      </c>
      <c r="D105" s="345">
        <f>[3]Reserve!$Q181</f>
        <v>3605.4179999999988</v>
      </c>
      <c r="E105" s="428">
        <v>0</v>
      </c>
      <c r="F105" s="428">
        <f t="shared" si="23"/>
        <v>3605.4179999999988</v>
      </c>
      <c r="G105" s="464">
        <f t="shared" si="28"/>
        <v>1</v>
      </c>
      <c r="H105" s="464">
        <f t="shared" si="28"/>
        <v>1</v>
      </c>
      <c r="I105" s="428">
        <f t="shared" si="25"/>
        <v>3605.4179999999988</v>
      </c>
      <c r="K105" s="345">
        <f>[3]Reserve!$C181</f>
        <v>2853.904461538461</v>
      </c>
      <c r="L105" s="464">
        <f t="shared" si="29"/>
        <v>1</v>
      </c>
      <c r="M105" s="464">
        <f t="shared" si="29"/>
        <v>1</v>
      </c>
      <c r="N105" s="428">
        <f t="shared" si="27"/>
        <v>2853.904461538461</v>
      </c>
    </row>
    <row r="106" spans="1:14">
      <c r="A106" s="858">
        <f t="shared" si="22"/>
        <v>92</v>
      </c>
      <c r="B106" s="706">
        <v>39902</v>
      </c>
      <c r="C106" s="1064" t="s">
        <v>1532</v>
      </c>
      <c r="D106" s="345">
        <f>[3]Reserve!$Q182</f>
        <v>0</v>
      </c>
      <c r="E106" s="428">
        <v>0</v>
      </c>
      <c r="F106" s="428">
        <f t="shared" si="23"/>
        <v>0</v>
      </c>
      <c r="G106" s="464">
        <f t="shared" si="28"/>
        <v>1</v>
      </c>
      <c r="H106" s="464">
        <f t="shared" si="28"/>
        <v>1</v>
      </c>
      <c r="I106" s="428">
        <f t="shared" si="25"/>
        <v>0</v>
      </c>
      <c r="K106" s="345">
        <f>[3]Reserve!$C182</f>
        <v>0</v>
      </c>
      <c r="L106" s="464">
        <f t="shared" si="29"/>
        <v>1</v>
      </c>
      <c r="M106" s="464">
        <f t="shared" si="29"/>
        <v>1</v>
      </c>
      <c r="N106" s="428">
        <f t="shared" si="27"/>
        <v>0</v>
      </c>
    </row>
    <row r="107" spans="1:14">
      <c r="A107" s="858">
        <f t="shared" si="22"/>
        <v>93</v>
      </c>
      <c r="B107" s="706">
        <v>39903</v>
      </c>
      <c r="C107" s="1064" t="s">
        <v>1573</v>
      </c>
      <c r="D107" s="345">
        <f>[3]Reserve!$Q183</f>
        <v>38499.792999999983</v>
      </c>
      <c r="E107" s="428">
        <v>0</v>
      </c>
      <c r="F107" s="428">
        <f t="shared" si="23"/>
        <v>38499.792999999983</v>
      </c>
      <c r="G107" s="464">
        <f t="shared" si="28"/>
        <v>1</v>
      </c>
      <c r="H107" s="464">
        <f t="shared" si="28"/>
        <v>1</v>
      </c>
      <c r="I107" s="428">
        <f t="shared" si="25"/>
        <v>38499.792999999983</v>
      </c>
      <c r="K107" s="345">
        <f>[3]Reserve!$C183</f>
        <v>31428.36926923076</v>
      </c>
      <c r="L107" s="464">
        <f t="shared" si="29"/>
        <v>1</v>
      </c>
      <c r="M107" s="464">
        <f t="shared" si="29"/>
        <v>1</v>
      </c>
      <c r="N107" s="428">
        <f t="shared" si="27"/>
        <v>31428.36926923076</v>
      </c>
    </row>
    <row r="108" spans="1:14">
      <c r="A108" s="858">
        <f t="shared" si="22"/>
        <v>94</v>
      </c>
      <c r="B108" s="706">
        <v>39906</v>
      </c>
      <c r="C108" s="1064" t="s">
        <v>1574</v>
      </c>
      <c r="D108" s="345">
        <f>[3]Reserve!$Q184</f>
        <v>818655.2629720032</v>
      </c>
      <c r="E108" s="428">
        <v>0</v>
      </c>
      <c r="F108" s="428">
        <f t="shared" si="23"/>
        <v>818655.2629720032</v>
      </c>
      <c r="G108" s="464">
        <f t="shared" si="28"/>
        <v>1</v>
      </c>
      <c r="H108" s="464">
        <f t="shared" si="28"/>
        <v>1</v>
      </c>
      <c r="I108" s="428">
        <f t="shared" si="25"/>
        <v>818655.2629720032</v>
      </c>
      <c r="K108" s="345">
        <f>[3]Reserve!$C184</f>
        <v>669929.40963884862</v>
      </c>
      <c r="L108" s="464">
        <f t="shared" si="29"/>
        <v>1</v>
      </c>
      <c r="M108" s="464">
        <f t="shared" si="29"/>
        <v>1</v>
      </c>
      <c r="N108" s="428">
        <f t="shared" si="27"/>
        <v>669929.40963884862</v>
      </c>
    </row>
    <row r="109" spans="1:14">
      <c r="A109" s="858">
        <f t="shared" si="22"/>
        <v>95</v>
      </c>
      <c r="B109" s="706">
        <v>39907</v>
      </c>
      <c r="C109" s="1064" t="s">
        <v>1575</v>
      </c>
      <c r="D109" s="345">
        <f>[3]Reserve!$Q185</f>
        <v>0</v>
      </c>
      <c r="E109" s="428">
        <v>0</v>
      </c>
      <c r="F109" s="428">
        <f t="shared" si="23"/>
        <v>0</v>
      </c>
      <c r="G109" s="464">
        <f t="shared" si="28"/>
        <v>1</v>
      </c>
      <c r="H109" s="464">
        <f t="shared" si="28"/>
        <v>1</v>
      </c>
      <c r="I109" s="428">
        <f t="shared" si="25"/>
        <v>0</v>
      </c>
      <c r="K109" s="345">
        <f>[3]Reserve!$C185</f>
        <v>0</v>
      </c>
      <c r="L109" s="464">
        <f t="shared" si="29"/>
        <v>1</v>
      </c>
      <c r="M109" s="464">
        <f t="shared" si="29"/>
        <v>1</v>
      </c>
      <c r="N109" s="428">
        <f t="shared" si="27"/>
        <v>0</v>
      </c>
    </row>
    <row r="110" spans="1:14">
      <c r="A110" s="858">
        <f t="shared" si="22"/>
        <v>96</v>
      </c>
      <c r="B110" s="706">
        <v>39908</v>
      </c>
      <c r="C110" s="1064" t="s">
        <v>1576</v>
      </c>
      <c r="D110" s="345">
        <f>[3]Reserve!$Q186</f>
        <v>119541.0195805</v>
      </c>
      <c r="E110" s="428">
        <v>0</v>
      </c>
      <c r="F110" s="428">
        <f t="shared" si="23"/>
        <v>119541.0195805</v>
      </c>
      <c r="G110" s="464">
        <f t="shared" si="28"/>
        <v>1</v>
      </c>
      <c r="H110" s="464">
        <f t="shared" si="28"/>
        <v>1</v>
      </c>
      <c r="I110" s="428">
        <f t="shared" si="25"/>
        <v>119541.0195805</v>
      </c>
      <c r="K110" s="345">
        <f>[3]Reserve!$C186</f>
        <v>117719.3075793654</v>
      </c>
      <c r="L110" s="464">
        <f t="shared" si="29"/>
        <v>1</v>
      </c>
      <c r="M110" s="464">
        <f t="shared" si="29"/>
        <v>1</v>
      </c>
      <c r="N110" s="428">
        <f t="shared" si="27"/>
        <v>117719.3075793654</v>
      </c>
    </row>
    <row r="111" spans="1:14">
      <c r="A111" s="858">
        <f t="shared" si="22"/>
        <v>97</v>
      </c>
      <c r="B111" s="706"/>
      <c r="C111" s="88" t="s">
        <v>1153</v>
      </c>
      <c r="D111" s="345">
        <f>[3]Reserve!$Q187</f>
        <v>-3312254.5999999982</v>
      </c>
      <c r="E111" s="428">
        <v>0</v>
      </c>
      <c r="F111" s="428">
        <f t="shared" si="23"/>
        <v>-3312254.5999999982</v>
      </c>
      <c r="G111" s="464">
        <f t="shared" si="28"/>
        <v>1</v>
      </c>
      <c r="H111" s="464">
        <f t="shared" si="28"/>
        <v>1</v>
      </c>
      <c r="I111" s="428">
        <f t="shared" si="25"/>
        <v>-3312254.5999999982</v>
      </c>
      <c r="K111" s="345">
        <f>[3]Reserve!$C187</f>
        <v>-3074904.4599999986</v>
      </c>
      <c r="L111" s="464">
        <f t="shared" si="29"/>
        <v>1</v>
      </c>
      <c r="M111" s="464">
        <f t="shared" si="29"/>
        <v>1</v>
      </c>
      <c r="N111" s="428">
        <f t="shared" si="27"/>
        <v>-3074904.4599999986</v>
      </c>
    </row>
    <row r="112" spans="1:14">
      <c r="A112" s="858">
        <f t="shared" si="22"/>
        <v>98</v>
      </c>
      <c r="B112" s="706"/>
      <c r="C112" s="88" t="s">
        <v>1427</v>
      </c>
      <c r="D112" s="345">
        <f>[3]Reserve!$Q188</f>
        <v>0</v>
      </c>
      <c r="E112" s="428">
        <v>0</v>
      </c>
      <c r="F112" s="428">
        <f t="shared" si="23"/>
        <v>0</v>
      </c>
      <c r="G112" s="464">
        <f t="shared" si="28"/>
        <v>1</v>
      </c>
      <c r="H112" s="464">
        <f t="shared" si="28"/>
        <v>1</v>
      </c>
      <c r="I112" s="428">
        <f t="shared" si="25"/>
        <v>0</v>
      </c>
      <c r="K112" s="345">
        <f>[3]Reserve!$C188</f>
        <v>0</v>
      </c>
      <c r="L112" s="464">
        <f t="shared" si="29"/>
        <v>1</v>
      </c>
      <c r="M112" s="464">
        <f t="shared" si="29"/>
        <v>1</v>
      </c>
      <c r="N112" s="428">
        <f t="shared" ref="N112" si="30">K112*L112*M112</f>
        <v>0</v>
      </c>
    </row>
    <row r="113" spans="1:19">
      <c r="A113" s="858">
        <f t="shared" si="22"/>
        <v>99</v>
      </c>
      <c r="B113" s="706"/>
      <c r="C113" s="88" t="s">
        <v>1276</v>
      </c>
      <c r="D113" s="345">
        <f>[3]Reserve!$Q189</f>
        <v>0</v>
      </c>
      <c r="E113" s="428">
        <v>0</v>
      </c>
      <c r="F113" s="428">
        <f t="shared" ref="F113" si="31">D113-E113</f>
        <v>0</v>
      </c>
      <c r="G113" s="464">
        <f t="shared" si="28"/>
        <v>1</v>
      </c>
      <c r="H113" s="464">
        <f t="shared" si="28"/>
        <v>1</v>
      </c>
      <c r="I113" s="428">
        <f t="shared" ref="I113" si="32">F113*G113*H113</f>
        <v>0</v>
      </c>
      <c r="K113" s="345">
        <f>[3]Reserve!$C189</f>
        <v>0</v>
      </c>
      <c r="L113" s="464">
        <f t="shared" si="29"/>
        <v>1</v>
      </c>
      <c r="M113" s="464">
        <f t="shared" si="29"/>
        <v>1</v>
      </c>
      <c r="N113" s="428">
        <f t="shared" ref="N113" si="33">K113*L113*M113</f>
        <v>0</v>
      </c>
      <c r="P113" s="690"/>
    </row>
    <row r="114" spans="1:19">
      <c r="A114" s="858">
        <f t="shared" si="22"/>
        <v>100</v>
      </c>
      <c r="B114" s="706"/>
      <c r="C114" s="88"/>
      <c r="D114" s="1063"/>
      <c r="E114" s="428"/>
      <c r="F114" s="1063"/>
      <c r="G114" s="464"/>
      <c r="H114" s="464"/>
      <c r="I114" s="1063"/>
      <c r="K114" s="1063"/>
      <c r="L114" s="464"/>
      <c r="M114" s="464"/>
      <c r="N114" s="1063"/>
    </row>
    <row r="115" spans="1:19">
      <c r="A115" s="858">
        <f t="shared" si="22"/>
        <v>101</v>
      </c>
      <c r="B115" s="389"/>
      <c r="C115" s="88" t="s">
        <v>1400</v>
      </c>
      <c r="D115" s="345">
        <f>SUM(D86:D114)</f>
        <v>3659555.8108659568</v>
      </c>
      <c r="E115" s="345">
        <f>SUM(E86:E114)</f>
        <v>0</v>
      </c>
      <c r="F115" s="345">
        <f>SUM(F86:F114)</f>
        <v>3659555.8108659568</v>
      </c>
      <c r="I115" s="345">
        <f>SUM(I86:I114)</f>
        <v>3659555.8108659568</v>
      </c>
      <c r="K115" s="345">
        <f>SUM(K86:K114)</f>
        <v>3141124.2085339888</v>
      </c>
      <c r="N115" s="345">
        <f>SUM(N86:N114)</f>
        <v>3141124.2085339888</v>
      </c>
    </row>
    <row r="116" spans="1:19">
      <c r="A116" s="858">
        <f t="shared" si="22"/>
        <v>102</v>
      </c>
      <c r="B116" s="389"/>
      <c r="C116" s="88"/>
      <c r="D116" s="428"/>
      <c r="E116" s="428"/>
      <c r="F116" s="428"/>
      <c r="I116" s="428"/>
      <c r="K116" s="428"/>
      <c r="N116" s="428"/>
    </row>
    <row r="117" spans="1:19">
      <c r="A117" s="858">
        <f t="shared" si="22"/>
        <v>103</v>
      </c>
      <c r="B117" s="389"/>
      <c r="C117" s="232" t="s">
        <v>1342</v>
      </c>
      <c r="D117" s="345">
        <f>D115+D83+D59+D47+D26+D19</f>
        <v>174126201.86683366</v>
      </c>
      <c r="E117" s="345">
        <f>E115+E83+E59+E47+E26+E19</f>
        <v>0</v>
      </c>
      <c r="F117" s="345">
        <f>F115+F83+F59+F47+F26+F19</f>
        <v>174126201.86683366</v>
      </c>
      <c r="I117" s="345">
        <f>I115+I83+I59+I47+I26+I19</f>
        <v>174126201.86683366</v>
      </c>
      <c r="K117" s="345">
        <f>K115+K83+K59+K47+K26+K19</f>
        <v>169079368.14038897</v>
      </c>
      <c r="N117" s="345">
        <f>N115+N83+N59+N47+N26+N19</f>
        <v>169079368.14038897</v>
      </c>
      <c r="S117" s="690"/>
    </row>
    <row r="118" spans="1:19">
      <c r="A118" s="858">
        <f t="shared" si="22"/>
        <v>104</v>
      </c>
      <c r="B118" s="1045"/>
      <c r="D118" s="428"/>
    </row>
    <row r="119" spans="1:19" ht="15.75">
      <c r="A119" s="858">
        <f t="shared" si="22"/>
        <v>105</v>
      </c>
      <c r="B119" s="1050" t="s">
        <v>7</v>
      </c>
      <c r="D119" s="428"/>
    </row>
    <row r="120" spans="1:19">
      <c r="A120" s="858">
        <f t="shared" si="22"/>
        <v>106</v>
      </c>
      <c r="B120" s="1045"/>
      <c r="D120" s="428"/>
    </row>
    <row r="121" spans="1:19">
      <c r="A121" s="858">
        <f t="shared" si="22"/>
        <v>107</v>
      </c>
      <c r="B121" s="389"/>
      <c r="C121" s="619" t="s">
        <v>301</v>
      </c>
      <c r="D121" s="428"/>
    </row>
    <row r="122" spans="1:19">
      <c r="A122" s="858">
        <f t="shared" si="22"/>
        <v>108</v>
      </c>
      <c r="B122" s="512">
        <v>30100</v>
      </c>
      <c r="C122" s="88" t="s">
        <v>295</v>
      </c>
      <c r="D122" s="345">
        <f>[3]Reserve!$Q84</f>
        <v>0</v>
      </c>
      <c r="E122" s="345">
        <v>0</v>
      </c>
      <c r="F122" s="345">
        <f>D122+E122</f>
        <v>0</v>
      </c>
      <c r="G122" s="464">
        <f>$G$16</f>
        <v>1</v>
      </c>
      <c r="H122" s="465">
        <f>Allocation!$H$17</f>
        <v>0.5025136071712456</v>
      </c>
      <c r="I122" s="345">
        <f>F122*G122*H122</f>
        <v>0</v>
      </c>
      <c r="K122" s="345">
        <f>[3]Reserve!$C84</f>
        <v>0</v>
      </c>
      <c r="L122" s="464">
        <f t="shared" ref="L122:M123" si="34">G122</f>
        <v>1</v>
      </c>
      <c r="M122" s="465">
        <f t="shared" si="34"/>
        <v>0.5025136071712456</v>
      </c>
      <c r="N122" s="345">
        <f>K122*L122*M122</f>
        <v>0</v>
      </c>
    </row>
    <row r="123" spans="1:19">
      <c r="A123" s="858">
        <f t="shared" si="22"/>
        <v>109</v>
      </c>
      <c r="B123" s="512">
        <v>30300</v>
      </c>
      <c r="C123" s="88" t="s">
        <v>548</v>
      </c>
      <c r="D123" s="345">
        <f>[3]Reserve!$Q85</f>
        <v>0</v>
      </c>
      <c r="E123" s="380">
        <v>0</v>
      </c>
      <c r="F123" s="380">
        <f>D123+E123</f>
        <v>0</v>
      </c>
      <c r="G123" s="464">
        <f>$G$16</f>
        <v>1</v>
      </c>
      <c r="H123" s="465">
        <f>$H$122</f>
        <v>0.5025136071712456</v>
      </c>
      <c r="I123" s="1049">
        <f>F123*G123*H123</f>
        <v>0</v>
      </c>
      <c r="K123" s="345">
        <f>[3]Reserve!$C85</f>
        <v>0</v>
      </c>
      <c r="L123" s="464">
        <f t="shared" si="34"/>
        <v>1</v>
      </c>
      <c r="M123" s="465">
        <f t="shared" si="34"/>
        <v>0.5025136071712456</v>
      </c>
      <c r="N123" s="1049">
        <f>K123*L123*M123</f>
        <v>0</v>
      </c>
    </row>
    <row r="124" spans="1:19">
      <c r="A124" s="858">
        <f t="shared" si="22"/>
        <v>110</v>
      </c>
      <c r="B124" s="512"/>
      <c r="C124" s="88"/>
      <c r="D124" s="618"/>
      <c r="E124" s="618"/>
      <c r="F124" s="618"/>
    </row>
    <row r="125" spans="1:19">
      <c r="A125" s="858">
        <f t="shared" si="22"/>
        <v>111</v>
      </c>
      <c r="B125" s="706"/>
      <c r="C125" s="88" t="s">
        <v>302</v>
      </c>
      <c r="D125" s="345">
        <f>SUM(D122:D124)</f>
        <v>0</v>
      </c>
      <c r="E125" s="345">
        <f>SUM(E122:E124)</f>
        <v>0</v>
      </c>
      <c r="F125" s="345">
        <f>SUM(F122:F124)</f>
        <v>0</v>
      </c>
      <c r="G125" s="464"/>
      <c r="H125" s="464"/>
      <c r="I125" s="345">
        <f>SUM(I122:I124)</f>
        <v>0</v>
      </c>
      <c r="K125" s="345">
        <f>SUM(K122:K124)</f>
        <v>0</v>
      </c>
      <c r="N125" s="345">
        <f>SUM(N122:N124)</f>
        <v>0</v>
      </c>
    </row>
    <row r="126" spans="1:19">
      <c r="A126" s="858">
        <f t="shared" si="22"/>
        <v>112</v>
      </c>
      <c r="B126" s="1065"/>
    </row>
    <row r="127" spans="1:19">
      <c r="A127" s="858">
        <f t="shared" si="22"/>
        <v>113</v>
      </c>
      <c r="B127" s="706"/>
      <c r="C127" s="619" t="s">
        <v>303</v>
      </c>
    </row>
    <row r="128" spans="1:19">
      <c r="A128" s="858">
        <f t="shared" si="22"/>
        <v>114</v>
      </c>
      <c r="B128" s="512">
        <v>37400</v>
      </c>
      <c r="C128" s="88" t="s">
        <v>1157</v>
      </c>
      <c r="D128" s="345">
        <v>0</v>
      </c>
      <c r="E128" s="345">
        <v>0</v>
      </c>
      <c r="F128" s="345">
        <f t="shared" ref="F128:F148" si="35">D128+E128</f>
        <v>0</v>
      </c>
      <c r="G128" s="464">
        <f t="shared" ref="G128:G148" si="36">$G$16</f>
        <v>1</v>
      </c>
      <c r="H128" s="465">
        <f t="shared" ref="H128:H148" si="37">$H$122</f>
        <v>0.5025136071712456</v>
      </c>
      <c r="I128" s="345">
        <f t="shared" ref="I128:I148" si="38">F128*G128*H128</f>
        <v>0</v>
      </c>
      <c r="K128" s="345">
        <v>0</v>
      </c>
      <c r="L128" s="464">
        <f t="shared" ref="L128:L148" si="39">G128</f>
        <v>1</v>
      </c>
      <c r="M128" s="465">
        <f t="shared" ref="M128:M148" si="40">H128</f>
        <v>0.5025136071712456</v>
      </c>
      <c r="N128" s="345">
        <f t="shared" ref="N128:N148" si="41">K128*L128*M128</f>
        <v>0</v>
      </c>
    </row>
    <row r="129" spans="1:14">
      <c r="A129" s="858">
        <f t="shared" si="22"/>
        <v>115</v>
      </c>
      <c r="B129" s="512">
        <v>35010</v>
      </c>
      <c r="C129" s="88" t="s">
        <v>296</v>
      </c>
      <c r="D129" s="428">
        <v>0</v>
      </c>
      <c r="E129" s="428">
        <v>0</v>
      </c>
      <c r="F129" s="428">
        <f t="shared" si="35"/>
        <v>0</v>
      </c>
      <c r="G129" s="464">
        <f t="shared" si="36"/>
        <v>1</v>
      </c>
      <c r="H129" s="465">
        <f t="shared" si="37"/>
        <v>0.5025136071712456</v>
      </c>
      <c r="I129" s="428">
        <f t="shared" si="38"/>
        <v>0</v>
      </c>
      <c r="K129" s="428">
        <v>0</v>
      </c>
      <c r="L129" s="464">
        <f t="shared" si="39"/>
        <v>1</v>
      </c>
      <c r="M129" s="465">
        <f t="shared" si="40"/>
        <v>0.5025136071712456</v>
      </c>
      <c r="N129" s="428">
        <f t="shared" si="41"/>
        <v>0</v>
      </c>
    </row>
    <row r="130" spans="1:14">
      <c r="A130" s="858">
        <f t="shared" si="22"/>
        <v>116</v>
      </c>
      <c r="B130" s="512">
        <v>37402</v>
      </c>
      <c r="C130" s="88" t="s">
        <v>1007</v>
      </c>
      <c r="D130" s="428">
        <v>0</v>
      </c>
      <c r="E130" s="428">
        <v>0</v>
      </c>
      <c r="F130" s="428">
        <f t="shared" si="35"/>
        <v>0</v>
      </c>
      <c r="G130" s="464">
        <f t="shared" si="36"/>
        <v>1</v>
      </c>
      <c r="H130" s="465">
        <f t="shared" si="37"/>
        <v>0.5025136071712456</v>
      </c>
      <c r="I130" s="428">
        <f t="shared" si="38"/>
        <v>0</v>
      </c>
      <c r="K130" s="428">
        <v>0</v>
      </c>
      <c r="L130" s="464">
        <f t="shared" si="39"/>
        <v>1</v>
      </c>
      <c r="M130" s="465">
        <f t="shared" si="40"/>
        <v>0.5025136071712456</v>
      </c>
      <c r="N130" s="428">
        <f t="shared" si="41"/>
        <v>0</v>
      </c>
    </row>
    <row r="131" spans="1:14">
      <c r="A131" s="858">
        <f t="shared" si="22"/>
        <v>117</v>
      </c>
      <c r="B131" s="512">
        <v>37403</v>
      </c>
      <c r="C131" s="88" t="s">
        <v>1004</v>
      </c>
      <c r="D131" s="428">
        <v>0</v>
      </c>
      <c r="E131" s="428">
        <v>0</v>
      </c>
      <c r="F131" s="428">
        <f t="shared" si="35"/>
        <v>0</v>
      </c>
      <c r="G131" s="464">
        <f t="shared" si="36"/>
        <v>1</v>
      </c>
      <c r="H131" s="465">
        <f t="shared" si="37"/>
        <v>0.5025136071712456</v>
      </c>
      <c r="I131" s="428">
        <f t="shared" si="38"/>
        <v>0</v>
      </c>
      <c r="K131" s="428">
        <v>0</v>
      </c>
      <c r="L131" s="464">
        <f t="shared" si="39"/>
        <v>1</v>
      </c>
      <c r="M131" s="465">
        <f t="shared" si="40"/>
        <v>0.5025136071712456</v>
      </c>
      <c r="N131" s="428">
        <f t="shared" si="41"/>
        <v>0</v>
      </c>
    </row>
    <row r="132" spans="1:14">
      <c r="A132" s="858">
        <f t="shared" si="22"/>
        <v>118</v>
      </c>
      <c r="B132" s="512">
        <v>36602</v>
      </c>
      <c r="C132" s="88" t="s">
        <v>863</v>
      </c>
      <c r="D132" s="428">
        <v>0</v>
      </c>
      <c r="E132" s="428">
        <v>0</v>
      </c>
      <c r="F132" s="428">
        <f t="shared" si="35"/>
        <v>0</v>
      </c>
      <c r="G132" s="464">
        <f t="shared" si="36"/>
        <v>1</v>
      </c>
      <c r="H132" s="465">
        <f t="shared" si="37"/>
        <v>0.5025136071712456</v>
      </c>
      <c r="I132" s="428">
        <f t="shared" si="38"/>
        <v>0</v>
      </c>
      <c r="K132" s="428">
        <v>0</v>
      </c>
      <c r="L132" s="464">
        <f t="shared" si="39"/>
        <v>1</v>
      </c>
      <c r="M132" s="465">
        <f t="shared" si="40"/>
        <v>0.5025136071712456</v>
      </c>
      <c r="N132" s="428">
        <f t="shared" si="41"/>
        <v>0</v>
      </c>
    </row>
    <row r="133" spans="1:14">
      <c r="A133" s="858">
        <f t="shared" si="22"/>
        <v>119</v>
      </c>
      <c r="B133" s="512">
        <v>37501</v>
      </c>
      <c r="C133" s="88" t="s">
        <v>1005</v>
      </c>
      <c r="D133" s="428">
        <v>0</v>
      </c>
      <c r="E133" s="428">
        <v>0</v>
      </c>
      <c r="F133" s="428">
        <f t="shared" si="35"/>
        <v>0</v>
      </c>
      <c r="G133" s="464">
        <f t="shared" si="36"/>
        <v>1</v>
      </c>
      <c r="H133" s="465">
        <f t="shared" si="37"/>
        <v>0.5025136071712456</v>
      </c>
      <c r="I133" s="428">
        <f t="shared" si="38"/>
        <v>0</v>
      </c>
      <c r="K133" s="428">
        <v>0</v>
      </c>
      <c r="L133" s="464">
        <f t="shared" si="39"/>
        <v>1</v>
      </c>
      <c r="M133" s="465">
        <f t="shared" si="40"/>
        <v>0.5025136071712456</v>
      </c>
      <c r="N133" s="428">
        <f t="shared" si="41"/>
        <v>0</v>
      </c>
    </row>
    <row r="134" spans="1:14">
      <c r="A134" s="858">
        <f t="shared" si="22"/>
        <v>120</v>
      </c>
      <c r="B134" s="512">
        <v>37402</v>
      </c>
      <c r="C134" s="88" t="s">
        <v>1007</v>
      </c>
      <c r="D134" s="428">
        <v>0</v>
      </c>
      <c r="E134" s="428">
        <v>0</v>
      </c>
      <c r="F134" s="428">
        <f t="shared" si="35"/>
        <v>0</v>
      </c>
      <c r="G134" s="464">
        <f t="shared" si="36"/>
        <v>1</v>
      </c>
      <c r="H134" s="465">
        <f t="shared" si="37"/>
        <v>0.5025136071712456</v>
      </c>
      <c r="I134" s="428">
        <f t="shared" si="38"/>
        <v>0</v>
      </c>
      <c r="K134" s="428">
        <v>0</v>
      </c>
      <c r="L134" s="464">
        <f t="shared" si="39"/>
        <v>1</v>
      </c>
      <c r="M134" s="465">
        <f t="shared" si="40"/>
        <v>0.5025136071712456</v>
      </c>
      <c r="N134" s="428">
        <f t="shared" si="41"/>
        <v>0</v>
      </c>
    </row>
    <row r="135" spans="1:14">
      <c r="A135" s="858">
        <f t="shared" si="22"/>
        <v>121</v>
      </c>
      <c r="B135" s="512">
        <v>37503</v>
      </c>
      <c r="C135" s="88" t="s">
        <v>1006</v>
      </c>
      <c r="D135" s="428">
        <v>0</v>
      </c>
      <c r="E135" s="428">
        <v>0</v>
      </c>
      <c r="F135" s="428">
        <f t="shared" si="35"/>
        <v>0</v>
      </c>
      <c r="G135" s="464">
        <f t="shared" si="36"/>
        <v>1</v>
      </c>
      <c r="H135" s="465">
        <f t="shared" si="37"/>
        <v>0.5025136071712456</v>
      </c>
      <c r="I135" s="428">
        <f t="shared" si="38"/>
        <v>0</v>
      </c>
      <c r="K135" s="428">
        <v>0</v>
      </c>
      <c r="L135" s="464">
        <f t="shared" si="39"/>
        <v>1</v>
      </c>
      <c r="M135" s="465">
        <f t="shared" si="40"/>
        <v>0.5025136071712456</v>
      </c>
      <c r="N135" s="428">
        <f t="shared" si="41"/>
        <v>0</v>
      </c>
    </row>
    <row r="136" spans="1:14">
      <c r="A136" s="858">
        <f t="shared" si="22"/>
        <v>122</v>
      </c>
      <c r="B136" s="512">
        <v>36700</v>
      </c>
      <c r="C136" s="88" t="s">
        <v>851</v>
      </c>
      <c r="D136" s="428">
        <v>0</v>
      </c>
      <c r="E136" s="428">
        <v>0</v>
      </c>
      <c r="F136" s="428">
        <f t="shared" si="35"/>
        <v>0</v>
      </c>
      <c r="G136" s="464">
        <f t="shared" si="36"/>
        <v>1</v>
      </c>
      <c r="H136" s="465">
        <f t="shared" si="37"/>
        <v>0.5025136071712456</v>
      </c>
      <c r="I136" s="428">
        <f t="shared" si="38"/>
        <v>0</v>
      </c>
      <c r="K136" s="428">
        <v>0</v>
      </c>
      <c r="L136" s="464">
        <f t="shared" si="39"/>
        <v>1</v>
      </c>
      <c r="M136" s="465">
        <f t="shared" si="40"/>
        <v>0.5025136071712456</v>
      </c>
      <c r="N136" s="428">
        <f t="shared" si="41"/>
        <v>0</v>
      </c>
    </row>
    <row r="137" spans="1:14">
      <c r="A137" s="858">
        <f t="shared" si="22"/>
        <v>123</v>
      </c>
      <c r="B137" s="512">
        <v>36701</v>
      </c>
      <c r="C137" s="88" t="s">
        <v>16</v>
      </c>
      <c r="D137" s="428">
        <v>0</v>
      </c>
      <c r="E137" s="428">
        <v>0</v>
      </c>
      <c r="F137" s="428">
        <f t="shared" si="35"/>
        <v>0</v>
      </c>
      <c r="G137" s="464">
        <f t="shared" si="36"/>
        <v>1</v>
      </c>
      <c r="H137" s="465">
        <f t="shared" si="37"/>
        <v>0.5025136071712456</v>
      </c>
      <c r="I137" s="428">
        <f t="shared" si="38"/>
        <v>0</v>
      </c>
      <c r="K137" s="428">
        <v>0</v>
      </c>
      <c r="L137" s="464">
        <f t="shared" si="39"/>
        <v>1</v>
      </c>
      <c r="M137" s="465">
        <f t="shared" si="40"/>
        <v>0.5025136071712456</v>
      </c>
      <c r="N137" s="428">
        <f t="shared" si="41"/>
        <v>0</v>
      </c>
    </row>
    <row r="138" spans="1:14">
      <c r="A138" s="858">
        <f t="shared" si="22"/>
        <v>124</v>
      </c>
      <c r="B138" s="512">
        <v>37602</v>
      </c>
      <c r="C138" s="88" t="s">
        <v>852</v>
      </c>
      <c r="D138" s="428">
        <v>0</v>
      </c>
      <c r="E138" s="428">
        <v>0</v>
      </c>
      <c r="F138" s="428">
        <f t="shared" si="35"/>
        <v>0</v>
      </c>
      <c r="G138" s="464">
        <f t="shared" si="36"/>
        <v>1</v>
      </c>
      <c r="H138" s="465">
        <f t="shared" si="37"/>
        <v>0.5025136071712456</v>
      </c>
      <c r="I138" s="428">
        <f t="shared" si="38"/>
        <v>0</v>
      </c>
      <c r="K138" s="428">
        <v>0</v>
      </c>
      <c r="L138" s="464">
        <f t="shared" si="39"/>
        <v>1</v>
      </c>
      <c r="M138" s="465">
        <f t="shared" si="40"/>
        <v>0.5025136071712456</v>
      </c>
      <c r="N138" s="428">
        <f t="shared" si="41"/>
        <v>0</v>
      </c>
    </row>
    <row r="139" spans="1:14">
      <c r="A139" s="858">
        <f t="shared" si="22"/>
        <v>125</v>
      </c>
      <c r="B139" s="512">
        <v>37800</v>
      </c>
      <c r="C139" s="88" t="s">
        <v>230</v>
      </c>
      <c r="D139" s="428">
        <v>0</v>
      </c>
      <c r="E139" s="428">
        <v>0</v>
      </c>
      <c r="F139" s="428">
        <f t="shared" si="35"/>
        <v>0</v>
      </c>
      <c r="G139" s="464">
        <f t="shared" si="36"/>
        <v>1</v>
      </c>
      <c r="H139" s="465">
        <f t="shared" si="37"/>
        <v>0.5025136071712456</v>
      </c>
      <c r="I139" s="428">
        <f t="shared" si="38"/>
        <v>0</v>
      </c>
      <c r="K139" s="428">
        <v>0</v>
      </c>
      <c r="L139" s="464">
        <f t="shared" si="39"/>
        <v>1</v>
      </c>
      <c r="M139" s="465">
        <f t="shared" si="40"/>
        <v>0.5025136071712456</v>
      </c>
      <c r="N139" s="428">
        <f t="shared" si="41"/>
        <v>0</v>
      </c>
    </row>
    <row r="140" spans="1:14">
      <c r="A140" s="858">
        <f t="shared" si="22"/>
        <v>126</v>
      </c>
      <c r="B140" s="512">
        <v>37900</v>
      </c>
      <c r="C140" s="88" t="s">
        <v>1200</v>
      </c>
      <c r="D140" s="428">
        <v>0</v>
      </c>
      <c r="E140" s="428">
        <v>0</v>
      </c>
      <c r="F140" s="428">
        <f t="shared" si="35"/>
        <v>0</v>
      </c>
      <c r="G140" s="464">
        <f t="shared" si="36"/>
        <v>1</v>
      </c>
      <c r="H140" s="465">
        <f t="shared" si="37"/>
        <v>0.5025136071712456</v>
      </c>
      <c r="I140" s="428">
        <f t="shared" si="38"/>
        <v>0</v>
      </c>
      <c r="K140" s="428">
        <v>0</v>
      </c>
      <c r="L140" s="464">
        <f t="shared" si="39"/>
        <v>1</v>
      </c>
      <c r="M140" s="465">
        <f t="shared" si="40"/>
        <v>0.5025136071712456</v>
      </c>
      <c r="N140" s="428">
        <f t="shared" si="41"/>
        <v>0</v>
      </c>
    </row>
    <row r="141" spans="1:14">
      <c r="A141" s="858">
        <f t="shared" si="22"/>
        <v>127</v>
      </c>
      <c r="B141" s="512">
        <v>37905</v>
      </c>
      <c r="C141" s="88" t="s">
        <v>732</v>
      </c>
      <c r="D141" s="428">
        <v>0</v>
      </c>
      <c r="E141" s="428">
        <v>0</v>
      </c>
      <c r="F141" s="428">
        <f t="shared" si="35"/>
        <v>0</v>
      </c>
      <c r="G141" s="464">
        <f t="shared" si="36"/>
        <v>1</v>
      </c>
      <c r="H141" s="465">
        <f t="shared" si="37"/>
        <v>0.5025136071712456</v>
      </c>
      <c r="I141" s="428">
        <f t="shared" si="38"/>
        <v>0</v>
      </c>
      <c r="K141" s="428">
        <v>0</v>
      </c>
      <c r="L141" s="464">
        <f t="shared" si="39"/>
        <v>1</v>
      </c>
      <c r="M141" s="465">
        <f t="shared" si="40"/>
        <v>0.5025136071712456</v>
      </c>
      <c r="N141" s="428">
        <f t="shared" si="41"/>
        <v>0</v>
      </c>
    </row>
    <row r="142" spans="1:14">
      <c r="A142" s="858">
        <f t="shared" si="22"/>
        <v>128</v>
      </c>
      <c r="B142" s="512">
        <v>38000</v>
      </c>
      <c r="C142" s="88" t="s">
        <v>1061</v>
      </c>
      <c r="D142" s="428">
        <v>0</v>
      </c>
      <c r="E142" s="428">
        <v>0</v>
      </c>
      <c r="F142" s="428">
        <f t="shared" si="35"/>
        <v>0</v>
      </c>
      <c r="G142" s="464">
        <f t="shared" si="36"/>
        <v>1</v>
      </c>
      <c r="H142" s="465">
        <f t="shared" si="37"/>
        <v>0.5025136071712456</v>
      </c>
      <c r="I142" s="428">
        <f t="shared" si="38"/>
        <v>0</v>
      </c>
      <c r="K142" s="428">
        <v>0</v>
      </c>
      <c r="L142" s="464">
        <f t="shared" si="39"/>
        <v>1</v>
      </c>
      <c r="M142" s="465">
        <f t="shared" si="40"/>
        <v>0.5025136071712456</v>
      </c>
      <c r="N142" s="428">
        <f t="shared" si="41"/>
        <v>0</v>
      </c>
    </row>
    <row r="143" spans="1:14">
      <c r="A143" s="858">
        <f t="shared" si="22"/>
        <v>129</v>
      </c>
      <c r="B143" s="512">
        <v>38100</v>
      </c>
      <c r="C143" s="88" t="s">
        <v>853</v>
      </c>
      <c r="D143" s="428">
        <v>0</v>
      </c>
      <c r="E143" s="428">
        <v>0</v>
      </c>
      <c r="F143" s="428">
        <f t="shared" si="35"/>
        <v>0</v>
      </c>
      <c r="G143" s="464">
        <f t="shared" si="36"/>
        <v>1</v>
      </c>
      <c r="H143" s="465">
        <f t="shared" si="37"/>
        <v>0.5025136071712456</v>
      </c>
      <c r="I143" s="428">
        <f t="shared" si="38"/>
        <v>0</v>
      </c>
      <c r="K143" s="428">
        <v>0</v>
      </c>
      <c r="L143" s="464">
        <f t="shared" si="39"/>
        <v>1</v>
      </c>
      <c r="M143" s="465">
        <f t="shared" si="40"/>
        <v>0.5025136071712456</v>
      </c>
      <c r="N143" s="428">
        <f t="shared" si="41"/>
        <v>0</v>
      </c>
    </row>
    <row r="144" spans="1:14">
      <c r="A144" s="858">
        <f t="shared" si="22"/>
        <v>130</v>
      </c>
      <c r="B144" s="512">
        <v>38200</v>
      </c>
      <c r="C144" s="88" t="s">
        <v>447</v>
      </c>
      <c r="D144" s="428">
        <v>0</v>
      </c>
      <c r="E144" s="428">
        <v>0</v>
      </c>
      <c r="F144" s="428">
        <f t="shared" si="35"/>
        <v>0</v>
      </c>
      <c r="G144" s="464">
        <f t="shared" si="36"/>
        <v>1</v>
      </c>
      <c r="H144" s="465">
        <f t="shared" si="37"/>
        <v>0.5025136071712456</v>
      </c>
      <c r="I144" s="428">
        <f t="shared" si="38"/>
        <v>0</v>
      </c>
      <c r="K144" s="428">
        <v>0</v>
      </c>
      <c r="L144" s="464">
        <f t="shared" si="39"/>
        <v>1</v>
      </c>
      <c r="M144" s="465">
        <f t="shared" si="40"/>
        <v>0.5025136071712456</v>
      </c>
      <c r="N144" s="428">
        <f t="shared" si="41"/>
        <v>0</v>
      </c>
    </row>
    <row r="145" spans="1:19">
      <c r="A145" s="858">
        <f t="shared" si="22"/>
        <v>131</v>
      </c>
      <c r="B145" s="512">
        <v>38300</v>
      </c>
      <c r="C145" s="88" t="s">
        <v>1062</v>
      </c>
      <c r="D145" s="428">
        <v>0</v>
      </c>
      <c r="E145" s="428">
        <v>0</v>
      </c>
      <c r="F145" s="428">
        <f t="shared" si="35"/>
        <v>0</v>
      </c>
      <c r="G145" s="464">
        <f t="shared" si="36"/>
        <v>1</v>
      </c>
      <c r="H145" s="465">
        <f t="shared" si="37"/>
        <v>0.5025136071712456</v>
      </c>
      <c r="I145" s="428">
        <f t="shared" si="38"/>
        <v>0</v>
      </c>
      <c r="K145" s="428">
        <v>0</v>
      </c>
      <c r="L145" s="464">
        <f t="shared" si="39"/>
        <v>1</v>
      </c>
      <c r="M145" s="465">
        <f t="shared" si="40"/>
        <v>0.5025136071712456</v>
      </c>
      <c r="N145" s="428">
        <f t="shared" si="41"/>
        <v>0</v>
      </c>
    </row>
    <row r="146" spans="1:19">
      <c r="A146" s="858">
        <f t="shared" si="22"/>
        <v>132</v>
      </c>
      <c r="B146" s="512">
        <v>38400</v>
      </c>
      <c r="C146" s="88" t="s">
        <v>448</v>
      </c>
      <c r="D146" s="428">
        <v>0</v>
      </c>
      <c r="E146" s="428">
        <v>0</v>
      </c>
      <c r="F146" s="428">
        <f t="shared" si="35"/>
        <v>0</v>
      </c>
      <c r="G146" s="464">
        <f t="shared" si="36"/>
        <v>1</v>
      </c>
      <c r="H146" s="465">
        <f t="shared" si="37"/>
        <v>0.5025136071712456</v>
      </c>
      <c r="I146" s="428">
        <f t="shared" si="38"/>
        <v>0</v>
      </c>
      <c r="K146" s="428">
        <v>0</v>
      </c>
      <c r="L146" s="464">
        <f t="shared" si="39"/>
        <v>1</v>
      </c>
      <c r="M146" s="465">
        <f t="shared" si="40"/>
        <v>0.5025136071712456</v>
      </c>
      <c r="N146" s="428">
        <f t="shared" si="41"/>
        <v>0</v>
      </c>
    </row>
    <row r="147" spans="1:19">
      <c r="A147" s="858">
        <f t="shared" si="22"/>
        <v>133</v>
      </c>
      <c r="B147" s="512">
        <v>38500</v>
      </c>
      <c r="C147" s="88" t="s">
        <v>449</v>
      </c>
      <c r="D147" s="428">
        <v>0</v>
      </c>
      <c r="E147" s="428">
        <v>0</v>
      </c>
      <c r="F147" s="428">
        <f t="shared" si="35"/>
        <v>0</v>
      </c>
      <c r="G147" s="464">
        <f t="shared" si="36"/>
        <v>1</v>
      </c>
      <c r="H147" s="465">
        <f t="shared" si="37"/>
        <v>0.5025136071712456</v>
      </c>
      <c r="I147" s="428">
        <f t="shared" si="38"/>
        <v>0</v>
      </c>
      <c r="K147" s="428">
        <v>0</v>
      </c>
      <c r="L147" s="464">
        <f t="shared" si="39"/>
        <v>1</v>
      </c>
      <c r="M147" s="465">
        <f t="shared" si="40"/>
        <v>0.5025136071712456</v>
      </c>
      <c r="N147" s="428">
        <f t="shared" si="41"/>
        <v>0</v>
      </c>
    </row>
    <row r="148" spans="1:19">
      <c r="A148" s="858">
        <f t="shared" si="22"/>
        <v>134</v>
      </c>
      <c r="B148" s="512">
        <v>38600</v>
      </c>
      <c r="C148" s="88" t="s">
        <v>107</v>
      </c>
      <c r="D148" s="1049">
        <v>0</v>
      </c>
      <c r="E148" s="1049">
        <v>0</v>
      </c>
      <c r="F148" s="1049">
        <f t="shared" si="35"/>
        <v>0</v>
      </c>
      <c r="G148" s="464">
        <f t="shared" si="36"/>
        <v>1</v>
      </c>
      <c r="H148" s="465">
        <f t="shared" si="37"/>
        <v>0.5025136071712456</v>
      </c>
      <c r="I148" s="1049">
        <f t="shared" si="38"/>
        <v>0</v>
      </c>
      <c r="K148" s="1049">
        <v>0</v>
      </c>
      <c r="L148" s="464">
        <f t="shared" si="39"/>
        <v>1</v>
      </c>
      <c r="M148" s="465">
        <f t="shared" si="40"/>
        <v>0.5025136071712456</v>
      </c>
      <c r="N148" s="1049">
        <f t="shared" si="41"/>
        <v>0</v>
      </c>
    </row>
    <row r="149" spans="1:19">
      <c r="A149" s="858">
        <f t="shared" ref="A149:A231" si="42">A148+1</f>
        <v>135</v>
      </c>
      <c r="B149" s="512"/>
      <c r="C149" s="88"/>
      <c r="M149" s="465"/>
    </row>
    <row r="150" spans="1:19">
      <c r="A150" s="858">
        <f t="shared" si="42"/>
        <v>136</v>
      </c>
      <c r="B150" s="512"/>
      <c r="C150" s="88" t="s">
        <v>304</v>
      </c>
      <c r="D150" s="345">
        <f>SUM(D128:D149)</f>
        <v>0</v>
      </c>
      <c r="E150" s="345">
        <f>SUM(E128:E149)</f>
        <v>0</v>
      </c>
      <c r="F150" s="345">
        <f>SUM(F128:F149)</f>
        <v>0</v>
      </c>
      <c r="I150" s="345">
        <f>SUM(I128:I149)</f>
        <v>0</v>
      </c>
      <c r="K150" s="345">
        <f>SUM(K128:K149)</f>
        <v>0</v>
      </c>
      <c r="M150" s="465"/>
      <c r="N150" s="345">
        <f>SUM(N128:N149)</f>
        <v>0</v>
      </c>
    </row>
    <row r="151" spans="1:19">
      <c r="A151" s="858">
        <f t="shared" si="42"/>
        <v>137</v>
      </c>
      <c r="B151" s="512"/>
      <c r="C151" s="88"/>
      <c r="M151" s="465"/>
    </row>
    <row r="152" spans="1:19">
      <c r="A152" s="858">
        <f t="shared" si="42"/>
        <v>138</v>
      </c>
      <c r="B152" s="706"/>
      <c r="C152" s="619" t="s">
        <v>305</v>
      </c>
      <c r="M152" s="465"/>
    </row>
    <row r="153" spans="1:19">
      <c r="A153" s="858">
        <f t="shared" si="42"/>
        <v>139</v>
      </c>
      <c r="B153" s="512">
        <v>39001</v>
      </c>
      <c r="C153" s="88" t="s">
        <v>1577</v>
      </c>
      <c r="D153" s="359">
        <f>[3]Reserve!$Q86</f>
        <v>97362.606168000028</v>
      </c>
      <c r="E153" s="621">
        <v>0</v>
      </c>
      <c r="F153" s="345">
        <f t="shared" ref="F153:F173" si="43">D153+E153</f>
        <v>97362.606168000028</v>
      </c>
      <c r="G153" s="465">
        <f t="shared" ref="G153:G174" si="44">$G$16</f>
        <v>1</v>
      </c>
      <c r="H153" s="465">
        <f t="shared" ref="H153:H174" si="45">$H$122</f>
        <v>0.5025136071712456</v>
      </c>
      <c r="I153" s="428">
        <f t="shared" ref="I153:I174" si="46">F153*G153*H153</f>
        <v>48926.034429075058</v>
      </c>
      <c r="K153" s="345">
        <f>[3]Reserve!$C86</f>
        <v>94959.474352923091</v>
      </c>
      <c r="L153" s="465">
        <f t="shared" ref="L153:L174" si="47">G153</f>
        <v>1</v>
      </c>
      <c r="M153" s="465">
        <f t="shared" ref="M153:M174" si="48">H153</f>
        <v>0.5025136071712456</v>
      </c>
      <c r="N153" s="345">
        <f t="shared" ref="N153:N174" si="49">K153*L153*M153</f>
        <v>47718.427992172765</v>
      </c>
      <c r="P153" s="512"/>
      <c r="R153" s="422"/>
      <c r="S153" s="422"/>
    </row>
    <row r="154" spans="1:19">
      <c r="A154" s="858">
        <f t="shared" si="42"/>
        <v>140</v>
      </c>
      <c r="B154" s="512">
        <v>39004</v>
      </c>
      <c r="C154" s="88" t="s">
        <v>1561</v>
      </c>
      <c r="D154" s="359">
        <f>[3]Reserve!$Q87</f>
        <v>8250.9603015000012</v>
      </c>
      <c r="E154" s="428">
        <v>0</v>
      </c>
      <c r="F154" s="428">
        <f t="shared" si="43"/>
        <v>8250.9603015000012</v>
      </c>
      <c r="G154" s="464">
        <f t="shared" si="44"/>
        <v>1</v>
      </c>
      <c r="H154" s="465">
        <f t="shared" si="45"/>
        <v>0.5025136071712456</v>
      </c>
      <c r="I154" s="428">
        <f t="shared" si="46"/>
        <v>4146.2198237335142</v>
      </c>
      <c r="K154" s="345">
        <f>[3]Reserve!$C87</f>
        <v>7687.1400811730773</v>
      </c>
      <c r="L154" s="464">
        <f t="shared" si="47"/>
        <v>1</v>
      </c>
      <c r="M154" s="465">
        <f t="shared" si="48"/>
        <v>0.5025136071712456</v>
      </c>
      <c r="N154" s="428">
        <f t="shared" si="49"/>
        <v>3862.8924910209448</v>
      </c>
      <c r="P154" s="512"/>
      <c r="R154" s="422"/>
      <c r="S154" s="422"/>
    </row>
    <row r="155" spans="1:19">
      <c r="A155" s="858">
        <f t="shared" si="42"/>
        <v>141</v>
      </c>
      <c r="B155" s="512">
        <v>39009</v>
      </c>
      <c r="C155" s="88" t="s">
        <v>1562</v>
      </c>
      <c r="D155" s="359">
        <f>[3]Reserve!$Q88</f>
        <v>38834</v>
      </c>
      <c r="E155" s="428">
        <v>0</v>
      </c>
      <c r="F155" s="428">
        <f t="shared" si="43"/>
        <v>38834</v>
      </c>
      <c r="G155" s="464">
        <f t="shared" si="44"/>
        <v>1</v>
      </c>
      <c r="H155" s="465">
        <f t="shared" si="45"/>
        <v>0.5025136071712456</v>
      </c>
      <c r="I155" s="428">
        <f t="shared" si="46"/>
        <v>19514.613420888152</v>
      </c>
      <c r="K155" s="345">
        <f>[3]Reserve!$C88</f>
        <v>38834</v>
      </c>
      <c r="L155" s="464">
        <f t="shared" si="47"/>
        <v>1</v>
      </c>
      <c r="M155" s="465">
        <f t="shared" si="48"/>
        <v>0.5025136071712456</v>
      </c>
      <c r="N155" s="428">
        <f t="shared" si="49"/>
        <v>19514.613420888152</v>
      </c>
      <c r="P155" s="512"/>
      <c r="R155" s="422"/>
      <c r="S155" s="422"/>
    </row>
    <row r="156" spans="1:19">
      <c r="A156" s="858">
        <f t="shared" si="42"/>
        <v>142</v>
      </c>
      <c r="B156" s="512">
        <v>39100</v>
      </c>
      <c r="C156" s="88" t="s">
        <v>1563</v>
      </c>
      <c r="D156" s="359">
        <f>[3]Reserve!$Q89</f>
        <v>41397.21</v>
      </c>
      <c r="E156" s="428">
        <v>0</v>
      </c>
      <c r="F156" s="428">
        <f t="shared" si="43"/>
        <v>41397.21</v>
      </c>
      <c r="G156" s="464">
        <f t="shared" si="44"/>
        <v>1</v>
      </c>
      <c r="H156" s="465">
        <f t="shared" si="45"/>
        <v>0.5025136071712456</v>
      </c>
      <c r="I156" s="428">
        <f t="shared" si="46"/>
        <v>20802.66132392556</v>
      </c>
      <c r="K156" s="345">
        <f>[3]Reserve!$C89</f>
        <v>41397.210000000006</v>
      </c>
      <c r="L156" s="464">
        <f t="shared" ref="L156:L161" si="50">G156</f>
        <v>1</v>
      </c>
      <c r="M156" s="465">
        <f t="shared" ref="M156:M161" si="51">H156</f>
        <v>0.5025136071712456</v>
      </c>
      <c r="N156" s="428">
        <f t="shared" si="49"/>
        <v>20802.661323925564</v>
      </c>
      <c r="P156" s="512"/>
      <c r="R156" s="422"/>
      <c r="S156" s="422"/>
    </row>
    <row r="157" spans="1:19">
      <c r="A157" s="858">
        <f t="shared" si="42"/>
        <v>143</v>
      </c>
      <c r="B157" s="512">
        <v>39101</v>
      </c>
      <c r="C157" s="88" t="s">
        <v>1533</v>
      </c>
      <c r="D157" s="359">
        <f>[3]Reserve!$Q90</f>
        <v>0</v>
      </c>
      <c r="E157" s="428">
        <v>0</v>
      </c>
      <c r="F157" s="428">
        <f t="shared" si="43"/>
        <v>0</v>
      </c>
      <c r="G157" s="464">
        <f t="shared" si="44"/>
        <v>1</v>
      </c>
      <c r="H157" s="465">
        <f t="shared" si="45"/>
        <v>0.5025136071712456</v>
      </c>
      <c r="I157" s="428">
        <f t="shared" si="46"/>
        <v>0</v>
      </c>
      <c r="K157" s="345">
        <f>[3]Reserve!$C90</f>
        <v>0</v>
      </c>
      <c r="L157" s="464">
        <f t="shared" si="50"/>
        <v>1</v>
      </c>
      <c r="M157" s="465">
        <f t="shared" si="51"/>
        <v>0.5025136071712456</v>
      </c>
      <c r="N157" s="428">
        <f t="shared" si="49"/>
        <v>0</v>
      </c>
      <c r="P157" s="512"/>
      <c r="R157" s="422"/>
      <c r="S157" s="422"/>
    </row>
    <row r="158" spans="1:19">
      <c r="A158" s="858">
        <f t="shared" si="42"/>
        <v>144</v>
      </c>
      <c r="B158" s="512">
        <v>39103</v>
      </c>
      <c r="C158" s="88" t="s">
        <v>787</v>
      </c>
      <c r="D158" s="359">
        <f>[3]Reserve!$Q91</f>
        <v>0</v>
      </c>
      <c r="E158" s="428">
        <v>0</v>
      </c>
      <c r="F158" s="428">
        <f t="shared" si="43"/>
        <v>0</v>
      </c>
      <c r="G158" s="464">
        <f t="shared" si="44"/>
        <v>1</v>
      </c>
      <c r="H158" s="465">
        <f t="shared" si="45"/>
        <v>0.5025136071712456</v>
      </c>
      <c r="I158" s="428">
        <f t="shared" si="46"/>
        <v>0</v>
      </c>
      <c r="K158" s="345">
        <f>[3]Reserve!$C91</f>
        <v>0</v>
      </c>
      <c r="L158" s="464">
        <f t="shared" si="50"/>
        <v>1</v>
      </c>
      <c r="M158" s="465">
        <f t="shared" si="51"/>
        <v>0.5025136071712456</v>
      </c>
      <c r="N158" s="428">
        <f t="shared" si="49"/>
        <v>0</v>
      </c>
      <c r="P158" s="512"/>
      <c r="R158" s="422"/>
      <c r="S158" s="422"/>
    </row>
    <row r="159" spans="1:19">
      <c r="A159" s="858">
        <f t="shared" si="42"/>
        <v>145</v>
      </c>
      <c r="B159" s="512">
        <v>39200</v>
      </c>
      <c r="C159" s="88" t="s">
        <v>1578</v>
      </c>
      <c r="D159" s="359">
        <f>[3]Reserve!$Q92</f>
        <v>14714.304411500003</v>
      </c>
      <c r="E159" s="428">
        <v>0</v>
      </c>
      <c r="F159" s="428">
        <f t="shared" si="43"/>
        <v>14714.304411500003</v>
      </c>
      <c r="G159" s="464">
        <f t="shared" si="44"/>
        <v>1</v>
      </c>
      <c r="H159" s="465">
        <f t="shared" si="45"/>
        <v>0.5025136071712456</v>
      </c>
      <c r="I159" s="428">
        <f t="shared" si="46"/>
        <v>7394.1381868386388</v>
      </c>
      <c r="K159" s="345">
        <f>[3]Reserve!$C92</f>
        <v>13804.355803096152</v>
      </c>
      <c r="L159" s="464">
        <f t="shared" si="50"/>
        <v>1</v>
      </c>
      <c r="M159" s="465">
        <f t="shared" si="51"/>
        <v>0.5025136071712456</v>
      </c>
      <c r="N159" s="428">
        <f t="shared" si="49"/>
        <v>6936.8766292891642</v>
      </c>
      <c r="P159" s="512"/>
      <c r="R159" s="422"/>
      <c r="S159" s="422"/>
    </row>
    <row r="160" spans="1:19">
      <c r="A160" s="858">
        <f t="shared" si="42"/>
        <v>146</v>
      </c>
      <c r="B160" s="512">
        <v>39300</v>
      </c>
      <c r="C160" s="88" t="s">
        <v>655</v>
      </c>
      <c r="D160" s="359">
        <f>[3]Reserve!$Q93</f>
        <v>0</v>
      </c>
      <c r="E160" s="428">
        <v>0</v>
      </c>
      <c r="F160" s="428">
        <f t="shared" si="43"/>
        <v>0</v>
      </c>
      <c r="G160" s="464">
        <f t="shared" si="44"/>
        <v>1</v>
      </c>
      <c r="H160" s="465">
        <f t="shared" si="45"/>
        <v>0.5025136071712456</v>
      </c>
      <c r="I160" s="428">
        <f t="shared" si="46"/>
        <v>0</v>
      </c>
      <c r="K160" s="345">
        <f>[3]Reserve!$C93</f>
        <v>0</v>
      </c>
      <c r="L160" s="464">
        <f t="shared" si="50"/>
        <v>1</v>
      </c>
      <c r="M160" s="465">
        <f t="shared" si="51"/>
        <v>0.5025136071712456</v>
      </c>
      <c r="N160" s="428">
        <f t="shared" si="49"/>
        <v>0</v>
      </c>
      <c r="P160" s="512"/>
      <c r="R160" s="422"/>
      <c r="S160" s="422"/>
    </row>
    <row r="161" spans="1:19">
      <c r="A161" s="858">
        <f t="shared" si="42"/>
        <v>147</v>
      </c>
      <c r="B161" s="512">
        <v>39400</v>
      </c>
      <c r="C161" s="88" t="s">
        <v>1566</v>
      </c>
      <c r="D161" s="359">
        <f>[3]Reserve!$Q94</f>
        <v>131937.66647999996</v>
      </c>
      <c r="E161" s="428">
        <v>0</v>
      </c>
      <c r="F161" s="428">
        <f t="shared" si="43"/>
        <v>131937.66647999996</v>
      </c>
      <c r="G161" s="464">
        <f t="shared" si="44"/>
        <v>1</v>
      </c>
      <c r="H161" s="465">
        <f t="shared" si="45"/>
        <v>0.5025136071712456</v>
      </c>
      <c r="I161" s="428">
        <f t="shared" si="46"/>
        <v>66300.472704621512</v>
      </c>
      <c r="K161" s="345">
        <f>[3]Reserve!$C94</f>
        <v>128964.12405230767</v>
      </c>
      <c r="L161" s="464">
        <f t="shared" si="50"/>
        <v>1</v>
      </c>
      <c r="M161" s="465">
        <f t="shared" si="51"/>
        <v>0.5025136071712456</v>
      </c>
      <c r="N161" s="428">
        <f t="shared" si="49"/>
        <v>64806.227173205123</v>
      </c>
      <c r="P161" s="512"/>
      <c r="R161" s="422"/>
      <c r="S161" s="422"/>
    </row>
    <row r="162" spans="1:19">
      <c r="A162" s="858">
        <f t="shared" si="42"/>
        <v>148</v>
      </c>
      <c r="B162" s="512">
        <v>39600</v>
      </c>
      <c r="C162" s="88" t="s">
        <v>1579</v>
      </c>
      <c r="D162" s="359">
        <f>[3]Reserve!$Q95</f>
        <v>7060.4620419999974</v>
      </c>
      <c r="E162" s="428">
        <v>0</v>
      </c>
      <c r="F162" s="428">
        <f t="shared" si="43"/>
        <v>7060.4620419999974</v>
      </c>
      <c r="G162" s="464">
        <f t="shared" si="44"/>
        <v>1</v>
      </c>
      <c r="H162" s="465">
        <f t="shared" si="45"/>
        <v>0.5025136071712456</v>
      </c>
      <c r="I162" s="428">
        <f t="shared" si="46"/>
        <v>3547.9782490210773</v>
      </c>
      <c r="K162" s="345">
        <f>[3]Reserve!$C95</f>
        <v>6613.2205497692303</v>
      </c>
      <c r="L162" s="464">
        <f t="shared" si="47"/>
        <v>1</v>
      </c>
      <c r="M162" s="465">
        <f t="shared" si="48"/>
        <v>0.5025136071712456</v>
      </c>
      <c r="N162" s="428">
        <f t="shared" si="49"/>
        <v>3323.233313483544</v>
      </c>
      <c r="P162" s="512"/>
      <c r="R162" s="422"/>
      <c r="S162" s="422"/>
    </row>
    <row r="163" spans="1:19">
      <c r="A163" s="858">
        <f t="shared" si="42"/>
        <v>149</v>
      </c>
      <c r="B163" s="512">
        <v>39700</v>
      </c>
      <c r="C163" s="88" t="s">
        <v>1570</v>
      </c>
      <c r="D163" s="359">
        <f>[3]Reserve!$Q96</f>
        <v>-9039.5733499999951</v>
      </c>
      <c r="E163" s="428">
        <v>0</v>
      </c>
      <c r="F163" s="428">
        <f t="shared" si="43"/>
        <v>-9039.5733499999951</v>
      </c>
      <c r="G163" s="464">
        <f t="shared" si="44"/>
        <v>1</v>
      </c>
      <c r="H163" s="465">
        <f t="shared" si="45"/>
        <v>0.5025136071712456</v>
      </c>
      <c r="I163" s="428">
        <f t="shared" si="46"/>
        <v>-4542.5086113975585</v>
      </c>
      <c r="K163" s="345">
        <f>[3]Reserve!$C96</f>
        <v>-9574.3647480769196</v>
      </c>
      <c r="L163" s="464">
        <f t="shared" si="47"/>
        <v>1</v>
      </c>
      <c r="M163" s="465">
        <f t="shared" si="48"/>
        <v>0.5025136071712456</v>
      </c>
      <c r="N163" s="428">
        <f t="shared" si="49"/>
        <v>-4811.248565929347</v>
      </c>
      <c r="P163" s="512"/>
      <c r="R163" s="422"/>
      <c r="S163" s="422"/>
    </row>
    <row r="164" spans="1:19">
      <c r="A164" s="858">
        <f t="shared" si="42"/>
        <v>150</v>
      </c>
      <c r="B164" s="512">
        <v>39701</v>
      </c>
      <c r="C164" s="88" t="s">
        <v>1530</v>
      </c>
      <c r="D164" s="359">
        <f>[3]Reserve!$Q97</f>
        <v>0</v>
      </c>
      <c r="E164" s="428">
        <v>0</v>
      </c>
      <c r="F164" s="428">
        <f t="shared" si="43"/>
        <v>0</v>
      </c>
      <c r="G164" s="464">
        <f t="shared" si="44"/>
        <v>1</v>
      </c>
      <c r="H164" s="465">
        <f t="shared" si="45"/>
        <v>0.5025136071712456</v>
      </c>
      <c r="I164" s="428">
        <f t="shared" si="46"/>
        <v>0</v>
      </c>
      <c r="K164" s="345">
        <f>[3]Reserve!$C97</f>
        <v>0</v>
      </c>
      <c r="L164" s="464">
        <f t="shared" si="47"/>
        <v>1</v>
      </c>
      <c r="M164" s="465">
        <f t="shared" si="48"/>
        <v>0.5025136071712456</v>
      </c>
      <c r="N164" s="428">
        <f t="shared" si="49"/>
        <v>0</v>
      </c>
      <c r="P164" s="512"/>
      <c r="R164" s="422"/>
      <c r="S164" s="422"/>
    </row>
    <row r="165" spans="1:19">
      <c r="A165" s="858">
        <f t="shared" si="42"/>
        <v>151</v>
      </c>
      <c r="B165" s="706">
        <v>39702</v>
      </c>
      <c r="C165" s="88" t="s">
        <v>1530</v>
      </c>
      <c r="D165" s="359">
        <f>[3]Reserve!$Q98</f>
        <v>0</v>
      </c>
      <c r="E165" s="428">
        <v>0</v>
      </c>
      <c r="F165" s="428">
        <f t="shared" si="43"/>
        <v>0</v>
      </c>
      <c r="G165" s="464">
        <f t="shared" si="44"/>
        <v>1</v>
      </c>
      <c r="H165" s="465">
        <f t="shared" si="45"/>
        <v>0.5025136071712456</v>
      </c>
      <c r="I165" s="428">
        <f t="shared" si="46"/>
        <v>0</v>
      </c>
      <c r="K165" s="345">
        <f>[3]Reserve!$C98</f>
        <v>0</v>
      </c>
      <c r="L165" s="464">
        <f t="shared" si="47"/>
        <v>1</v>
      </c>
      <c r="M165" s="465">
        <f t="shared" si="48"/>
        <v>0.5025136071712456</v>
      </c>
      <c r="N165" s="428">
        <f t="shared" si="49"/>
        <v>0</v>
      </c>
      <c r="P165" s="512"/>
      <c r="R165" s="422"/>
      <c r="S165" s="422"/>
    </row>
    <row r="166" spans="1:19">
      <c r="A166" s="858">
        <f t="shared" si="42"/>
        <v>152</v>
      </c>
      <c r="B166" s="706">
        <v>39800</v>
      </c>
      <c r="C166" s="88" t="s">
        <v>1572</v>
      </c>
      <c r="D166" s="359">
        <f>[3]Reserve!$Q99</f>
        <v>674249.65536800027</v>
      </c>
      <c r="E166" s="428">
        <v>0</v>
      </c>
      <c r="F166" s="428">
        <f t="shared" si="43"/>
        <v>674249.65536800027</v>
      </c>
      <c r="G166" s="464">
        <f t="shared" si="44"/>
        <v>1</v>
      </c>
      <c r="H166" s="465">
        <f t="shared" si="45"/>
        <v>0.5025136071712456</v>
      </c>
      <c r="I166" s="428">
        <f t="shared" si="46"/>
        <v>338819.62645294302</v>
      </c>
      <c r="K166" s="345">
        <f>[3]Reserve!$C99</f>
        <v>660123.8587529232</v>
      </c>
      <c r="L166" s="464">
        <f t="shared" si="47"/>
        <v>1</v>
      </c>
      <c r="M166" s="465">
        <f t="shared" si="48"/>
        <v>0.5025136071712456</v>
      </c>
      <c r="N166" s="428">
        <f t="shared" si="49"/>
        <v>331721.22144173324</v>
      </c>
      <c r="P166" s="512"/>
      <c r="R166" s="422"/>
      <c r="S166" s="422"/>
    </row>
    <row r="167" spans="1:19">
      <c r="A167" s="858">
        <f t="shared" si="42"/>
        <v>153</v>
      </c>
      <c r="B167" s="706">
        <v>39900</v>
      </c>
      <c r="C167" s="88" t="s">
        <v>1580</v>
      </c>
      <c r="D167" s="359">
        <f>[3]Reserve!$Q100</f>
        <v>0</v>
      </c>
      <c r="E167" s="428">
        <v>0</v>
      </c>
      <c r="F167" s="428">
        <f t="shared" si="43"/>
        <v>0</v>
      </c>
      <c r="G167" s="464">
        <f t="shared" si="44"/>
        <v>1</v>
      </c>
      <c r="H167" s="465">
        <f t="shared" si="45"/>
        <v>0.5025136071712456</v>
      </c>
      <c r="I167" s="428">
        <f t="shared" si="46"/>
        <v>0</v>
      </c>
      <c r="K167" s="345">
        <f>[3]Reserve!$C100</f>
        <v>0</v>
      </c>
      <c r="L167" s="464">
        <f t="shared" si="47"/>
        <v>1</v>
      </c>
      <c r="M167" s="465">
        <f t="shared" si="48"/>
        <v>0.5025136071712456</v>
      </c>
      <c r="N167" s="428">
        <f t="shared" si="49"/>
        <v>0</v>
      </c>
      <c r="P167" s="512"/>
      <c r="R167" s="422"/>
      <c r="S167" s="422"/>
    </row>
    <row r="168" spans="1:19">
      <c r="A168" s="858">
        <f t="shared" si="42"/>
        <v>154</v>
      </c>
      <c r="B168" s="706">
        <v>39901</v>
      </c>
      <c r="C168" s="88" t="s">
        <v>1581</v>
      </c>
      <c r="D168" s="359">
        <f>[3]Reserve!$Q101</f>
        <v>-34804.35</v>
      </c>
      <c r="E168" s="428">
        <v>0</v>
      </c>
      <c r="F168" s="428">
        <f t="shared" si="43"/>
        <v>-34804.35</v>
      </c>
      <c r="G168" s="464">
        <f t="shared" si="44"/>
        <v>1</v>
      </c>
      <c r="H168" s="465">
        <f t="shared" si="45"/>
        <v>0.5025136071712456</v>
      </c>
      <c r="I168" s="428">
        <f t="shared" si="46"/>
        <v>-17489.65946375054</v>
      </c>
      <c r="K168" s="345">
        <f>[3]Reserve!$C101</f>
        <v>-34825.123846153838</v>
      </c>
      <c r="L168" s="464">
        <f t="shared" si="47"/>
        <v>1</v>
      </c>
      <c r="M168" s="465">
        <f t="shared" si="48"/>
        <v>0.5025136071712456</v>
      </c>
      <c r="N168" s="428">
        <f t="shared" si="49"/>
        <v>-17500.098604116127</v>
      </c>
      <c r="P168" s="512"/>
      <c r="R168" s="422"/>
      <c r="S168" s="422"/>
    </row>
    <row r="169" spans="1:19">
      <c r="A169" s="858">
        <f t="shared" si="42"/>
        <v>155</v>
      </c>
      <c r="B169" s="706">
        <v>39902</v>
      </c>
      <c r="C169" s="88" t="s">
        <v>1582</v>
      </c>
      <c r="D169" s="359">
        <f>[3]Reserve!$Q102</f>
        <v>0</v>
      </c>
      <c r="E169" s="428">
        <v>0</v>
      </c>
      <c r="F169" s="428">
        <f t="shared" si="43"/>
        <v>0</v>
      </c>
      <c r="G169" s="464">
        <f t="shared" si="44"/>
        <v>1</v>
      </c>
      <c r="H169" s="465">
        <f t="shared" si="45"/>
        <v>0.5025136071712456</v>
      </c>
      <c r="I169" s="428">
        <f t="shared" si="46"/>
        <v>0</v>
      </c>
      <c r="K169" s="345">
        <f>[3]Reserve!$C102</f>
        <v>0</v>
      </c>
      <c r="L169" s="464">
        <f t="shared" si="47"/>
        <v>1</v>
      </c>
      <c r="M169" s="465">
        <f t="shared" si="48"/>
        <v>0.5025136071712456</v>
      </c>
      <c r="N169" s="428">
        <f t="shared" si="49"/>
        <v>0</v>
      </c>
      <c r="P169" s="512"/>
      <c r="R169" s="422"/>
      <c r="S169" s="422"/>
    </row>
    <row r="170" spans="1:19">
      <c r="A170" s="858">
        <f t="shared" si="42"/>
        <v>156</v>
      </c>
      <c r="B170" s="706">
        <v>39903</v>
      </c>
      <c r="C170" s="88" t="s">
        <v>1573</v>
      </c>
      <c r="D170" s="359">
        <f>[3]Reserve!$Q103</f>
        <v>0</v>
      </c>
      <c r="E170" s="428">
        <v>0</v>
      </c>
      <c r="F170" s="428">
        <f t="shared" si="43"/>
        <v>0</v>
      </c>
      <c r="G170" s="464">
        <f t="shared" si="44"/>
        <v>1</v>
      </c>
      <c r="H170" s="465">
        <f t="shared" si="45"/>
        <v>0.5025136071712456</v>
      </c>
      <c r="I170" s="428">
        <f t="shared" si="46"/>
        <v>0</v>
      </c>
      <c r="K170" s="345">
        <f>[3]Reserve!$C103</f>
        <v>0</v>
      </c>
      <c r="L170" s="464">
        <f t="shared" si="47"/>
        <v>1</v>
      </c>
      <c r="M170" s="465">
        <f t="shared" si="48"/>
        <v>0.5025136071712456</v>
      </c>
      <c r="N170" s="428">
        <f t="shared" si="49"/>
        <v>0</v>
      </c>
      <c r="P170" s="512"/>
      <c r="R170" s="422"/>
      <c r="S170" s="422"/>
    </row>
    <row r="171" spans="1:19">
      <c r="A171" s="858">
        <f t="shared" si="42"/>
        <v>157</v>
      </c>
      <c r="B171" s="706">
        <v>39906</v>
      </c>
      <c r="C171" s="88" t="s">
        <v>1574</v>
      </c>
      <c r="D171" s="359">
        <f>[3]Reserve!$Q104</f>
        <v>74207.98</v>
      </c>
      <c r="E171" s="428">
        <v>0</v>
      </c>
      <c r="F171" s="428">
        <f t="shared" si="43"/>
        <v>74207.98</v>
      </c>
      <c r="G171" s="464">
        <f t="shared" si="44"/>
        <v>1</v>
      </c>
      <c r="H171" s="465">
        <f t="shared" si="45"/>
        <v>0.5025136071712456</v>
      </c>
      <c r="I171" s="428">
        <f t="shared" si="46"/>
        <v>37290.519710691646</v>
      </c>
      <c r="K171" s="345">
        <f>[3]Reserve!$C104</f>
        <v>74207.98</v>
      </c>
      <c r="L171" s="464">
        <f t="shared" si="47"/>
        <v>1</v>
      </c>
      <c r="M171" s="465">
        <f t="shared" si="48"/>
        <v>0.5025136071712456</v>
      </c>
      <c r="N171" s="428">
        <f t="shared" si="49"/>
        <v>37290.519710691646</v>
      </c>
      <c r="P171" s="512"/>
      <c r="R171" s="422"/>
      <c r="S171" s="422"/>
    </row>
    <row r="172" spans="1:19">
      <c r="A172" s="858">
        <f t="shared" si="42"/>
        <v>158</v>
      </c>
      <c r="B172" s="706">
        <v>39907</v>
      </c>
      <c r="C172" s="88" t="s">
        <v>1575</v>
      </c>
      <c r="D172" s="359">
        <f>[3]Reserve!$Q105</f>
        <v>19229.81242350001</v>
      </c>
      <c r="E172" s="428">
        <v>0</v>
      </c>
      <c r="F172" s="428">
        <f t="shared" si="43"/>
        <v>19229.81242350001</v>
      </c>
      <c r="G172" s="464">
        <f t="shared" si="44"/>
        <v>1</v>
      </c>
      <c r="H172" s="465">
        <f t="shared" si="45"/>
        <v>0.5025136071712456</v>
      </c>
      <c r="I172" s="428">
        <f t="shared" si="46"/>
        <v>9663.2424061594229</v>
      </c>
      <c r="K172" s="345">
        <f>[3]Reserve!$C105</f>
        <v>17282.023344788464</v>
      </c>
      <c r="L172" s="464">
        <f t="shared" si="47"/>
        <v>1</v>
      </c>
      <c r="M172" s="465">
        <f t="shared" si="48"/>
        <v>0.5025136071712456</v>
      </c>
      <c r="N172" s="428">
        <f t="shared" si="49"/>
        <v>8684.4518902073269</v>
      </c>
      <c r="P172" s="512"/>
      <c r="R172" s="422"/>
      <c r="S172" s="422"/>
    </row>
    <row r="173" spans="1:19">
      <c r="A173" s="858">
        <f t="shared" si="42"/>
        <v>159</v>
      </c>
      <c r="B173" s="706">
        <v>39908</v>
      </c>
      <c r="C173" s="88" t="s">
        <v>1576</v>
      </c>
      <c r="D173" s="359">
        <f>[3]Reserve!$Q106</f>
        <v>828509.36</v>
      </c>
      <c r="E173" s="428">
        <v>0</v>
      </c>
      <c r="F173" s="428">
        <f t="shared" si="43"/>
        <v>828509.36</v>
      </c>
      <c r="G173" s="464">
        <f t="shared" si="44"/>
        <v>1</v>
      </c>
      <c r="H173" s="465">
        <f t="shared" si="45"/>
        <v>0.5025136071712456</v>
      </c>
      <c r="I173" s="428">
        <f t="shared" si="46"/>
        <v>416337.22706874012</v>
      </c>
      <c r="K173" s="345">
        <f>[3]Reserve!$C106</f>
        <v>828509.36</v>
      </c>
      <c r="L173" s="464">
        <f t="shared" si="47"/>
        <v>1</v>
      </c>
      <c r="M173" s="465">
        <f t="shared" si="48"/>
        <v>0.5025136071712456</v>
      </c>
      <c r="N173" s="428">
        <f t="shared" si="49"/>
        <v>416337.22706874012</v>
      </c>
      <c r="P173" s="512"/>
      <c r="R173" s="422"/>
      <c r="S173" s="422"/>
    </row>
    <row r="174" spans="1:19">
      <c r="A174" s="858">
        <f t="shared" si="42"/>
        <v>160</v>
      </c>
      <c r="B174" s="706"/>
      <c r="C174" s="88" t="s">
        <v>1153</v>
      </c>
      <c r="D174" s="359">
        <f>[3]Reserve!$Q107</f>
        <v>52517.30000000001</v>
      </c>
      <c r="E174" s="809"/>
      <c r="F174" s="809"/>
      <c r="G174" s="464">
        <f t="shared" si="44"/>
        <v>1</v>
      </c>
      <c r="H174" s="465">
        <f t="shared" si="45"/>
        <v>0.5025136071712456</v>
      </c>
      <c r="I174" s="1049">
        <f t="shared" si="46"/>
        <v>0</v>
      </c>
      <c r="K174" s="345">
        <f>[3]Reserve!$C107</f>
        <v>52517.30000000001</v>
      </c>
      <c r="L174" s="464">
        <f t="shared" si="47"/>
        <v>1</v>
      </c>
      <c r="M174" s="465">
        <f t="shared" si="48"/>
        <v>0.5025136071712456</v>
      </c>
      <c r="N174" s="1049">
        <f t="shared" si="49"/>
        <v>26390.657861894462</v>
      </c>
      <c r="R174" s="422"/>
      <c r="S174" s="422"/>
    </row>
    <row r="175" spans="1:19">
      <c r="A175" s="858">
        <f t="shared" si="42"/>
        <v>161</v>
      </c>
      <c r="B175" s="389"/>
      <c r="C175" s="88"/>
      <c r="D175" s="618"/>
      <c r="E175" s="618"/>
      <c r="F175" s="618"/>
    </row>
    <row r="176" spans="1:19">
      <c r="A176" s="858">
        <f t="shared" si="42"/>
        <v>162</v>
      </c>
      <c r="B176" s="389"/>
      <c r="C176" s="88" t="s">
        <v>4</v>
      </c>
      <c r="D176" s="345">
        <f>SUM(D153:D174)</f>
        <v>1944427.3938445004</v>
      </c>
      <c r="E176" s="345">
        <f>SUM(E153:E174)</f>
        <v>0</v>
      </c>
      <c r="F176" s="345">
        <f>SUM(F153:F174)</f>
        <v>1891910.0938445004</v>
      </c>
      <c r="I176" s="345">
        <f>SUM(I153:I174)</f>
        <v>950710.56570148957</v>
      </c>
      <c r="K176" s="345">
        <f>SUM(K153:K174)</f>
        <v>1920500.5583427502</v>
      </c>
      <c r="N176" s="345">
        <f>SUM(N153:N174)</f>
        <v>965077.66314720653</v>
      </c>
    </row>
    <row r="177" spans="1:19">
      <c r="A177" s="858">
        <f t="shared" si="42"/>
        <v>163</v>
      </c>
      <c r="B177" s="389"/>
      <c r="C177" s="88"/>
    </row>
    <row r="178" spans="1:19" ht="15.75" thickBot="1">
      <c r="A178" s="858">
        <f t="shared" si="42"/>
        <v>164</v>
      </c>
      <c r="B178" s="389"/>
      <c r="C178" s="232" t="s">
        <v>1345</v>
      </c>
      <c r="D178" s="328">
        <f>D125+D150+D176</f>
        <v>1944427.3938445004</v>
      </c>
      <c r="E178" s="328">
        <f>E125+E150+E176</f>
        <v>0</v>
      </c>
      <c r="F178" s="328">
        <f>F125+F150+F176</f>
        <v>1891910.0938445004</v>
      </c>
      <c r="I178" s="328">
        <f>I125+I150+I176</f>
        <v>950710.56570148957</v>
      </c>
      <c r="K178" s="328">
        <f>K125+K150+K176</f>
        <v>1920500.5583427502</v>
      </c>
      <c r="N178" s="328">
        <f>N125+N150+N176</f>
        <v>965077.66314720653</v>
      </c>
    </row>
    <row r="179" spans="1:19" ht="15.75" thickTop="1">
      <c r="A179" s="858">
        <f t="shared" si="42"/>
        <v>165</v>
      </c>
      <c r="B179" s="1045"/>
      <c r="D179" s="428"/>
      <c r="E179" s="327"/>
    </row>
    <row r="180" spans="1:19" ht="15.75">
      <c r="A180" s="858">
        <f t="shared" si="42"/>
        <v>166</v>
      </c>
      <c r="B180" s="1050" t="s">
        <v>8</v>
      </c>
      <c r="D180" s="428"/>
      <c r="E180" s="327"/>
    </row>
    <row r="181" spans="1:19">
      <c r="A181" s="858">
        <f t="shared" si="42"/>
        <v>167</v>
      </c>
      <c r="D181" s="428"/>
    </row>
    <row r="182" spans="1:19">
      <c r="A182" s="858">
        <f t="shared" si="42"/>
        <v>168</v>
      </c>
      <c r="B182" s="389"/>
      <c r="C182" s="619" t="s">
        <v>305</v>
      </c>
      <c r="D182" s="428"/>
    </row>
    <row r="183" spans="1:19">
      <c r="A183" s="858">
        <f t="shared" si="42"/>
        <v>169</v>
      </c>
      <c r="B183" s="512">
        <v>39000</v>
      </c>
      <c r="C183" s="88" t="s">
        <v>1558</v>
      </c>
      <c r="D183" s="345">
        <f>[3]Reserve!$Q7</f>
        <v>470346.30362341501</v>
      </c>
      <c r="E183" s="621">
        <v>0</v>
      </c>
      <c r="F183" s="345">
        <f t="shared" ref="F183:F221" si="52">D183+E183</f>
        <v>470346.30362341501</v>
      </c>
      <c r="G183" s="465">
        <f>Allocation!$G$14</f>
        <v>0.10349999999999999</v>
      </c>
      <c r="H183" s="465">
        <f>Allocation!$H$14</f>
        <v>0.5025136071712456</v>
      </c>
      <c r="I183" s="428">
        <f t="shared" ref="I183:I221" si="53">F183*G183*H183</f>
        <v>24462.785727133542</v>
      </c>
      <c r="K183" s="345">
        <f>[3]Reserve!$C7</f>
        <v>451140.6569037576</v>
      </c>
      <c r="L183" s="465">
        <f>G183</f>
        <v>0.10349999999999999</v>
      </c>
      <c r="M183" s="465">
        <f t="shared" ref="M183:M221" si="54">H183</f>
        <v>0.5025136071712456</v>
      </c>
      <c r="N183" s="345">
        <f t="shared" ref="N183:N221" si="55">K183*L183*M183</f>
        <v>23463.897000179346</v>
      </c>
      <c r="P183" s="660"/>
      <c r="R183" s="422"/>
      <c r="S183" s="422"/>
    </row>
    <row r="184" spans="1:19">
      <c r="A184" s="858">
        <f t="shared" si="42"/>
        <v>170</v>
      </c>
      <c r="B184" s="512">
        <v>39005</v>
      </c>
      <c r="C184" s="88" t="s">
        <v>1583</v>
      </c>
      <c r="D184" s="345">
        <f>[3]Reserve!$Q8</f>
        <v>3425409.4895795002</v>
      </c>
      <c r="E184" s="621">
        <v>0</v>
      </c>
      <c r="F184" s="428">
        <f t="shared" si="52"/>
        <v>3425409.4895795002</v>
      </c>
      <c r="G184" s="465">
        <v>1</v>
      </c>
      <c r="H184" s="465">
        <f>Allocation!E20</f>
        <v>1.550753E-2</v>
      </c>
      <c r="I184" s="428">
        <f t="shared" ref="I184:I198" si="56">F184*G184*H184</f>
        <v>53119.640421938784</v>
      </c>
      <c r="K184" s="345">
        <f>[3]Reserve!$C8</f>
        <v>3233790.5833483269</v>
      </c>
      <c r="L184" s="465">
        <f t="shared" ref="L184:L220" si="57">G184</f>
        <v>1</v>
      </c>
      <c r="M184" s="465">
        <f t="shared" ref="M184:M220" si="58">H184</f>
        <v>1.550753E-2</v>
      </c>
      <c r="N184" s="428">
        <f t="shared" si="55"/>
        <v>50148.10448499168</v>
      </c>
      <c r="P184" s="660"/>
      <c r="R184" s="422"/>
      <c r="S184" s="422"/>
    </row>
    <row r="185" spans="1:19">
      <c r="A185" s="858">
        <f t="shared" si="42"/>
        <v>171</v>
      </c>
      <c r="B185" s="512">
        <v>39009</v>
      </c>
      <c r="C185" s="88" t="s">
        <v>1562</v>
      </c>
      <c r="D185" s="345">
        <f>[3]Reserve!$Q9</f>
        <v>9352081.261483293</v>
      </c>
      <c r="E185" s="621">
        <v>0</v>
      </c>
      <c r="F185" s="428">
        <f t="shared" si="52"/>
        <v>9352081.261483293</v>
      </c>
      <c r="G185" s="465">
        <f>Allocation!$G$14</f>
        <v>0.10349999999999999</v>
      </c>
      <c r="H185" s="465">
        <f>Allocation!$H$14</f>
        <v>0.5025136071712456</v>
      </c>
      <c r="I185" s="428">
        <f t="shared" si="56"/>
        <v>486403.22723909124</v>
      </c>
      <c r="K185" s="345">
        <f>[3]Reserve!$C9</f>
        <v>9190905.8588171974</v>
      </c>
      <c r="L185" s="465">
        <f t="shared" si="57"/>
        <v>0.10349999999999999</v>
      </c>
      <c r="M185" s="465">
        <f t="shared" si="58"/>
        <v>0.5025136071712456</v>
      </c>
      <c r="N185" s="428">
        <f t="shared" si="55"/>
        <v>478020.46902555594</v>
      </c>
      <c r="P185" s="660"/>
      <c r="R185" s="422"/>
      <c r="S185" s="422"/>
    </row>
    <row r="186" spans="1:19">
      <c r="A186" s="858">
        <f t="shared" si="42"/>
        <v>172</v>
      </c>
      <c r="B186" s="512">
        <v>39020</v>
      </c>
      <c r="C186" s="88" t="s">
        <v>1534</v>
      </c>
      <c r="D186" s="345">
        <f>[3]Reserve!$Q10</f>
        <v>-0.04</v>
      </c>
      <c r="E186" s="621">
        <v>0</v>
      </c>
      <c r="F186" s="428">
        <f t="shared" si="52"/>
        <v>-0.04</v>
      </c>
      <c r="G186" s="465">
        <v>1</v>
      </c>
      <c r="H186" s="465">
        <f>Allocation!E22</f>
        <v>6.437198999999999E-2</v>
      </c>
      <c r="I186" s="428">
        <f t="shared" si="56"/>
        <v>-2.5748795999999997E-3</v>
      </c>
      <c r="K186" s="345">
        <f>[3]Reserve!$C10</f>
        <v>-3.9999999999999994E-2</v>
      </c>
      <c r="L186" s="465">
        <f t="shared" si="57"/>
        <v>1</v>
      </c>
      <c r="M186" s="465">
        <f t="shared" si="58"/>
        <v>6.437198999999999E-2</v>
      </c>
      <c r="N186" s="428">
        <f t="shared" si="55"/>
        <v>-2.5748795999999993E-3</v>
      </c>
      <c r="P186" s="660"/>
      <c r="R186" s="422"/>
      <c r="S186" s="422"/>
    </row>
    <row r="187" spans="1:19">
      <c r="A187" s="858">
        <f t="shared" si="42"/>
        <v>173</v>
      </c>
      <c r="B187" s="512">
        <v>39029</v>
      </c>
      <c r="C187" s="88" t="s">
        <v>1535</v>
      </c>
      <c r="D187" s="345">
        <f>[3]Reserve!$Q11</f>
        <v>-0.08</v>
      </c>
      <c r="E187" s="621">
        <v>0</v>
      </c>
      <c r="F187" s="428">
        <f t="shared" si="52"/>
        <v>-0.08</v>
      </c>
      <c r="G187" s="465">
        <v>1</v>
      </c>
      <c r="H187" s="465">
        <f>Allocation!E22</f>
        <v>6.437198999999999E-2</v>
      </c>
      <c r="I187" s="428">
        <f t="shared" si="56"/>
        <v>-5.1497591999999995E-3</v>
      </c>
      <c r="K187" s="345">
        <f>[3]Reserve!$C11</f>
        <v>-7.9999999999999988E-2</v>
      </c>
      <c r="L187" s="465">
        <f t="shared" si="57"/>
        <v>1</v>
      </c>
      <c r="M187" s="465">
        <f t="shared" si="58"/>
        <v>6.437198999999999E-2</v>
      </c>
      <c r="N187" s="428">
        <f t="shared" si="55"/>
        <v>-5.1497591999999986E-3</v>
      </c>
      <c r="P187" s="660"/>
      <c r="R187" s="422"/>
      <c r="S187" s="422"/>
    </row>
    <row r="188" spans="1:19">
      <c r="A188" s="858">
        <f t="shared" si="42"/>
        <v>174</v>
      </c>
      <c r="B188" s="512">
        <v>39100</v>
      </c>
      <c r="C188" s="88" t="s">
        <v>1563</v>
      </c>
      <c r="D188" s="345">
        <f>[3]Reserve!$Q12</f>
        <v>1741999.8427880045</v>
      </c>
      <c r="E188" s="621">
        <v>0</v>
      </c>
      <c r="F188" s="428">
        <f t="shared" si="52"/>
        <v>1741999.8427880045</v>
      </c>
      <c r="G188" s="465">
        <f>Allocation!$G$14</f>
        <v>0.10349999999999999</v>
      </c>
      <c r="H188" s="465">
        <f>Allocation!$H$14</f>
        <v>0.5025136071712456</v>
      </c>
      <c r="I188" s="428">
        <f t="shared" si="56"/>
        <v>90601.687655533286</v>
      </c>
      <c r="K188" s="345">
        <f>[3]Reserve!$C12</f>
        <v>2682949.1026425627</v>
      </c>
      <c r="L188" s="465">
        <f t="shared" si="57"/>
        <v>0.10349999999999999</v>
      </c>
      <c r="M188" s="465">
        <f t="shared" si="58"/>
        <v>0.5025136071712456</v>
      </c>
      <c r="N188" s="428">
        <f t="shared" si="55"/>
        <v>139540.60765256724</v>
      </c>
      <c r="P188" s="660"/>
      <c r="R188" s="422"/>
      <c r="S188" s="422"/>
    </row>
    <row r="189" spans="1:19">
      <c r="A189" s="858">
        <f t="shared" si="42"/>
        <v>175</v>
      </c>
      <c r="B189" s="512">
        <v>39102</v>
      </c>
      <c r="C189" s="88" t="s">
        <v>1584</v>
      </c>
      <c r="D189" s="345">
        <f>[3]Reserve!$Q13</f>
        <v>0.84000000000000008</v>
      </c>
      <c r="E189" s="621">
        <v>0</v>
      </c>
      <c r="F189" s="428">
        <f t="shared" si="52"/>
        <v>0.84000000000000008</v>
      </c>
      <c r="G189" s="465">
        <f>Allocation!$G$14</f>
        <v>0.10349999999999999</v>
      </c>
      <c r="H189" s="465">
        <f>Allocation!$H$14</f>
        <v>0.5025136071712456</v>
      </c>
      <c r="I189" s="428">
        <f t="shared" si="56"/>
        <v>4.3688533007468097E-2</v>
      </c>
      <c r="K189" s="345">
        <f>[3]Reserve!$C13</f>
        <v>0.61384615384615382</v>
      </c>
      <c r="L189" s="465">
        <f t="shared" si="57"/>
        <v>0.10349999999999999</v>
      </c>
      <c r="M189" s="465">
        <f t="shared" si="58"/>
        <v>0.5025136071712456</v>
      </c>
      <c r="N189" s="428">
        <f t="shared" si="55"/>
        <v>3.1926235659303602E-2</v>
      </c>
      <c r="P189" s="660"/>
      <c r="R189" s="422"/>
      <c r="S189" s="422"/>
    </row>
    <row r="190" spans="1:19">
      <c r="A190" s="858">
        <f t="shared" si="42"/>
        <v>176</v>
      </c>
      <c r="B190" s="512">
        <v>39103</v>
      </c>
      <c r="C190" s="88" t="s">
        <v>1341</v>
      </c>
      <c r="D190" s="345">
        <f>[3]Reserve!$Q14</f>
        <v>0.3</v>
      </c>
      <c r="E190" s="621">
        <v>0</v>
      </c>
      <c r="F190" s="428">
        <f t="shared" si="52"/>
        <v>0.3</v>
      </c>
      <c r="G190" s="465">
        <f>Allocation!$G$14</f>
        <v>0.10349999999999999</v>
      </c>
      <c r="H190" s="465">
        <f>Allocation!$H$14</f>
        <v>0.5025136071712456</v>
      </c>
      <c r="I190" s="428">
        <f t="shared" si="56"/>
        <v>1.5603047502667175E-2</v>
      </c>
      <c r="K190" s="345">
        <f>[3]Reserve!$C14</f>
        <v>0.2192307692307692</v>
      </c>
      <c r="L190" s="465">
        <f t="shared" si="57"/>
        <v>0.10349999999999999</v>
      </c>
      <c r="M190" s="465">
        <f t="shared" si="58"/>
        <v>0.5025136071712456</v>
      </c>
      <c r="N190" s="428">
        <f t="shared" si="55"/>
        <v>1.1402227021179857E-2</v>
      </c>
      <c r="P190" s="660"/>
      <c r="R190" s="422"/>
      <c r="S190" s="422"/>
    </row>
    <row r="191" spans="1:19">
      <c r="A191" s="858">
        <f t="shared" si="42"/>
        <v>177</v>
      </c>
      <c r="B191" s="512">
        <v>39104</v>
      </c>
      <c r="C191" s="88" t="s">
        <v>1585</v>
      </c>
      <c r="D191" s="345">
        <f>[3]Reserve!$Q15</f>
        <v>34219.260221999997</v>
      </c>
      <c r="E191" s="621">
        <v>0</v>
      </c>
      <c r="F191" s="428">
        <f t="shared" si="52"/>
        <v>34219.260221999997</v>
      </c>
      <c r="G191" s="465">
        <f>G184</f>
        <v>1</v>
      </c>
      <c r="H191" s="465">
        <f>H184</f>
        <v>1.550753E-2</v>
      </c>
      <c r="I191" s="428">
        <f t="shared" si="56"/>
        <v>530.65620447047161</v>
      </c>
      <c r="K191" s="345">
        <f>[3]Reserve!$C15</f>
        <v>30180.531982846154</v>
      </c>
      <c r="L191" s="465">
        <f t="shared" si="57"/>
        <v>1</v>
      </c>
      <c r="M191" s="465">
        <f t="shared" si="58"/>
        <v>1.550753E-2</v>
      </c>
      <c r="N191" s="428">
        <f t="shared" si="55"/>
        <v>468.02550513994623</v>
      </c>
      <c r="P191" s="660"/>
      <c r="R191" s="422"/>
      <c r="S191" s="422"/>
    </row>
    <row r="192" spans="1:19">
      <c r="A192" s="858">
        <f t="shared" si="42"/>
        <v>178</v>
      </c>
      <c r="B192" s="512">
        <v>39120</v>
      </c>
      <c r="C192" s="88" t="s">
        <v>1536</v>
      </c>
      <c r="D192" s="345">
        <f>[3]Reserve!$Q16</f>
        <v>91745.37311799996</v>
      </c>
      <c r="E192" s="621">
        <v>0</v>
      </c>
      <c r="F192" s="428">
        <f t="shared" si="52"/>
        <v>91745.37311799996</v>
      </c>
      <c r="G192" s="465">
        <v>1</v>
      </c>
      <c r="H192" s="465">
        <f>H187</f>
        <v>6.437198999999999E-2</v>
      </c>
      <c r="I192" s="428">
        <f t="shared" si="56"/>
        <v>5905.8322408981612</v>
      </c>
      <c r="K192" s="345">
        <f>[3]Reserve!$C16</f>
        <v>90224.430070230723</v>
      </c>
      <c r="L192" s="465">
        <f t="shared" si="57"/>
        <v>1</v>
      </c>
      <c r="M192" s="465">
        <f t="shared" si="58"/>
        <v>6.437198999999999E-2</v>
      </c>
      <c r="N192" s="428">
        <f t="shared" si="55"/>
        <v>5807.9261102365908</v>
      </c>
      <c r="P192" s="660"/>
      <c r="R192" s="422"/>
      <c r="S192" s="422"/>
    </row>
    <row r="193" spans="1:19">
      <c r="A193" s="858">
        <f t="shared" si="42"/>
        <v>179</v>
      </c>
      <c r="B193" s="512">
        <v>39200</v>
      </c>
      <c r="C193" s="88" t="s">
        <v>1564</v>
      </c>
      <c r="D193" s="345">
        <f>[3]Reserve!$Q17</f>
        <v>4474.4899999999989</v>
      </c>
      <c r="E193" s="621">
        <v>0</v>
      </c>
      <c r="F193" s="428">
        <f t="shared" si="52"/>
        <v>4474.4899999999989</v>
      </c>
      <c r="G193" s="465">
        <f>Allocation!$G$14</f>
        <v>0.10349999999999999</v>
      </c>
      <c r="H193" s="465">
        <f>Allocation!$H$14</f>
        <v>0.5025136071712456</v>
      </c>
      <c r="I193" s="428">
        <f t="shared" si="56"/>
        <v>232.71893340069744</v>
      </c>
      <c r="K193" s="345">
        <f>[3]Reserve!$C17</f>
        <v>4309.1392307692295</v>
      </c>
      <c r="L193" s="465">
        <f t="shared" si="57"/>
        <v>0.10349999999999999</v>
      </c>
      <c r="M193" s="465">
        <f t="shared" si="58"/>
        <v>0.5025136071712456</v>
      </c>
      <c r="N193" s="428">
        <f t="shared" si="55"/>
        <v>224.1190137109966</v>
      </c>
      <c r="P193" s="660"/>
      <c r="R193" s="422"/>
      <c r="S193" s="422"/>
    </row>
    <row r="194" spans="1:19">
      <c r="A194" s="858">
        <f t="shared" si="42"/>
        <v>180</v>
      </c>
      <c r="B194" s="512">
        <v>39300</v>
      </c>
      <c r="C194" s="88" t="s">
        <v>1586</v>
      </c>
      <c r="D194" s="345">
        <f>[3]Reserve!$Q18</f>
        <v>0</v>
      </c>
      <c r="E194" s="621">
        <v>0</v>
      </c>
      <c r="F194" s="428">
        <f t="shared" si="52"/>
        <v>0</v>
      </c>
      <c r="G194" s="465">
        <f>Allocation!$G$14</f>
        <v>0.10349999999999999</v>
      </c>
      <c r="H194" s="465">
        <f>Allocation!$H$14</f>
        <v>0.5025136071712456</v>
      </c>
      <c r="I194" s="428">
        <f t="shared" si="56"/>
        <v>0</v>
      </c>
      <c r="K194" s="345">
        <f>[3]Reserve!$C18</f>
        <v>0</v>
      </c>
      <c r="L194" s="465">
        <f t="shared" si="57"/>
        <v>0.10349999999999999</v>
      </c>
      <c r="M194" s="465">
        <f t="shared" si="58"/>
        <v>0.5025136071712456</v>
      </c>
      <c r="N194" s="428">
        <f t="shared" si="55"/>
        <v>0</v>
      </c>
      <c r="P194" s="660"/>
      <c r="R194" s="422"/>
      <c r="S194" s="422"/>
    </row>
    <row r="195" spans="1:19">
      <c r="A195" s="858">
        <f t="shared" si="42"/>
        <v>181</v>
      </c>
      <c r="B195" s="512">
        <v>39400</v>
      </c>
      <c r="C195" s="88" t="s">
        <v>1566</v>
      </c>
      <c r="D195" s="345">
        <f>[3]Reserve!$Q19</f>
        <v>32087.850994335611</v>
      </c>
      <c r="E195" s="621">
        <v>0</v>
      </c>
      <c r="F195" s="428">
        <f t="shared" si="52"/>
        <v>32087.850994335611</v>
      </c>
      <c r="G195" s="465">
        <f>Allocation!$G$14</f>
        <v>0.10349999999999999</v>
      </c>
      <c r="H195" s="465">
        <f>Allocation!$H$14</f>
        <v>0.5025136071712456</v>
      </c>
      <c r="I195" s="428">
        <f t="shared" si="56"/>
        <v>1668.8942110770822</v>
      </c>
      <c r="K195" s="345">
        <f>[3]Reserve!$C19</f>
        <v>65440.53908129943</v>
      </c>
      <c r="L195" s="465">
        <f t="shared" si="57"/>
        <v>0.10349999999999999</v>
      </c>
      <c r="M195" s="465">
        <f t="shared" si="58"/>
        <v>0.5025136071712456</v>
      </c>
      <c r="N195" s="428">
        <f t="shared" si="55"/>
        <v>3403.5727996188757</v>
      </c>
      <c r="P195" s="660"/>
      <c r="R195" s="422"/>
      <c r="S195" s="422"/>
    </row>
    <row r="196" spans="1:19">
      <c r="A196" s="858">
        <f t="shared" si="42"/>
        <v>182</v>
      </c>
      <c r="B196" s="512">
        <v>39420</v>
      </c>
      <c r="C196" s="88" t="s">
        <v>1537</v>
      </c>
      <c r="D196" s="345">
        <f>[3]Reserve!$Q20</f>
        <v>-16426.899999999991</v>
      </c>
      <c r="E196" s="621">
        <v>0</v>
      </c>
      <c r="F196" s="428">
        <f t="shared" si="52"/>
        <v>-16426.899999999991</v>
      </c>
      <c r="G196" s="465">
        <v>1</v>
      </c>
      <c r="H196" s="465">
        <f>H187</f>
        <v>6.437198999999999E-2</v>
      </c>
      <c r="I196" s="428">
        <f>F196*G196*H196</f>
        <v>-1057.4322425309992</v>
      </c>
      <c r="K196" s="345">
        <f>[3]Reserve!$C20</f>
        <v>1264.2892307692362</v>
      </c>
      <c r="L196" s="465">
        <f t="shared" si="57"/>
        <v>1</v>
      </c>
      <c r="M196" s="465">
        <f t="shared" si="58"/>
        <v>6.437198999999999E-2</v>
      </c>
      <c r="N196" s="428">
        <f t="shared" si="55"/>
        <v>81.384813720184951</v>
      </c>
      <c r="P196" s="660"/>
      <c r="R196" s="422"/>
      <c r="S196" s="422"/>
    </row>
    <row r="197" spans="1:19">
      <c r="A197" s="858">
        <f t="shared" si="42"/>
        <v>183</v>
      </c>
      <c r="B197" s="512">
        <v>39500</v>
      </c>
      <c r="C197" s="88" t="s">
        <v>1587</v>
      </c>
      <c r="D197" s="345">
        <f>[3]Reserve!$Q21</f>
        <v>0</v>
      </c>
      <c r="E197" s="621">
        <v>0</v>
      </c>
      <c r="F197" s="428">
        <f t="shared" si="52"/>
        <v>0</v>
      </c>
      <c r="G197" s="465">
        <f>Allocation!$G$14</f>
        <v>0.10349999999999999</v>
      </c>
      <c r="H197" s="465">
        <f>Allocation!$H$14</f>
        <v>0.5025136071712456</v>
      </c>
      <c r="I197" s="428">
        <f t="shared" si="56"/>
        <v>0</v>
      </c>
      <c r="K197" s="345">
        <f>[3]Reserve!$C21</f>
        <v>0</v>
      </c>
      <c r="L197" s="465">
        <f t="shared" si="57"/>
        <v>0.10349999999999999</v>
      </c>
      <c r="M197" s="465">
        <f t="shared" si="58"/>
        <v>0.5025136071712456</v>
      </c>
      <c r="N197" s="428">
        <f t="shared" si="55"/>
        <v>0</v>
      </c>
      <c r="P197" s="660"/>
      <c r="R197" s="422"/>
      <c r="S197" s="422"/>
    </row>
    <row r="198" spans="1:19">
      <c r="A198" s="858">
        <f t="shared" si="42"/>
        <v>184</v>
      </c>
      <c r="B198" s="512">
        <v>39700</v>
      </c>
      <c r="C198" s="88" t="s">
        <v>1570</v>
      </c>
      <c r="D198" s="345">
        <f>[3]Reserve!$Q22</f>
        <v>1231502.6819450001</v>
      </c>
      <c r="E198" s="621">
        <v>0</v>
      </c>
      <c r="F198" s="428">
        <f t="shared" si="52"/>
        <v>1231502.6819450001</v>
      </c>
      <c r="G198" s="465">
        <f>Allocation!$G$14</f>
        <v>0.10349999999999999</v>
      </c>
      <c r="H198" s="465">
        <f>Allocation!$H$14</f>
        <v>0.5025136071712456</v>
      </c>
      <c r="I198" s="428">
        <f t="shared" si="56"/>
        <v>64050.649486832874</v>
      </c>
      <c r="K198" s="345">
        <f>[3]Reserve!$C22</f>
        <v>1214409.3201390386</v>
      </c>
      <c r="L198" s="465">
        <f t="shared" si="57"/>
        <v>0.10349999999999999</v>
      </c>
      <c r="M198" s="465">
        <f t="shared" si="58"/>
        <v>0.5025136071712456</v>
      </c>
      <c r="N198" s="428">
        <f t="shared" si="55"/>
        <v>63161.621032703893</v>
      </c>
      <c r="P198" s="660"/>
      <c r="R198" s="422"/>
      <c r="S198" s="422"/>
    </row>
    <row r="199" spans="1:19">
      <c r="A199" s="858">
        <f t="shared" si="42"/>
        <v>185</v>
      </c>
      <c r="B199" s="512">
        <v>39720</v>
      </c>
      <c r="C199" s="88" t="s">
        <v>1538</v>
      </c>
      <c r="D199" s="345">
        <f>[3]Reserve!$Q23</f>
        <v>7263.753459999999</v>
      </c>
      <c r="E199" s="621">
        <v>0</v>
      </c>
      <c r="F199" s="428">
        <f t="shared" si="52"/>
        <v>7263.753459999999</v>
      </c>
      <c r="G199" s="465">
        <v>1</v>
      </c>
      <c r="H199" s="465">
        <f>H187</f>
        <v>6.437198999999999E-2</v>
      </c>
      <c r="I199" s="428">
        <f t="shared" si="53"/>
        <v>467.58226508958523</v>
      </c>
      <c r="K199" s="345">
        <f>[3]Reserve!$C23</f>
        <v>4278.8724699999993</v>
      </c>
      <c r="L199" s="465">
        <f t="shared" si="57"/>
        <v>1</v>
      </c>
      <c r="M199" s="465">
        <f t="shared" si="58"/>
        <v>6.437198999999999E-2</v>
      </c>
      <c r="N199" s="428">
        <f t="shared" si="55"/>
        <v>275.43953585011519</v>
      </c>
      <c r="P199" s="660"/>
      <c r="R199" s="422"/>
      <c r="S199" s="422"/>
    </row>
    <row r="200" spans="1:19">
      <c r="A200" s="858">
        <f t="shared" si="42"/>
        <v>186</v>
      </c>
      <c r="B200" s="512">
        <v>39800</v>
      </c>
      <c r="C200" s="88" t="s">
        <v>1572</v>
      </c>
      <c r="D200" s="345">
        <f>[3]Reserve!$Q24</f>
        <v>40572.032915500014</v>
      </c>
      <c r="E200" s="621">
        <v>0</v>
      </c>
      <c r="F200" s="428">
        <f t="shared" si="52"/>
        <v>40572.032915500014</v>
      </c>
      <c r="G200" s="465">
        <f>$G$183</f>
        <v>0.10349999999999999</v>
      </c>
      <c r="H200" s="465">
        <f>$H$183</f>
        <v>0.5025136071712456</v>
      </c>
      <c r="I200" s="428">
        <f t="shared" si="53"/>
        <v>2110.1578562010764</v>
      </c>
      <c r="K200" s="345">
        <f>[3]Reserve!$C24</f>
        <v>39725.756169557702</v>
      </c>
      <c r="L200" s="465">
        <f t="shared" si="57"/>
        <v>0.10349999999999999</v>
      </c>
      <c r="M200" s="465">
        <f t="shared" si="58"/>
        <v>0.5025136071712456</v>
      </c>
      <c r="N200" s="428">
        <f t="shared" si="55"/>
        <v>2066.1428686432746</v>
      </c>
      <c r="P200" s="660"/>
      <c r="R200" s="422"/>
      <c r="S200" s="422"/>
    </row>
    <row r="201" spans="1:19">
      <c r="A201" s="858">
        <f t="shared" si="42"/>
        <v>187</v>
      </c>
      <c r="B201" s="512">
        <v>39820</v>
      </c>
      <c r="C201" s="88" t="s">
        <v>1539</v>
      </c>
      <c r="D201" s="345">
        <f>[3]Reserve!$Q25</f>
        <v>4891.0178065000009</v>
      </c>
      <c r="E201" s="621">
        <v>0</v>
      </c>
      <c r="F201" s="428">
        <f t="shared" si="52"/>
        <v>4891.0178065000009</v>
      </c>
      <c r="G201" s="465">
        <v>1</v>
      </c>
      <c r="H201" s="465">
        <f>H199</f>
        <v>6.437198999999999E-2</v>
      </c>
      <c r="I201" s="428">
        <f t="shared" si="53"/>
        <v>314.84454932983994</v>
      </c>
      <c r="K201" s="345">
        <f>[3]Reserve!$C25</f>
        <v>1725.9728709807698</v>
      </c>
      <c r="L201" s="465">
        <f t="shared" si="57"/>
        <v>1</v>
      </c>
      <c r="M201" s="465">
        <f t="shared" si="58"/>
        <v>6.437198999999999E-2</v>
      </c>
      <c r="N201" s="428">
        <f t="shared" si="55"/>
        <v>111.10430839104539</v>
      </c>
      <c r="P201" s="660"/>
      <c r="R201" s="422"/>
      <c r="S201" s="422"/>
    </row>
    <row r="202" spans="1:19">
      <c r="A202" s="858">
        <f t="shared" si="42"/>
        <v>188</v>
      </c>
      <c r="B202" s="512">
        <v>39900</v>
      </c>
      <c r="C202" s="88" t="s">
        <v>1588</v>
      </c>
      <c r="D202" s="345">
        <f>[3]Reserve!$Q26</f>
        <v>164784.07</v>
      </c>
      <c r="E202" s="621">
        <v>0</v>
      </c>
      <c r="F202" s="428">
        <f t="shared" si="52"/>
        <v>164784.07</v>
      </c>
      <c r="G202" s="465">
        <f>$G$183</f>
        <v>0.10349999999999999</v>
      </c>
      <c r="H202" s="465">
        <f>$H$183</f>
        <v>0.5025136071712456</v>
      </c>
      <c r="I202" s="428">
        <f t="shared" si="53"/>
        <v>8570.4455729761103</v>
      </c>
      <c r="K202" s="345">
        <f>[3]Reserve!$C26</f>
        <v>164534.10307692311</v>
      </c>
      <c r="L202" s="465">
        <f t="shared" si="57"/>
        <v>0.10349999999999999</v>
      </c>
      <c r="M202" s="465">
        <f t="shared" si="58"/>
        <v>0.5025136071712456</v>
      </c>
      <c r="N202" s="428">
        <f t="shared" si="55"/>
        <v>8557.4447537265623</v>
      </c>
      <c r="P202" s="660"/>
      <c r="R202" s="422"/>
      <c r="S202" s="422"/>
    </row>
    <row r="203" spans="1:19">
      <c r="A203" s="858">
        <f t="shared" si="42"/>
        <v>189</v>
      </c>
      <c r="B203" s="512">
        <v>39901</v>
      </c>
      <c r="C203" s="80" t="s">
        <v>1581</v>
      </c>
      <c r="D203" s="345">
        <f>[3]Reserve!$Q27</f>
        <v>19218476.652707987</v>
      </c>
      <c r="E203" s="428">
        <v>0</v>
      </c>
      <c r="F203" s="428">
        <f t="shared" ref="F203" si="59">D203+E203</f>
        <v>19218476.652707987</v>
      </c>
      <c r="G203" s="465">
        <v>1</v>
      </c>
      <c r="H203" s="465">
        <f>$H$198</f>
        <v>0.5025136071712456</v>
      </c>
      <c r="I203" s="428">
        <f t="shared" ref="I203" si="60">F203*G203*H203</f>
        <v>9657546.027088657</v>
      </c>
      <c r="K203" s="345">
        <f>[3]Reserve!$C27</f>
        <v>18178041.039575223</v>
      </c>
      <c r="L203" s="465">
        <f t="shared" si="57"/>
        <v>1</v>
      </c>
      <c r="M203" s="465">
        <f t="shared" si="58"/>
        <v>0.5025136071712456</v>
      </c>
      <c r="N203" s="428">
        <f t="shared" ref="N203" si="61">K203*L203*M203</f>
        <v>9134712.9741038848</v>
      </c>
      <c r="P203" s="660"/>
      <c r="R203" s="422"/>
      <c r="S203" s="422"/>
    </row>
    <row r="204" spans="1:19">
      <c r="A204" s="858">
        <f t="shared" si="42"/>
        <v>190</v>
      </c>
      <c r="B204" s="512">
        <v>39902</v>
      </c>
      <c r="C204" s="88" t="s">
        <v>1582</v>
      </c>
      <c r="D204" s="345">
        <f>[3]Reserve!$Q28</f>
        <v>15943162.631719494</v>
      </c>
      <c r="E204" s="621">
        <v>0</v>
      </c>
      <c r="F204" s="428">
        <f t="shared" si="52"/>
        <v>15943162.631719494</v>
      </c>
      <c r="G204" s="465">
        <f t="shared" ref="G204:G221" si="62">$G$183</f>
        <v>0.10349999999999999</v>
      </c>
      <c r="H204" s="465">
        <f t="shared" ref="H204:H221" si="63">$H$183</f>
        <v>0.5025136071712456</v>
      </c>
      <c r="I204" s="428">
        <f t="shared" si="53"/>
        <v>829206.41295155825</v>
      </c>
      <c r="K204" s="345">
        <f>[3]Reserve!$C28</f>
        <v>15625201.039693709</v>
      </c>
      <c r="L204" s="465">
        <f t="shared" si="57"/>
        <v>0.10349999999999999</v>
      </c>
      <c r="M204" s="465">
        <f t="shared" si="58"/>
        <v>0.5025136071712456</v>
      </c>
      <c r="N204" s="428">
        <f t="shared" si="55"/>
        <v>812669.18020355166</v>
      </c>
      <c r="P204" s="660"/>
      <c r="R204" s="422"/>
      <c r="S204" s="422"/>
    </row>
    <row r="205" spans="1:19">
      <c r="A205" s="858">
        <f t="shared" si="42"/>
        <v>191</v>
      </c>
      <c r="B205" s="512">
        <v>39903</v>
      </c>
      <c r="C205" s="88" t="s">
        <v>1573</v>
      </c>
      <c r="D205" s="345">
        <f>[3]Reserve!$Q29</f>
        <v>2251878.1799999988</v>
      </c>
      <c r="E205" s="621">
        <v>0</v>
      </c>
      <c r="F205" s="428">
        <f t="shared" si="52"/>
        <v>2251878.1799999988</v>
      </c>
      <c r="G205" s="465">
        <f t="shared" si="62"/>
        <v>0.10349999999999999</v>
      </c>
      <c r="H205" s="465">
        <f t="shared" si="63"/>
        <v>0.5025136071712456</v>
      </c>
      <c r="I205" s="428">
        <f t="shared" si="53"/>
        <v>117120.54070919895</v>
      </c>
      <c r="K205" s="345">
        <f>[3]Reserve!$C29</f>
        <v>2213188.7976923073</v>
      </c>
      <c r="L205" s="465">
        <f t="shared" si="57"/>
        <v>0.10349999999999999</v>
      </c>
      <c r="M205" s="465">
        <f t="shared" si="58"/>
        <v>0.5025136071712456</v>
      </c>
      <c r="N205" s="428">
        <f t="shared" si="55"/>
        <v>115108.29980921307</v>
      </c>
      <c r="P205" s="660"/>
      <c r="R205" s="422"/>
      <c r="S205" s="422"/>
    </row>
    <row r="206" spans="1:19">
      <c r="A206" s="858">
        <f t="shared" si="42"/>
        <v>192</v>
      </c>
      <c r="B206" s="512">
        <v>39904</v>
      </c>
      <c r="C206" s="88" t="s">
        <v>1589</v>
      </c>
      <c r="D206" s="345">
        <f>[3]Reserve!$Q30</f>
        <v>0</v>
      </c>
      <c r="E206" s="621">
        <v>0</v>
      </c>
      <c r="F206" s="428">
        <f t="shared" si="52"/>
        <v>0</v>
      </c>
      <c r="G206" s="465">
        <f t="shared" si="62"/>
        <v>0.10349999999999999</v>
      </c>
      <c r="H206" s="465">
        <f t="shared" si="63"/>
        <v>0.5025136071712456</v>
      </c>
      <c r="I206" s="428">
        <f t="shared" si="53"/>
        <v>0</v>
      </c>
      <c r="K206" s="345">
        <f>[3]Reserve!$C30</f>
        <v>0</v>
      </c>
      <c r="L206" s="465">
        <f t="shared" si="57"/>
        <v>0.10349999999999999</v>
      </c>
      <c r="M206" s="465">
        <f t="shared" si="58"/>
        <v>0.5025136071712456</v>
      </c>
      <c r="N206" s="428">
        <f t="shared" si="55"/>
        <v>0</v>
      </c>
      <c r="P206" s="660"/>
      <c r="R206" s="422"/>
      <c r="S206" s="422"/>
    </row>
    <row r="207" spans="1:19">
      <c r="A207" s="858">
        <f t="shared" si="42"/>
        <v>193</v>
      </c>
      <c r="B207" s="512">
        <v>39905</v>
      </c>
      <c r="C207" s="88" t="s">
        <v>1590</v>
      </c>
      <c r="D207" s="345">
        <f>[3]Reserve!$Q31</f>
        <v>0</v>
      </c>
      <c r="E207" s="428">
        <v>0</v>
      </c>
      <c r="F207" s="428">
        <f t="shared" ref="F207" si="64">D207+E207</f>
        <v>0</v>
      </c>
      <c r="G207" s="465">
        <f t="shared" si="62"/>
        <v>0.10349999999999999</v>
      </c>
      <c r="H207" s="465">
        <f t="shared" si="63"/>
        <v>0.5025136071712456</v>
      </c>
      <c r="I207" s="428">
        <f t="shared" ref="I207" si="65">F207*G207*H207</f>
        <v>0</v>
      </c>
      <c r="K207" s="345">
        <f>[3]Reserve!$C31</f>
        <v>0</v>
      </c>
      <c r="L207" s="465">
        <f t="shared" si="57"/>
        <v>0.10349999999999999</v>
      </c>
      <c r="M207" s="465">
        <f t="shared" si="58"/>
        <v>0.5025136071712456</v>
      </c>
      <c r="N207" s="428">
        <f t="shared" ref="N207" si="66">K207*L207*M207</f>
        <v>0</v>
      </c>
      <c r="P207" s="660"/>
      <c r="R207" s="422"/>
      <c r="S207" s="422"/>
    </row>
    <row r="208" spans="1:19">
      <c r="A208" s="858">
        <f t="shared" si="42"/>
        <v>194</v>
      </c>
      <c r="B208" s="706">
        <v>39906</v>
      </c>
      <c r="C208" s="88" t="s">
        <v>1574</v>
      </c>
      <c r="D208" s="345">
        <f>[3]Reserve!$Q32</f>
        <v>945142.21602611046</v>
      </c>
      <c r="E208" s="621">
        <v>0</v>
      </c>
      <c r="F208" s="428">
        <f t="shared" si="52"/>
        <v>945142.21602611046</v>
      </c>
      <c r="G208" s="465">
        <f t="shared" si="62"/>
        <v>0.10349999999999999</v>
      </c>
      <c r="H208" s="465">
        <f t="shared" si="63"/>
        <v>0.5025136071712456</v>
      </c>
      <c r="I208" s="428">
        <f t="shared" si="53"/>
        <v>49156.996311438408</v>
      </c>
      <c r="K208" s="345">
        <f>[3]Reserve!$C32</f>
        <v>885643.68061085232</v>
      </c>
      <c r="L208" s="465">
        <f t="shared" si="57"/>
        <v>0.10349999999999999</v>
      </c>
      <c r="M208" s="465">
        <f t="shared" si="58"/>
        <v>0.5025136071712456</v>
      </c>
      <c r="N208" s="428">
        <f t="shared" si="55"/>
        <v>46062.468063360415</v>
      </c>
      <c r="P208" s="660"/>
      <c r="R208" s="422"/>
      <c r="S208" s="422"/>
    </row>
    <row r="209" spans="1:19">
      <c r="A209" s="858">
        <f t="shared" si="42"/>
        <v>195</v>
      </c>
      <c r="B209" s="706">
        <v>39907</v>
      </c>
      <c r="C209" s="88" t="s">
        <v>1575</v>
      </c>
      <c r="D209" s="345">
        <f>[3]Reserve!$Q33</f>
        <v>2485988.1420179773</v>
      </c>
      <c r="E209" s="621">
        <v>0</v>
      </c>
      <c r="F209" s="428">
        <f t="shared" si="52"/>
        <v>2485988.1420179773</v>
      </c>
      <c r="G209" s="465">
        <f t="shared" si="62"/>
        <v>0.10349999999999999</v>
      </c>
      <c r="H209" s="465">
        <f t="shared" si="63"/>
        <v>0.5025136071712456</v>
      </c>
      <c r="I209" s="428">
        <f t="shared" si="53"/>
        <v>129296.63690324604</v>
      </c>
      <c r="K209" s="345">
        <f>[3]Reserve!$C33</f>
        <v>1132176.8166643826</v>
      </c>
      <c r="L209" s="465">
        <f t="shared" si="57"/>
        <v>0.10349999999999999</v>
      </c>
      <c r="M209" s="465">
        <f t="shared" si="58"/>
        <v>0.5025136071712456</v>
      </c>
      <c r="N209" s="428">
        <f t="shared" si="55"/>
        <v>58884.695506109558</v>
      </c>
      <c r="P209" s="660"/>
      <c r="R209" s="422"/>
      <c r="S209" s="422"/>
    </row>
    <row r="210" spans="1:19">
      <c r="A210" s="858">
        <f t="shared" si="42"/>
        <v>196</v>
      </c>
      <c r="B210" s="706">
        <v>39908</v>
      </c>
      <c r="C210" s="88" t="s">
        <v>1576</v>
      </c>
      <c r="D210" s="345">
        <f>[3]Reserve!$Q34</f>
        <v>29228048.356787995</v>
      </c>
      <c r="E210" s="621">
        <v>0</v>
      </c>
      <c r="F210" s="428">
        <f t="shared" si="52"/>
        <v>29228048.356787995</v>
      </c>
      <c r="G210" s="465">
        <f t="shared" si="62"/>
        <v>0.10349999999999999</v>
      </c>
      <c r="H210" s="465">
        <f t="shared" si="63"/>
        <v>0.5025136071712456</v>
      </c>
      <c r="I210" s="428">
        <f t="shared" si="53"/>
        <v>1520155.4230707213</v>
      </c>
      <c r="K210" s="345">
        <f>[3]Reserve!$C34</f>
        <v>28650210.947212145</v>
      </c>
      <c r="L210" s="465">
        <f t="shared" si="57"/>
        <v>0.10349999999999999</v>
      </c>
      <c r="M210" s="465">
        <f t="shared" si="58"/>
        <v>0.5025136071712456</v>
      </c>
      <c r="N210" s="428">
        <f t="shared" si="55"/>
        <v>1490102.0079026206</v>
      </c>
      <c r="P210" s="660"/>
      <c r="R210" s="422"/>
      <c r="S210" s="422"/>
    </row>
    <row r="211" spans="1:19">
      <c r="A211" s="858">
        <f t="shared" si="42"/>
        <v>197</v>
      </c>
      <c r="B211" s="706">
        <v>39909</v>
      </c>
      <c r="C211" s="88" t="s">
        <v>1591</v>
      </c>
      <c r="D211" s="345">
        <f>[3]Reserve!$Q35</f>
        <v>42121.860000000015</v>
      </c>
      <c r="E211" s="621">
        <v>0</v>
      </c>
      <c r="F211" s="428">
        <f t="shared" si="52"/>
        <v>42121.860000000015</v>
      </c>
      <c r="G211" s="465">
        <f t="shared" si="62"/>
        <v>0.10349999999999999</v>
      </c>
      <c r="H211" s="465">
        <f t="shared" si="63"/>
        <v>0.5025136071712456</v>
      </c>
      <c r="I211" s="428">
        <f t="shared" si="53"/>
        <v>2190.7646082689889</v>
      </c>
      <c r="K211" s="345">
        <f>[3]Reserve!$C35</f>
        <v>41754.133076923077</v>
      </c>
      <c r="L211" s="465">
        <f t="shared" si="57"/>
        <v>0.10349999999999999</v>
      </c>
      <c r="M211" s="465">
        <f t="shared" si="58"/>
        <v>0.5025136071712456</v>
      </c>
      <c r="N211" s="428">
        <f t="shared" si="55"/>
        <v>2171.6390727730582</v>
      </c>
      <c r="P211" s="660"/>
      <c r="R211" s="422"/>
      <c r="S211" s="422"/>
    </row>
    <row r="212" spans="1:19">
      <c r="A212" s="858">
        <f t="shared" si="42"/>
        <v>198</v>
      </c>
      <c r="B212" s="706">
        <v>39921</v>
      </c>
      <c r="C212" s="88" t="s">
        <v>1540</v>
      </c>
      <c r="D212" s="345">
        <f>[3]Reserve!$Q36</f>
        <v>1058776.6346179999</v>
      </c>
      <c r="E212" s="621">
        <v>0</v>
      </c>
      <c r="F212" s="428">
        <f t="shared" si="52"/>
        <v>1058776.6346179999</v>
      </c>
      <c r="G212" s="465">
        <v>1</v>
      </c>
      <c r="H212" s="465">
        <f>H186</f>
        <v>6.437198999999999E-2</v>
      </c>
      <c r="I212" s="428">
        <f t="shared" si="53"/>
        <v>68155.558935863533</v>
      </c>
      <c r="K212" s="345">
        <f>[3]Reserve!$C36</f>
        <v>1014856.0558586922</v>
      </c>
      <c r="L212" s="465">
        <f t="shared" si="57"/>
        <v>1</v>
      </c>
      <c r="M212" s="465">
        <f t="shared" si="58"/>
        <v>6.437198999999999E-2</v>
      </c>
      <c r="N212" s="428">
        <f t="shared" si="55"/>
        <v>65328.303879175161</v>
      </c>
      <c r="P212" s="660"/>
      <c r="R212" s="422"/>
      <c r="S212" s="422"/>
    </row>
    <row r="213" spans="1:19">
      <c r="A213" s="858">
        <f t="shared" si="42"/>
        <v>199</v>
      </c>
      <c r="B213" s="706">
        <v>39922</v>
      </c>
      <c r="C213" s="88" t="s">
        <v>1541</v>
      </c>
      <c r="D213" s="345">
        <f>[3]Reserve!$Q37</f>
        <v>393200.795102</v>
      </c>
      <c r="E213" s="621">
        <v>0</v>
      </c>
      <c r="F213" s="428">
        <f t="shared" si="52"/>
        <v>393200.795102</v>
      </c>
      <c r="G213" s="465">
        <v>1</v>
      </c>
      <c r="H213" s="465">
        <f>H186</f>
        <v>6.437198999999999E-2</v>
      </c>
      <c r="I213" s="428">
        <f t="shared" si="53"/>
        <v>25311.117650297991</v>
      </c>
      <c r="K213" s="345">
        <f>[3]Reserve!$C37</f>
        <v>378352.14252746163</v>
      </c>
      <c r="L213" s="465">
        <f t="shared" si="57"/>
        <v>1</v>
      </c>
      <c r="M213" s="465">
        <f t="shared" si="58"/>
        <v>6.437198999999999E-2</v>
      </c>
      <c r="N213" s="428">
        <f t="shared" si="55"/>
        <v>24355.280335256331</v>
      </c>
      <c r="P213" s="660"/>
      <c r="R213" s="422"/>
      <c r="S213" s="422"/>
    </row>
    <row r="214" spans="1:19">
      <c r="A214" s="858">
        <f t="shared" si="42"/>
        <v>200</v>
      </c>
      <c r="B214" s="706">
        <v>39923</v>
      </c>
      <c r="C214" s="88" t="s">
        <v>1542</v>
      </c>
      <c r="D214" s="345">
        <f>[3]Reserve!$Q38</f>
        <v>39028.929999999978</v>
      </c>
      <c r="E214" s="621">
        <v>0</v>
      </c>
      <c r="F214" s="428">
        <f t="shared" si="52"/>
        <v>39028.929999999978</v>
      </c>
      <c r="G214" s="465">
        <v>1</v>
      </c>
      <c r="H214" s="465">
        <f>H186</f>
        <v>6.437198999999999E-2</v>
      </c>
      <c r="I214" s="428">
        <f t="shared" si="53"/>
        <v>2512.3698916706981</v>
      </c>
      <c r="K214" s="345">
        <f>[3]Reserve!$C38</f>
        <v>38463.109230769223</v>
      </c>
      <c r="L214" s="465">
        <f t="shared" si="57"/>
        <v>1</v>
      </c>
      <c r="M214" s="465">
        <f t="shared" si="58"/>
        <v>6.437198999999999E-2</v>
      </c>
      <c r="N214" s="428">
        <f t="shared" si="55"/>
        <v>2475.9468827719838</v>
      </c>
      <c r="P214" s="660"/>
      <c r="R214" s="422"/>
      <c r="S214" s="422"/>
    </row>
    <row r="215" spans="1:19">
      <c r="A215" s="858">
        <f t="shared" si="42"/>
        <v>201</v>
      </c>
      <c r="B215" s="706">
        <v>39924</v>
      </c>
      <c r="C215" s="88" t="s">
        <v>1411</v>
      </c>
      <c r="D215" s="345">
        <f>[3]Reserve!$Q39</f>
        <v>0</v>
      </c>
      <c r="E215" s="621">
        <v>0</v>
      </c>
      <c r="F215" s="428">
        <f t="shared" si="52"/>
        <v>0</v>
      </c>
      <c r="G215" s="465">
        <f t="shared" si="62"/>
        <v>0.10349999999999999</v>
      </c>
      <c r="H215" s="465">
        <f t="shared" si="63"/>
        <v>0.5025136071712456</v>
      </c>
      <c r="I215" s="428">
        <f t="shared" si="53"/>
        <v>0</v>
      </c>
      <c r="K215" s="345">
        <f>[3]Reserve!$C39</f>
        <v>0</v>
      </c>
      <c r="L215" s="465">
        <f t="shared" si="57"/>
        <v>0.10349999999999999</v>
      </c>
      <c r="M215" s="465">
        <f t="shared" si="58"/>
        <v>0.5025136071712456</v>
      </c>
      <c r="N215" s="428">
        <f t="shared" si="55"/>
        <v>0</v>
      </c>
      <c r="P215" s="660"/>
      <c r="R215" s="422"/>
      <c r="S215" s="422"/>
    </row>
    <row r="216" spans="1:19">
      <c r="A216" s="858">
        <f t="shared" si="42"/>
        <v>202</v>
      </c>
      <c r="B216" s="706">
        <v>39926</v>
      </c>
      <c r="C216" s="88" t="s">
        <v>1551</v>
      </c>
      <c r="D216" s="345">
        <f>[3]Reserve!$Q40</f>
        <v>488022.76766599994</v>
      </c>
      <c r="E216" s="621">
        <v>0</v>
      </c>
      <c r="F216" s="428">
        <f t="shared" si="52"/>
        <v>488022.76766599994</v>
      </c>
      <c r="G216" s="465">
        <v>1</v>
      </c>
      <c r="H216" s="465">
        <f>H212</f>
        <v>6.437198999999999E-2</v>
      </c>
      <c r="I216" s="428">
        <f t="shared" si="53"/>
        <v>31414.996719968065</v>
      </c>
      <c r="K216" s="345">
        <f>[3]Reserve!$C40</f>
        <v>190537.76839292308</v>
      </c>
      <c r="L216" s="465">
        <f t="shared" si="57"/>
        <v>1</v>
      </c>
      <c r="M216" s="465">
        <f t="shared" si="58"/>
        <v>6.437198999999999E-2</v>
      </c>
      <c r="N216" s="428">
        <f t="shared" si="55"/>
        <v>12265.295321611558</v>
      </c>
      <c r="P216" s="660"/>
      <c r="R216" s="422"/>
      <c r="S216" s="422"/>
    </row>
    <row r="217" spans="1:19">
      <c r="A217" s="858">
        <f t="shared" si="42"/>
        <v>203</v>
      </c>
      <c r="B217" s="706">
        <v>39928</v>
      </c>
      <c r="C217" s="88" t="s">
        <v>1552</v>
      </c>
      <c r="D217" s="345">
        <f>[3]Reserve!$Q41</f>
        <v>11235896.194776256</v>
      </c>
      <c r="E217" s="621">
        <v>0</v>
      </c>
      <c r="F217" s="428">
        <f t="shared" si="52"/>
        <v>11235896.194776256</v>
      </c>
      <c r="G217" s="465">
        <v>1</v>
      </c>
      <c r="H217" s="465">
        <f>H212</f>
        <v>6.437198999999999E-2</v>
      </c>
      <c r="I217" s="428">
        <f t="shared" si="53"/>
        <v>723276.99749117508</v>
      </c>
      <c r="K217" s="345">
        <f>[3]Reserve!$C41</f>
        <v>11053952.16656488</v>
      </c>
      <c r="L217" s="465">
        <f t="shared" si="57"/>
        <v>1</v>
      </c>
      <c r="M217" s="465">
        <f t="shared" si="58"/>
        <v>6.437198999999999E-2</v>
      </c>
      <c r="N217" s="428">
        <f t="shared" si="55"/>
        <v>711564.89832659264</v>
      </c>
      <c r="P217" s="660"/>
      <c r="R217" s="422"/>
      <c r="S217" s="422"/>
    </row>
    <row r="218" spans="1:19">
      <c r="A218" s="858">
        <f t="shared" si="42"/>
        <v>204</v>
      </c>
      <c r="B218" s="706">
        <v>39931</v>
      </c>
      <c r="C218" s="88" t="s">
        <v>1553</v>
      </c>
      <c r="D218" s="345">
        <f>[3]Reserve!$Q42</f>
        <v>37347.757370826643</v>
      </c>
      <c r="E218" s="621">
        <v>0</v>
      </c>
      <c r="F218" s="428">
        <f t="shared" si="52"/>
        <v>37347.757370826643</v>
      </c>
      <c r="G218" s="465">
        <v>1</v>
      </c>
      <c r="H218" s="323">
        <f>Allocation!$E$23</f>
        <v>0</v>
      </c>
      <c r="I218" s="428">
        <f t="shared" si="53"/>
        <v>0</v>
      </c>
      <c r="K218" s="345">
        <f>[3]Reserve!$C42</f>
        <v>26225.754576488209</v>
      </c>
      <c r="L218" s="465">
        <f t="shared" si="57"/>
        <v>1</v>
      </c>
      <c r="M218" s="465">
        <f t="shared" si="58"/>
        <v>0</v>
      </c>
      <c r="N218" s="428">
        <f t="shared" si="55"/>
        <v>0</v>
      </c>
      <c r="P218" s="660"/>
      <c r="R218" s="422"/>
      <c r="S218" s="422"/>
    </row>
    <row r="219" spans="1:19">
      <c r="A219" s="858">
        <f t="shared" si="42"/>
        <v>205</v>
      </c>
      <c r="B219" s="706">
        <v>39932</v>
      </c>
      <c r="C219" s="88" t="s">
        <v>1554</v>
      </c>
      <c r="D219" s="345">
        <f>[3]Reserve!$Q43</f>
        <v>18754.52</v>
      </c>
      <c r="E219" s="621">
        <v>0</v>
      </c>
      <c r="F219" s="428">
        <f t="shared" si="52"/>
        <v>18754.52</v>
      </c>
      <c r="G219" s="465">
        <v>1</v>
      </c>
      <c r="H219" s="323">
        <f>Allocation!$E$23</f>
        <v>0</v>
      </c>
      <c r="I219" s="428">
        <f t="shared" si="53"/>
        <v>0</v>
      </c>
      <c r="K219" s="345">
        <f>[3]Reserve!$C43</f>
        <v>16677.015384615381</v>
      </c>
      <c r="L219" s="465">
        <f t="shared" si="57"/>
        <v>1</v>
      </c>
      <c r="M219" s="465">
        <f t="shared" si="58"/>
        <v>0</v>
      </c>
      <c r="N219" s="428">
        <f t="shared" si="55"/>
        <v>0</v>
      </c>
      <c r="P219" s="660"/>
      <c r="R219" s="422"/>
      <c r="S219" s="422"/>
    </row>
    <row r="220" spans="1:19">
      <c r="A220" s="858">
        <f t="shared" si="42"/>
        <v>206</v>
      </c>
      <c r="B220" s="706">
        <v>39938</v>
      </c>
      <c r="C220" s="88" t="s">
        <v>1555</v>
      </c>
      <c r="D220" s="345">
        <f>[3]Reserve!$Q44</f>
        <v>2305883.5299999998</v>
      </c>
      <c r="E220" s="621">
        <v>0</v>
      </c>
      <c r="F220" s="428">
        <f t="shared" si="52"/>
        <v>2305883.5299999998</v>
      </c>
      <c r="G220" s="465">
        <v>1</v>
      </c>
      <c r="H220" s="323">
        <f>Allocation!$E$23</f>
        <v>0</v>
      </c>
      <c r="I220" s="428">
        <f t="shared" si="53"/>
        <v>0</v>
      </c>
      <c r="K220" s="345">
        <f>[3]Reserve!$C44</f>
        <v>2056104.0661538464</v>
      </c>
      <c r="L220" s="465">
        <f t="shared" si="57"/>
        <v>1</v>
      </c>
      <c r="M220" s="465">
        <f t="shared" si="58"/>
        <v>0</v>
      </c>
      <c r="N220" s="428"/>
      <c r="P220" s="660"/>
      <c r="R220" s="422"/>
      <c r="S220" s="422"/>
    </row>
    <row r="221" spans="1:19">
      <c r="A221" s="858">
        <f t="shared" si="42"/>
        <v>207</v>
      </c>
      <c r="B221" s="706"/>
      <c r="C221" s="88" t="s">
        <v>1153</v>
      </c>
      <c r="D221" s="345">
        <f>[3]Reserve!$Q45</f>
        <v>0</v>
      </c>
      <c r="E221" s="1066">
        <v>0</v>
      </c>
      <c r="F221" s="428">
        <f t="shared" si="52"/>
        <v>0</v>
      </c>
      <c r="G221" s="465">
        <f t="shared" si="62"/>
        <v>0.10349999999999999</v>
      </c>
      <c r="H221" s="465">
        <f t="shared" si="63"/>
        <v>0.5025136071712456</v>
      </c>
      <c r="I221" s="1049">
        <f t="shared" si="53"/>
        <v>0</v>
      </c>
      <c r="K221" s="345">
        <f>[3]Reserve!$C45</f>
        <v>0</v>
      </c>
      <c r="L221" s="465">
        <f>L219</f>
        <v>1</v>
      </c>
      <c r="M221" s="421">
        <f t="shared" si="54"/>
        <v>0.5025136071712456</v>
      </c>
      <c r="N221" s="1049">
        <f t="shared" si="55"/>
        <v>0</v>
      </c>
      <c r="P221" s="660"/>
      <c r="R221" s="422"/>
      <c r="S221" s="422"/>
    </row>
    <row r="222" spans="1:19">
      <c r="A222" s="858">
        <f t="shared" si="42"/>
        <v>208</v>
      </c>
      <c r="B222" s="389"/>
      <c r="C222" s="88"/>
      <c r="D222" s="618"/>
      <c r="E222" s="618"/>
      <c r="F222" s="618"/>
    </row>
    <row r="223" spans="1:19" ht="15.75" thickBot="1">
      <c r="A223" s="858">
        <f t="shared" si="42"/>
        <v>209</v>
      </c>
      <c r="B223" s="389"/>
      <c r="C223" s="232" t="s">
        <v>1343</v>
      </c>
      <c r="D223" s="466">
        <f>SUM(D183:D221)</f>
        <v>102276680.7167282</v>
      </c>
      <c r="E223" s="466">
        <f>SUM(E183:E221)</f>
        <v>0</v>
      </c>
      <c r="F223" s="466">
        <f>SUM(F183:F221)</f>
        <v>102276680.7167282</v>
      </c>
      <c r="I223" s="466">
        <f>SUM(I183:I221)</f>
        <v>13892725.584020453</v>
      </c>
      <c r="K223" s="466">
        <f>SUM(K183:K221)</f>
        <v>98676264.40232639</v>
      </c>
      <c r="N223" s="466">
        <f>SUM(N183:N221)</f>
        <v>13251030.88391578</v>
      </c>
    </row>
    <row r="224" spans="1:19" ht="15.75" thickTop="1">
      <c r="A224" s="858">
        <f t="shared" si="42"/>
        <v>210</v>
      </c>
      <c r="B224" s="1045"/>
      <c r="D224" s="428"/>
    </row>
    <row r="225" spans="1:19" ht="15.75">
      <c r="A225" s="858">
        <f t="shared" si="42"/>
        <v>211</v>
      </c>
      <c r="B225" s="1050" t="s">
        <v>9</v>
      </c>
      <c r="D225" s="428"/>
    </row>
    <row r="226" spans="1:19">
      <c r="A226" s="858">
        <f t="shared" si="42"/>
        <v>212</v>
      </c>
      <c r="B226" s="1045"/>
      <c r="D226" s="428"/>
    </row>
    <row r="227" spans="1:19">
      <c r="A227" s="858">
        <f t="shared" si="42"/>
        <v>213</v>
      </c>
      <c r="B227" s="389"/>
      <c r="C227" s="619" t="s">
        <v>305</v>
      </c>
      <c r="D227" s="428"/>
    </row>
    <row r="228" spans="1:19">
      <c r="A228" s="858">
        <f t="shared" si="42"/>
        <v>214</v>
      </c>
      <c r="B228" s="512">
        <v>38900</v>
      </c>
      <c r="C228" s="88" t="s">
        <v>1592</v>
      </c>
      <c r="D228" s="345">
        <f>[3]Reserve!$Q50</f>
        <v>0</v>
      </c>
      <c r="E228" s="345">
        <v>0</v>
      </c>
      <c r="F228" s="345">
        <f t="shared" ref="F228:F257" si="67">D228+E228</f>
        <v>0</v>
      </c>
      <c r="G228" s="465">
        <f>Allocation!$G$15</f>
        <v>0.10929999999999999</v>
      </c>
      <c r="H228" s="465">
        <f>Allocation!$H$15</f>
        <v>0.51883860656465508</v>
      </c>
      <c r="I228" s="345">
        <f t="shared" ref="I228:I257" si="68">F228*G228*H228</f>
        <v>0</v>
      </c>
      <c r="K228" s="345">
        <f>[3]Reserve!$C50</f>
        <v>0</v>
      </c>
      <c r="L228" s="465">
        <f t="shared" ref="L228:L257" si="69">G228</f>
        <v>0.10929999999999999</v>
      </c>
      <c r="M228" s="465">
        <f t="shared" ref="M228:M257" si="70">H228</f>
        <v>0.51883860656465508</v>
      </c>
      <c r="N228" s="345">
        <f t="shared" ref="N228:N257" si="71">K228*L228*M228</f>
        <v>0</v>
      </c>
      <c r="P228" s="660"/>
      <c r="R228" s="422"/>
      <c r="S228" s="422"/>
    </row>
    <row r="229" spans="1:19">
      <c r="A229" s="858">
        <f t="shared" si="42"/>
        <v>215</v>
      </c>
      <c r="B229" s="512">
        <v>38910</v>
      </c>
      <c r="C229" s="88" t="s">
        <v>1593</v>
      </c>
      <c r="D229" s="345">
        <f>[3]Reserve!$Q51</f>
        <v>0</v>
      </c>
      <c r="E229" s="428">
        <v>0</v>
      </c>
      <c r="F229" s="428">
        <f t="shared" si="67"/>
        <v>0</v>
      </c>
      <c r="G229" s="465">
        <v>1</v>
      </c>
      <c r="H229" s="465">
        <f>Allocation!$I$21</f>
        <v>2.3324339999999999E-2</v>
      </c>
      <c r="I229" s="428">
        <f t="shared" si="68"/>
        <v>0</v>
      </c>
      <c r="K229" s="345">
        <f>[3]Reserve!$C51</f>
        <v>0</v>
      </c>
      <c r="L229" s="465">
        <f t="shared" si="69"/>
        <v>1</v>
      </c>
      <c r="M229" s="465">
        <f t="shared" si="70"/>
        <v>2.3324339999999999E-2</v>
      </c>
      <c r="N229" s="428">
        <f t="shared" si="71"/>
        <v>0</v>
      </c>
      <c r="P229" s="660"/>
      <c r="R229" s="422"/>
      <c r="S229" s="422"/>
    </row>
    <row r="230" spans="1:19">
      <c r="A230" s="858">
        <f t="shared" si="42"/>
        <v>216</v>
      </c>
      <c r="B230" s="512">
        <v>39000</v>
      </c>
      <c r="C230" s="88" t="s">
        <v>1558</v>
      </c>
      <c r="D230" s="345">
        <f>[3]Reserve!$Q52</f>
        <v>1609708.7221630008</v>
      </c>
      <c r="E230" s="428">
        <v>0</v>
      </c>
      <c r="F230" s="428">
        <f t="shared" si="67"/>
        <v>1609708.7221630008</v>
      </c>
      <c r="G230" s="465">
        <f>$G$228</f>
        <v>0.10929999999999999</v>
      </c>
      <c r="H230" s="465">
        <f>$H$228</f>
        <v>0.51883860656465508</v>
      </c>
      <c r="I230" s="428">
        <f t="shared" si="68"/>
        <v>91285.06802075509</v>
      </c>
      <c r="K230" s="345">
        <f>[3]Reserve!$C52</f>
        <v>1416352.7632746543</v>
      </c>
      <c r="L230" s="465">
        <f t="shared" si="69"/>
        <v>0.10929999999999999</v>
      </c>
      <c r="M230" s="465">
        <f t="shared" si="70"/>
        <v>0.51883860656465508</v>
      </c>
      <c r="N230" s="428">
        <f t="shared" si="71"/>
        <v>80320.033405285256</v>
      </c>
      <c r="P230" s="660"/>
      <c r="R230" s="422"/>
      <c r="S230" s="422"/>
    </row>
    <row r="231" spans="1:19">
      <c r="A231" s="858">
        <f t="shared" si="42"/>
        <v>217</v>
      </c>
      <c r="B231" s="512">
        <v>39009</v>
      </c>
      <c r="C231" s="88" t="s">
        <v>1562</v>
      </c>
      <c r="D231" s="345">
        <f>[3]Reserve!$Q53</f>
        <v>1591254.3101874995</v>
      </c>
      <c r="E231" s="428">
        <v>0</v>
      </c>
      <c r="F231" s="428">
        <f t="shared" si="67"/>
        <v>1591254.3101874995</v>
      </c>
      <c r="G231" s="465">
        <f>$G$228</f>
        <v>0.10929999999999999</v>
      </c>
      <c r="H231" s="465">
        <f>$H$228</f>
        <v>0.51883860656465508</v>
      </c>
      <c r="I231" s="428">
        <f t="shared" si="68"/>
        <v>90238.535670353813</v>
      </c>
      <c r="K231" s="345">
        <f>[3]Reserve!$C53</f>
        <v>1543296.3558197112</v>
      </c>
      <c r="L231" s="465">
        <f t="shared" ref="L231:L256" si="72">G231</f>
        <v>0.10929999999999999</v>
      </c>
      <c r="M231" s="465">
        <f t="shared" ref="M231:M256" si="73">H231</f>
        <v>0.51883860656465508</v>
      </c>
      <c r="N231" s="428">
        <f t="shared" si="71"/>
        <v>87518.885173140137</v>
      </c>
      <c r="P231" s="660"/>
      <c r="R231" s="422"/>
      <c r="S231" s="422"/>
    </row>
    <row r="232" spans="1:19">
      <c r="A232" s="858">
        <f t="shared" ref="A232:A244" si="74">A231+1</f>
        <v>218</v>
      </c>
      <c r="B232" s="512">
        <v>39010</v>
      </c>
      <c r="C232" s="88" t="s">
        <v>1594</v>
      </c>
      <c r="D232" s="345">
        <f>[3]Reserve!$Q54</f>
        <v>2562060.2035212498</v>
      </c>
      <c r="E232" s="428">
        <v>0</v>
      </c>
      <c r="F232" s="428">
        <f t="shared" si="67"/>
        <v>2562060.2035212498</v>
      </c>
      <c r="G232" s="465">
        <v>1</v>
      </c>
      <c r="H232" s="465">
        <f>Allocation!$I$21</f>
        <v>2.3324339999999999E-2</v>
      </c>
      <c r="I232" s="428">
        <f t="shared" si="68"/>
        <v>59758.363287398824</v>
      </c>
      <c r="K232" s="345">
        <f>[3]Reserve!$C54</f>
        <v>2356589.6862157737</v>
      </c>
      <c r="L232" s="465">
        <f t="shared" si="72"/>
        <v>1</v>
      </c>
      <c r="M232" s="465">
        <f t="shared" si="73"/>
        <v>2.3324339999999999E-2</v>
      </c>
      <c r="N232" s="428">
        <f t="shared" si="71"/>
        <v>54965.899081790019</v>
      </c>
      <c r="P232" s="660"/>
      <c r="R232" s="422"/>
      <c r="S232" s="422"/>
    </row>
    <row r="233" spans="1:19">
      <c r="A233" s="858">
        <f t="shared" si="74"/>
        <v>219</v>
      </c>
      <c r="B233" s="512">
        <v>39100</v>
      </c>
      <c r="C233" s="88" t="s">
        <v>1563</v>
      </c>
      <c r="D233" s="345">
        <f>[3]Reserve!$Q55</f>
        <v>776041.88750602922</v>
      </c>
      <c r="E233" s="428">
        <v>0</v>
      </c>
      <c r="F233" s="428">
        <f t="shared" si="67"/>
        <v>776041.88750602922</v>
      </c>
      <c r="G233" s="465">
        <f t="shared" ref="G233:G236" si="75">$G$228</f>
        <v>0.10929999999999999</v>
      </c>
      <c r="H233" s="465">
        <f t="shared" ref="H233:H236" si="76">$H$228</f>
        <v>0.51883860656465508</v>
      </c>
      <c r="I233" s="428">
        <f t="shared" si="68"/>
        <v>44008.605726353031</v>
      </c>
      <c r="K233" s="345">
        <f>[3]Reserve!$C55</f>
        <v>729487.19157028082</v>
      </c>
      <c r="L233" s="465">
        <f t="shared" si="72"/>
        <v>0.10929999999999999</v>
      </c>
      <c r="M233" s="465">
        <f t="shared" si="73"/>
        <v>0.51883860656465508</v>
      </c>
      <c r="N233" s="428">
        <f t="shared" si="71"/>
        <v>41368.532695332928</v>
      </c>
      <c r="P233" s="660"/>
      <c r="R233" s="422"/>
      <c r="S233" s="422"/>
    </row>
    <row r="234" spans="1:19">
      <c r="A234" s="858">
        <f t="shared" si="74"/>
        <v>220</v>
      </c>
      <c r="B234" s="512">
        <v>39101</v>
      </c>
      <c r="C234" s="88" t="s">
        <v>1533</v>
      </c>
      <c r="D234" s="345">
        <f>[3]Reserve!$Q56</f>
        <v>0</v>
      </c>
      <c r="E234" s="428">
        <v>0</v>
      </c>
      <c r="F234" s="428">
        <f t="shared" si="67"/>
        <v>0</v>
      </c>
      <c r="G234" s="465">
        <f t="shared" si="75"/>
        <v>0.10929999999999999</v>
      </c>
      <c r="H234" s="465">
        <f t="shared" si="76"/>
        <v>0.51883860656465508</v>
      </c>
      <c r="I234" s="428">
        <f t="shared" si="68"/>
        <v>0</v>
      </c>
      <c r="K234" s="345">
        <f>[3]Reserve!$C56</f>
        <v>0</v>
      </c>
      <c r="L234" s="465">
        <f t="shared" si="72"/>
        <v>0.10929999999999999</v>
      </c>
      <c r="M234" s="465">
        <f t="shared" si="73"/>
        <v>0.51883860656465508</v>
      </c>
      <c r="N234" s="428">
        <f t="shared" si="71"/>
        <v>0</v>
      </c>
      <c r="P234" s="660"/>
      <c r="R234" s="422"/>
      <c r="S234" s="422"/>
    </row>
    <row r="235" spans="1:19">
      <c r="A235" s="858">
        <f t="shared" si="74"/>
        <v>221</v>
      </c>
      <c r="B235" s="512">
        <v>39102</v>
      </c>
      <c r="C235" s="88" t="s">
        <v>1543</v>
      </c>
      <c r="D235" s="345">
        <f>[3]Reserve!$Q57</f>
        <v>0</v>
      </c>
      <c r="E235" s="428">
        <v>0</v>
      </c>
      <c r="F235" s="428">
        <f t="shared" si="67"/>
        <v>0</v>
      </c>
      <c r="G235" s="465">
        <f t="shared" si="75"/>
        <v>0.10929999999999999</v>
      </c>
      <c r="H235" s="465">
        <f t="shared" si="76"/>
        <v>0.51883860656465508</v>
      </c>
      <c r="I235" s="428">
        <f t="shared" si="68"/>
        <v>0</v>
      </c>
      <c r="K235" s="345">
        <f>[3]Reserve!$C57</f>
        <v>0</v>
      </c>
      <c r="L235" s="465">
        <f t="shared" si="72"/>
        <v>0.10929999999999999</v>
      </c>
      <c r="M235" s="465">
        <f t="shared" si="73"/>
        <v>0.51883860656465508</v>
      </c>
      <c r="N235" s="428">
        <f t="shared" si="71"/>
        <v>0</v>
      </c>
      <c r="P235" s="660"/>
      <c r="R235" s="422"/>
      <c r="S235" s="422"/>
    </row>
    <row r="236" spans="1:19">
      <c r="A236" s="858">
        <f t="shared" si="74"/>
        <v>222</v>
      </c>
      <c r="B236" s="512">
        <v>39103</v>
      </c>
      <c r="C236" s="88" t="s">
        <v>1341</v>
      </c>
      <c r="D236" s="345">
        <f>[3]Reserve!$Q58</f>
        <v>0</v>
      </c>
      <c r="E236" s="428">
        <v>0</v>
      </c>
      <c r="F236" s="428">
        <f t="shared" si="67"/>
        <v>0</v>
      </c>
      <c r="G236" s="465">
        <f t="shared" si="75"/>
        <v>0.10929999999999999</v>
      </c>
      <c r="H236" s="465">
        <f t="shared" si="76"/>
        <v>0.51883860656465508</v>
      </c>
      <c r="I236" s="428">
        <f t="shared" si="68"/>
        <v>0</v>
      </c>
      <c r="K236" s="345">
        <f>[3]Reserve!$C58</f>
        <v>0</v>
      </c>
      <c r="L236" s="465">
        <f t="shared" si="72"/>
        <v>0.10929999999999999</v>
      </c>
      <c r="M236" s="465">
        <f t="shared" si="73"/>
        <v>0.51883860656465508</v>
      </c>
      <c r="N236" s="428">
        <f t="shared" si="71"/>
        <v>0</v>
      </c>
      <c r="P236" s="660"/>
      <c r="R236" s="422"/>
      <c r="S236" s="422"/>
    </row>
    <row r="237" spans="1:19">
      <c r="A237" s="858">
        <f t="shared" si="74"/>
        <v>223</v>
      </c>
      <c r="B237" s="512">
        <v>39110</v>
      </c>
      <c r="C237" s="88" t="s">
        <v>1544</v>
      </c>
      <c r="D237" s="345">
        <f>[3]Reserve!$Q59</f>
        <v>35809.322112440314</v>
      </c>
      <c r="E237" s="428">
        <v>0</v>
      </c>
      <c r="F237" s="428">
        <f t="shared" si="67"/>
        <v>35809.322112440314</v>
      </c>
      <c r="G237" s="465">
        <v>1</v>
      </c>
      <c r="H237" s="465">
        <f>Allocation!$I$21</f>
        <v>2.3324339999999999E-2</v>
      </c>
      <c r="I237" s="428">
        <f t="shared" si="68"/>
        <v>835.22880412007612</v>
      </c>
      <c r="K237" s="345">
        <f>[3]Reserve!$C59</f>
        <v>26220.305556440966</v>
      </c>
      <c r="L237" s="465">
        <f t="shared" si="72"/>
        <v>1</v>
      </c>
      <c r="M237" s="465">
        <f t="shared" si="73"/>
        <v>2.3324339999999999E-2</v>
      </c>
      <c r="N237" s="428">
        <f t="shared" si="71"/>
        <v>611.5713217023183</v>
      </c>
      <c r="P237" s="660"/>
      <c r="R237" s="422"/>
      <c r="S237" s="422"/>
    </row>
    <row r="238" spans="1:19">
      <c r="A238" s="858">
        <f t="shared" si="74"/>
        <v>224</v>
      </c>
      <c r="B238" s="512">
        <v>39210</v>
      </c>
      <c r="C238" s="88" t="s">
        <v>1545</v>
      </c>
      <c r="D238" s="345">
        <f>[3]Reserve!$Q60</f>
        <v>93580.902174000061</v>
      </c>
      <c r="E238" s="428">
        <v>0</v>
      </c>
      <c r="F238" s="428">
        <f t="shared" si="67"/>
        <v>93580.902174000061</v>
      </c>
      <c r="G238" s="465">
        <v>1</v>
      </c>
      <c r="H238" s="465">
        <f>Allocation!$I$21</f>
        <v>2.3324339999999999E-2</v>
      </c>
      <c r="I238" s="428">
        <f t="shared" si="68"/>
        <v>2182.7127798131164</v>
      </c>
      <c r="K238" s="345">
        <f>[3]Reserve!$C60</f>
        <v>89588.819816076968</v>
      </c>
      <c r="L238" s="465">
        <f t="shared" si="72"/>
        <v>1</v>
      </c>
      <c r="M238" s="465">
        <f t="shared" si="73"/>
        <v>2.3324339999999999E-2</v>
      </c>
      <c r="N238" s="428">
        <f t="shared" si="71"/>
        <v>2089.6000935889165</v>
      </c>
      <c r="P238" s="660"/>
      <c r="R238" s="422"/>
      <c r="S238" s="422"/>
    </row>
    <row r="239" spans="1:19">
      <c r="A239" s="858">
        <f t="shared" si="74"/>
        <v>225</v>
      </c>
      <c r="B239" s="512">
        <v>39410</v>
      </c>
      <c r="C239" s="88" t="s">
        <v>1546</v>
      </c>
      <c r="D239" s="345">
        <f>[3]Reserve!$Q61</f>
        <v>100279.01282499995</v>
      </c>
      <c r="E239" s="428">
        <v>0</v>
      </c>
      <c r="F239" s="428">
        <f t="shared" si="67"/>
        <v>100279.01282499995</v>
      </c>
      <c r="G239" s="465">
        <v>1</v>
      </c>
      <c r="H239" s="465">
        <f>Allocation!$I$21</f>
        <v>2.3324339999999999E-2</v>
      </c>
      <c r="I239" s="428">
        <f t="shared" si="68"/>
        <v>2338.9417899946593</v>
      </c>
      <c r="K239" s="345">
        <f>[3]Reserve!$C61</f>
        <v>85529.135375961501</v>
      </c>
      <c r="L239" s="465">
        <f t="shared" si="72"/>
        <v>1</v>
      </c>
      <c r="M239" s="465">
        <f t="shared" si="73"/>
        <v>2.3324339999999999E-2</v>
      </c>
      <c r="N239" s="428">
        <f t="shared" si="71"/>
        <v>1994.9106334149537</v>
      </c>
      <c r="P239" s="660"/>
      <c r="R239" s="422"/>
      <c r="S239" s="422"/>
    </row>
    <row r="240" spans="1:19">
      <c r="A240" s="858">
        <f t="shared" si="74"/>
        <v>226</v>
      </c>
      <c r="B240" s="512">
        <v>39510</v>
      </c>
      <c r="C240" s="88" t="s">
        <v>1547</v>
      </c>
      <c r="D240" s="345">
        <f>[3]Reserve!$Q62</f>
        <v>15154.481517500002</v>
      </c>
      <c r="E240" s="428">
        <v>0</v>
      </c>
      <c r="F240" s="428">
        <f t="shared" si="67"/>
        <v>15154.481517500002</v>
      </c>
      <c r="G240" s="465">
        <v>1</v>
      </c>
      <c r="H240" s="465">
        <f>Allocation!$I$21</f>
        <v>2.3324339999999999E-2</v>
      </c>
      <c r="I240" s="428">
        <f t="shared" si="68"/>
        <v>353.468279437886</v>
      </c>
      <c r="K240" s="345">
        <f>[3]Reserve!$C62</f>
        <v>14215.833870096158</v>
      </c>
      <c r="L240" s="465">
        <f t="shared" si="72"/>
        <v>1</v>
      </c>
      <c r="M240" s="465">
        <f t="shared" si="73"/>
        <v>2.3324339999999999E-2</v>
      </c>
      <c r="N240" s="428">
        <f t="shared" si="71"/>
        <v>331.57494256963861</v>
      </c>
      <c r="P240" s="660"/>
      <c r="R240" s="422"/>
      <c r="S240" s="422"/>
    </row>
    <row r="241" spans="1:19">
      <c r="A241" s="858">
        <f t="shared" si="74"/>
        <v>227</v>
      </c>
      <c r="B241" s="512">
        <v>39700</v>
      </c>
      <c r="C241" s="88" t="s">
        <v>1570</v>
      </c>
      <c r="D241" s="345">
        <f>[3]Reserve!$Q63</f>
        <v>981312.56546750001</v>
      </c>
      <c r="E241" s="428">
        <v>0</v>
      </c>
      <c r="F241" s="428">
        <f t="shared" si="67"/>
        <v>981312.56546750001</v>
      </c>
      <c r="G241" s="465">
        <f t="shared" ref="G241" si="77">$G$228</f>
        <v>0.10929999999999999</v>
      </c>
      <c r="H241" s="465">
        <f t="shared" ref="H241" si="78">$H$228</f>
        <v>0.51883860656465508</v>
      </c>
      <c r="I241" s="428">
        <f t="shared" si="68"/>
        <v>55649.312857019824</v>
      </c>
      <c r="K241" s="345">
        <f>[3]Reserve!$C63</f>
        <v>925778.18031817325</v>
      </c>
      <c r="L241" s="465">
        <f t="shared" si="72"/>
        <v>0.10929999999999999</v>
      </c>
      <c r="M241" s="465">
        <f t="shared" si="73"/>
        <v>0.51883860656465508</v>
      </c>
      <c r="N241" s="428">
        <f t="shared" si="71"/>
        <v>52500.010094321755</v>
      </c>
      <c r="P241" s="660"/>
      <c r="R241" s="422"/>
      <c r="S241" s="422"/>
    </row>
    <row r="242" spans="1:19">
      <c r="A242" s="858">
        <f t="shared" si="74"/>
        <v>228</v>
      </c>
      <c r="B242" s="512">
        <v>39710</v>
      </c>
      <c r="C242" s="88" t="s">
        <v>1595</v>
      </c>
      <c r="D242" s="345">
        <f>[3]Reserve!$Q64</f>
        <v>144727.9639125001</v>
      </c>
      <c r="E242" s="428">
        <v>0</v>
      </c>
      <c r="F242" s="428">
        <f t="shared" si="67"/>
        <v>144727.9639125001</v>
      </c>
      <c r="G242" s="465">
        <v>1</v>
      </c>
      <c r="H242" s="465">
        <f>Allocation!$I$21</f>
        <v>2.3324339999999999E-2</v>
      </c>
      <c r="I242" s="428">
        <f t="shared" si="68"/>
        <v>3375.6842378028823</v>
      </c>
      <c r="K242" s="345">
        <f>[3]Reserve!$C64</f>
        <v>136221.62797644234</v>
      </c>
      <c r="L242" s="465">
        <f t="shared" si="72"/>
        <v>1</v>
      </c>
      <c r="M242" s="465">
        <f t="shared" si="73"/>
        <v>2.3324339999999999E-2</v>
      </c>
      <c r="N242" s="428">
        <f t="shared" si="71"/>
        <v>3177.2795662760527</v>
      </c>
      <c r="P242" s="660"/>
      <c r="R242" s="422"/>
      <c r="S242" s="422"/>
    </row>
    <row r="243" spans="1:19">
      <c r="A243" s="858">
        <f t="shared" si="74"/>
        <v>229</v>
      </c>
      <c r="B243" s="512">
        <v>39800</v>
      </c>
      <c r="C243" s="88" t="s">
        <v>1572</v>
      </c>
      <c r="D243" s="345">
        <f>[3]Reserve!$Q65</f>
        <v>11835.514207000011</v>
      </c>
      <c r="E243" s="428">
        <v>0</v>
      </c>
      <c r="F243" s="428">
        <f t="shared" si="67"/>
        <v>11835.514207000011</v>
      </c>
      <c r="G243" s="465">
        <f>$G$228</f>
        <v>0.10929999999999999</v>
      </c>
      <c r="H243" s="465">
        <f>$H$228</f>
        <v>0.51883860656465508</v>
      </c>
      <c r="I243" s="428">
        <f t="shared" si="68"/>
        <v>671.1808817155719</v>
      </c>
      <c r="K243" s="345">
        <f>[3]Reserve!$C65</f>
        <v>10253.14690188462</v>
      </c>
      <c r="L243" s="465">
        <f t="shared" si="72"/>
        <v>0.10929999999999999</v>
      </c>
      <c r="M243" s="465">
        <f t="shared" si="73"/>
        <v>0.51883860656465508</v>
      </c>
      <c r="N243" s="428">
        <f t="shared" ref="N243" si="79">K243*L243*M243</f>
        <v>581.44631974638435</v>
      </c>
      <c r="P243" s="660"/>
      <c r="R243" s="422"/>
      <c r="S243" s="422"/>
    </row>
    <row r="244" spans="1:19">
      <c r="A244" s="858">
        <f t="shared" si="74"/>
        <v>230</v>
      </c>
      <c r="B244" s="706">
        <v>39810</v>
      </c>
      <c r="C244" s="88" t="s">
        <v>1548</v>
      </c>
      <c r="D244" s="345">
        <f>[3]Reserve!$Q66</f>
        <v>137839.42138250003</v>
      </c>
      <c r="E244" s="428">
        <v>0</v>
      </c>
      <c r="F244" s="428">
        <f t="shared" si="67"/>
        <v>137839.42138250003</v>
      </c>
      <c r="G244" s="465">
        <v>1</v>
      </c>
      <c r="H244" s="465">
        <f>Allocation!$I$21</f>
        <v>2.3324339999999999E-2</v>
      </c>
      <c r="I244" s="428">
        <f t="shared" si="68"/>
        <v>3215.0135297287006</v>
      </c>
      <c r="K244" s="345">
        <f>[3]Reserve!$C66</f>
        <v>126381.01075682694</v>
      </c>
      <c r="L244" s="465">
        <f t="shared" si="72"/>
        <v>1</v>
      </c>
      <c r="M244" s="465">
        <f t="shared" si="73"/>
        <v>2.3324339999999999E-2</v>
      </c>
      <c r="N244" s="428">
        <f t="shared" si="71"/>
        <v>2947.7536644358888</v>
      </c>
      <c r="P244" s="660"/>
      <c r="R244" s="422"/>
      <c r="S244" s="422"/>
    </row>
    <row r="245" spans="1:19">
      <c r="A245" s="858">
        <f t="shared" ref="A245:A261" si="80">A244+1</f>
        <v>231</v>
      </c>
      <c r="B245" s="706">
        <v>39900</v>
      </c>
      <c r="C245" s="88" t="s">
        <v>1580</v>
      </c>
      <c r="D245" s="345">
        <f>[3]Reserve!$Q67</f>
        <v>416242.89983800001</v>
      </c>
      <c r="E245" s="428">
        <v>0</v>
      </c>
      <c r="F245" s="428">
        <f t="shared" si="67"/>
        <v>416242.89983800001</v>
      </c>
      <c r="G245" s="465">
        <f t="shared" ref="G245:G251" si="81">$G$228</f>
        <v>0.10929999999999999</v>
      </c>
      <c r="H245" s="465">
        <f t="shared" ref="H245:H251" si="82">$H$228</f>
        <v>0.51883860656465508</v>
      </c>
      <c r="I245" s="428">
        <f t="shared" si="68"/>
        <v>23604.743455580647</v>
      </c>
      <c r="K245" s="345">
        <f>[3]Reserve!$C67</f>
        <v>374710.72034100001</v>
      </c>
      <c r="L245" s="465">
        <f t="shared" si="72"/>
        <v>0.10929999999999999</v>
      </c>
      <c r="M245" s="465">
        <f t="shared" si="73"/>
        <v>0.51883860656465508</v>
      </c>
      <c r="N245" s="428">
        <f t="shared" si="71"/>
        <v>21249.492609117293</v>
      </c>
      <c r="P245" s="660"/>
      <c r="R245" s="422"/>
      <c r="S245" s="422"/>
    </row>
    <row r="246" spans="1:19">
      <c r="A246" s="858">
        <f t="shared" si="80"/>
        <v>232</v>
      </c>
      <c r="B246" s="706">
        <v>39901</v>
      </c>
      <c r="C246" s="88" t="s">
        <v>1581</v>
      </c>
      <c r="D246" s="345">
        <f>[3]Reserve!$Q68</f>
        <v>4361559.2536857566</v>
      </c>
      <c r="E246" s="428">
        <v>0</v>
      </c>
      <c r="F246" s="428">
        <f t="shared" si="67"/>
        <v>4361559.2536857566</v>
      </c>
      <c r="G246" s="465">
        <f t="shared" si="81"/>
        <v>0.10929999999999999</v>
      </c>
      <c r="H246" s="465">
        <f t="shared" si="82"/>
        <v>0.51883860656465508</v>
      </c>
      <c r="I246" s="428">
        <f t="shared" si="68"/>
        <v>247339.92409152238</v>
      </c>
      <c r="K246" s="345">
        <f>[3]Reserve!$C68</f>
        <v>3930579.7809931082</v>
      </c>
      <c r="L246" s="465">
        <f t="shared" si="72"/>
        <v>0.10929999999999999</v>
      </c>
      <c r="M246" s="465">
        <f t="shared" si="73"/>
        <v>0.51883860656465508</v>
      </c>
      <c r="N246" s="428">
        <f t="shared" si="71"/>
        <v>222899.48344619066</v>
      </c>
      <c r="P246" s="660"/>
      <c r="R246" s="422"/>
      <c r="S246" s="422"/>
    </row>
    <row r="247" spans="1:19">
      <c r="A247" s="858">
        <f t="shared" si="80"/>
        <v>233</v>
      </c>
      <c r="B247" s="706">
        <v>39902</v>
      </c>
      <c r="C247" s="88" t="s">
        <v>1582</v>
      </c>
      <c r="D247" s="345">
        <f>[3]Reserve!$Q69</f>
        <v>1061156.5908550003</v>
      </c>
      <c r="E247" s="428">
        <v>0</v>
      </c>
      <c r="F247" s="428">
        <f t="shared" si="67"/>
        <v>1061156.5908550003</v>
      </c>
      <c r="G247" s="465">
        <f t="shared" si="81"/>
        <v>0.10929999999999999</v>
      </c>
      <c r="H247" s="465">
        <f t="shared" si="82"/>
        <v>0.51883860656465508</v>
      </c>
      <c r="I247" s="428">
        <f t="shared" si="68"/>
        <v>60177.192459209618</v>
      </c>
      <c r="K247" s="345">
        <f>[3]Reserve!$C69</f>
        <v>977603.79138403863</v>
      </c>
      <c r="L247" s="465">
        <f t="shared" si="72"/>
        <v>0.10929999999999999</v>
      </c>
      <c r="M247" s="465">
        <f t="shared" si="73"/>
        <v>0.51883860656465508</v>
      </c>
      <c r="N247" s="428">
        <f t="shared" si="71"/>
        <v>55438.991766116204</v>
      </c>
      <c r="P247" s="660"/>
      <c r="R247" s="422"/>
      <c r="S247" s="422"/>
    </row>
    <row r="248" spans="1:19">
      <c r="A248" s="858">
        <f t="shared" si="80"/>
        <v>234</v>
      </c>
      <c r="B248" s="706">
        <v>39903</v>
      </c>
      <c r="C248" s="88" t="s">
        <v>1573</v>
      </c>
      <c r="D248" s="345">
        <f>[3]Reserve!$Q70</f>
        <v>322529.6154190001</v>
      </c>
      <c r="E248" s="428">
        <v>0</v>
      </c>
      <c r="F248" s="428">
        <f t="shared" si="67"/>
        <v>322529.6154190001</v>
      </c>
      <c r="G248" s="465">
        <f t="shared" si="81"/>
        <v>0.10929999999999999</v>
      </c>
      <c r="H248" s="465">
        <f t="shared" si="82"/>
        <v>0.51883860656465508</v>
      </c>
      <c r="I248" s="428">
        <f t="shared" si="68"/>
        <v>18290.351215013212</v>
      </c>
      <c r="K248" s="345">
        <f>[3]Reserve!$C70</f>
        <v>299516.60953588469</v>
      </c>
      <c r="L248" s="465">
        <f t="shared" si="72"/>
        <v>0.10929999999999999</v>
      </c>
      <c r="M248" s="465">
        <f t="shared" si="73"/>
        <v>0.51883860656465508</v>
      </c>
      <c r="N248" s="428">
        <f t="shared" si="71"/>
        <v>16985.305290568314</v>
      </c>
      <c r="P248" s="660"/>
      <c r="R248" s="422"/>
      <c r="S248" s="422"/>
    </row>
    <row r="249" spans="1:19">
      <c r="A249" s="858">
        <f t="shared" si="80"/>
        <v>235</v>
      </c>
      <c r="B249" s="706">
        <v>39906</v>
      </c>
      <c r="C249" s="88" t="s">
        <v>1574</v>
      </c>
      <c r="D249" s="345">
        <f>[3]Reserve!$Q71</f>
        <v>488219.95434090408</v>
      </c>
      <c r="E249" s="428">
        <v>0</v>
      </c>
      <c r="F249" s="428">
        <f t="shared" si="67"/>
        <v>488219.95434090408</v>
      </c>
      <c r="G249" s="465">
        <f t="shared" si="81"/>
        <v>0.10929999999999999</v>
      </c>
      <c r="H249" s="465">
        <f t="shared" si="82"/>
        <v>0.51883860656465508</v>
      </c>
      <c r="I249" s="428">
        <f t="shared" si="68"/>
        <v>27686.494536237253</v>
      </c>
      <c r="K249" s="345">
        <f>[3]Reserve!$C71</f>
        <v>444327.01846303942</v>
      </c>
      <c r="L249" s="465">
        <f t="shared" si="72"/>
        <v>0.10929999999999999</v>
      </c>
      <c r="M249" s="465">
        <f t="shared" si="73"/>
        <v>0.51883860656465508</v>
      </c>
      <c r="N249" s="428">
        <f t="shared" si="71"/>
        <v>25197.367415240151</v>
      </c>
      <c r="P249" s="660"/>
      <c r="R249" s="422"/>
      <c r="S249" s="422"/>
    </row>
    <row r="250" spans="1:19">
      <c r="A250" s="858">
        <f t="shared" si="80"/>
        <v>236</v>
      </c>
      <c r="B250" s="706">
        <v>39907</v>
      </c>
      <c r="C250" s="88" t="s">
        <v>1575</v>
      </c>
      <c r="D250" s="345">
        <f>[3]Reserve!$Q72</f>
        <v>124642.87705549996</v>
      </c>
      <c r="E250" s="428">
        <v>0</v>
      </c>
      <c r="F250" s="428">
        <f t="shared" si="67"/>
        <v>124642.87705549996</v>
      </c>
      <c r="G250" s="465">
        <f t="shared" si="81"/>
        <v>0.10929999999999999</v>
      </c>
      <c r="H250" s="465">
        <f t="shared" si="82"/>
        <v>0.51883860656465508</v>
      </c>
      <c r="I250" s="428">
        <f t="shared" si="68"/>
        <v>7068.3803558105938</v>
      </c>
      <c r="K250" s="345">
        <f>[3]Reserve!$C72</f>
        <v>118336.55266878847</v>
      </c>
      <c r="L250" s="465">
        <f t="shared" si="72"/>
        <v>0.10929999999999999</v>
      </c>
      <c r="M250" s="465">
        <f t="shared" si="73"/>
        <v>0.51883860656465508</v>
      </c>
      <c r="N250" s="428">
        <f t="shared" si="71"/>
        <v>6710.7546296926657</v>
      </c>
      <c r="P250" s="660"/>
      <c r="R250" s="422"/>
      <c r="S250" s="422"/>
    </row>
    <row r="251" spans="1:19">
      <c r="A251" s="858">
        <f t="shared" si="80"/>
        <v>237</v>
      </c>
      <c r="B251" s="706">
        <v>39908</v>
      </c>
      <c r="C251" s="88" t="s">
        <v>1576</v>
      </c>
      <c r="D251" s="345">
        <f>[3]Reserve!$Q73</f>
        <v>25976081.594470952</v>
      </c>
      <c r="E251" s="428">
        <v>0</v>
      </c>
      <c r="F251" s="428">
        <f t="shared" si="67"/>
        <v>25976081.594470952</v>
      </c>
      <c r="G251" s="465">
        <f t="shared" si="81"/>
        <v>0.10929999999999999</v>
      </c>
      <c r="H251" s="465">
        <f t="shared" si="82"/>
        <v>0.51883860656465508</v>
      </c>
      <c r="I251" s="428">
        <f t="shared" si="68"/>
        <v>1473079.1618484205</v>
      </c>
      <c r="K251" s="345">
        <f>[3]Reserve!$C73</f>
        <v>23087625.996291075</v>
      </c>
      <c r="L251" s="465">
        <f t="shared" si="72"/>
        <v>0.10929999999999999</v>
      </c>
      <c r="M251" s="465">
        <f t="shared" si="73"/>
        <v>0.51883860656465508</v>
      </c>
      <c r="N251" s="428">
        <f t="shared" si="71"/>
        <v>1309277.5608976111</v>
      </c>
      <c r="P251" s="660"/>
      <c r="R251" s="422"/>
      <c r="S251" s="422"/>
    </row>
    <row r="252" spans="1:19">
      <c r="A252" s="858">
        <f t="shared" si="80"/>
        <v>238</v>
      </c>
      <c r="B252" s="706">
        <v>39910</v>
      </c>
      <c r="C252" s="88" t="s">
        <v>1596</v>
      </c>
      <c r="D252" s="345">
        <f>[3]Reserve!$Q74</f>
        <v>109374.06504026496</v>
      </c>
      <c r="E252" s="428">
        <v>0</v>
      </c>
      <c r="F252" s="428">
        <f t="shared" si="67"/>
        <v>109374.06504026496</v>
      </c>
      <c r="G252" s="465">
        <v>1</v>
      </c>
      <c r="H252" s="465">
        <f>$H$229</f>
        <v>2.3324339999999999E-2</v>
      </c>
      <c r="I252" s="428">
        <f t="shared" si="68"/>
        <v>2551.0778801812535</v>
      </c>
      <c r="K252" s="345">
        <f>[3]Reserve!$C74</f>
        <v>100449.28092524249</v>
      </c>
      <c r="L252" s="465">
        <f t="shared" si="72"/>
        <v>1</v>
      </c>
      <c r="M252" s="465">
        <f t="shared" si="73"/>
        <v>2.3324339999999999E-2</v>
      </c>
      <c r="N252" s="428">
        <f t="shared" si="71"/>
        <v>2342.9131810558702</v>
      </c>
      <c r="P252" s="660"/>
      <c r="R252" s="422"/>
      <c r="S252" s="422"/>
    </row>
    <row r="253" spans="1:19">
      <c r="A253" s="858">
        <f t="shared" si="80"/>
        <v>239</v>
      </c>
      <c r="B253" s="706">
        <v>39916</v>
      </c>
      <c r="C253" s="88" t="s">
        <v>1597</v>
      </c>
      <c r="D253" s="345">
        <f>[3]Reserve!$Q75</f>
        <v>226855.75604247276</v>
      </c>
      <c r="E253" s="428">
        <v>0</v>
      </c>
      <c r="F253" s="428">
        <f t="shared" si="67"/>
        <v>226855.75604247276</v>
      </c>
      <c r="G253" s="465">
        <v>1</v>
      </c>
      <c r="H253" s="465">
        <f>$H$229</f>
        <v>2.3324339999999999E-2</v>
      </c>
      <c r="I253" s="428">
        <f t="shared" si="68"/>
        <v>5291.2607848916887</v>
      </c>
      <c r="K253" s="345">
        <f>[3]Reserve!$C75</f>
        <v>214061.67843198564</v>
      </c>
      <c r="L253" s="465">
        <f t="shared" si="72"/>
        <v>1</v>
      </c>
      <c r="M253" s="465">
        <f t="shared" si="73"/>
        <v>2.3324339999999999E-2</v>
      </c>
      <c r="N253" s="428">
        <f t="shared" si="71"/>
        <v>4992.8473687182995</v>
      </c>
      <c r="P253" s="660"/>
      <c r="R253" s="422"/>
      <c r="S253" s="422"/>
    </row>
    <row r="254" spans="1:19">
      <c r="A254" s="858">
        <f t="shared" si="80"/>
        <v>240</v>
      </c>
      <c r="B254" s="706">
        <v>39917</v>
      </c>
      <c r="C254" s="88" t="s">
        <v>1598</v>
      </c>
      <c r="D254" s="345">
        <f>[3]Reserve!$Q76</f>
        <v>69710.173994984478</v>
      </c>
      <c r="E254" s="428">
        <v>0</v>
      </c>
      <c r="F254" s="428">
        <f t="shared" si="67"/>
        <v>69710.173994984478</v>
      </c>
      <c r="G254" s="465">
        <v>1</v>
      </c>
      <c r="H254" s="465">
        <f>$H$229</f>
        <v>2.3324339999999999E-2</v>
      </c>
      <c r="I254" s="428">
        <f t="shared" si="68"/>
        <v>1625.9437997181763</v>
      </c>
      <c r="K254" s="345">
        <f>[3]Reserve!$C76</f>
        <v>66208.56340055191</v>
      </c>
      <c r="L254" s="465">
        <f t="shared" si="72"/>
        <v>1</v>
      </c>
      <c r="M254" s="465">
        <f t="shared" si="73"/>
        <v>2.3324339999999999E-2</v>
      </c>
      <c r="N254" s="428">
        <f t="shared" si="71"/>
        <v>1544.2710436660288</v>
      </c>
      <c r="P254" s="660"/>
      <c r="R254" s="422"/>
      <c r="S254" s="422"/>
    </row>
    <row r="255" spans="1:19">
      <c r="A255" s="858">
        <f t="shared" si="80"/>
        <v>241</v>
      </c>
      <c r="B255" s="706">
        <v>39918</v>
      </c>
      <c r="C255" s="88" t="s">
        <v>1549</v>
      </c>
      <c r="D255" s="345">
        <f>[3]Reserve!$Q77</f>
        <v>9699.1612160000059</v>
      </c>
      <c r="E255" s="428">
        <v>0</v>
      </c>
      <c r="F255" s="428">
        <f t="shared" ref="F255:F256" si="83">D255+E255</f>
        <v>9699.1612160000059</v>
      </c>
      <c r="G255" s="465">
        <v>1</v>
      </c>
      <c r="H255" s="465">
        <f>$H$229</f>
        <v>2.3324339999999999E-2</v>
      </c>
      <c r="I255" s="428">
        <f t="shared" ref="I255:I256" si="84">F255*G255*H255</f>
        <v>226.22653391679756</v>
      </c>
      <c r="K255" s="345">
        <f>[3]Reserve!$C77</f>
        <v>9028.6580196923096</v>
      </c>
      <c r="L255" s="465">
        <f t="shared" si="72"/>
        <v>1</v>
      </c>
      <c r="M255" s="465">
        <f t="shared" si="73"/>
        <v>2.3324339999999999E-2</v>
      </c>
      <c r="N255" s="428">
        <f t="shared" ref="N255:N256" si="85">K255*L255*M255</f>
        <v>210.5874893950301</v>
      </c>
      <c r="P255" s="660"/>
      <c r="R255" s="422"/>
      <c r="S255" s="422"/>
    </row>
    <row r="256" spans="1:19">
      <c r="A256" s="858">
        <f t="shared" si="80"/>
        <v>242</v>
      </c>
      <c r="B256" s="706">
        <v>39924</v>
      </c>
      <c r="C256" s="88" t="s">
        <v>1550</v>
      </c>
      <c r="D256" s="345">
        <f>[3]Reserve!$Q78</f>
        <v>0</v>
      </c>
      <c r="E256" s="428">
        <v>0</v>
      </c>
      <c r="F256" s="428">
        <f t="shared" si="83"/>
        <v>0</v>
      </c>
      <c r="G256" s="465">
        <f t="shared" ref="G256" si="86">$G$228</f>
        <v>0.10929999999999999</v>
      </c>
      <c r="H256" s="465">
        <f t="shared" ref="H256" si="87">$H$228</f>
        <v>0.51883860656465508</v>
      </c>
      <c r="I256" s="428">
        <f t="shared" si="84"/>
        <v>0</v>
      </c>
      <c r="K256" s="345">
        <f>[3]Reserve!$C78</f>
        <v>0</v>
      </c>
      <c r="L256" s="465">
        <f t="shared" si="72"/>
        <v>0.10929999999999999</v>
      </c>
      <c r="M256" s="465">
        <f t="shared" si="73"/>
        <v>0.51883860656465508</v>
      </c>
      <c r="N256" s="428">
        <f t="shared" si="85"/>
        <v>0</v>
      </c>
      <c r="P256" s="660"/>
      <c r="R256" s="422"/>
      <c r="S256" s="422"/>
    </row>
    <row r="257" spans="1:19">
      <c r="A257" s="858">
        <f t="shared" si="80"/>
        <v>243</v>
      </c>
      <c r="B257" s="706"/>
      <c r="C257" s="88" t="s">
        <v>1599</v>
      </c>
      <c r="D257" s="345">
        <f>[3]Reserve!$Q79</f>
        <v>0</v>
      </c>
      <c r="E257" s="380">
        <v>0</v>
      </c>
      <c r="F257" s="428">
        <f t="shared" si="67"/>
        <v>0</v>
      </c>
      <c r="G257" s="465">
        <f>$G$228</f>
        <v>0.10929999999999999</v>
      </c>
      <c r="H257" s="465">
        <f>$H$228</f>
        <v>0.51883860656465508</v>
      </c>
      <c r="I257" s="1049">
        <f t="shared" si="68"/>
        <v>0</v>
      </c>
      <c r="K257" s="345">
        <f>[3]Reserve!$C79</f>
        <v>0</v>
      </c>
      <c r="L257" s="465">
        <f t="shared" si="69"/>
        <v>0.10929999999999999</v>
      </c>
      <c r="M257" s="465">
        <f t="shared" si="70"/>
        <v>0.51883860656465508</v>
      </c>
      <c r="N257" s="1049">
        <f t="shared" si="71"/>
        <v>0</v>
      </c>
      <c r="P257" s="660"/>
      <c r="R257" s="422"/>
      <c r="S257" s="422"/>
    </row>
    <row r="258" spans="1:19">
      <c r="A258" s="858">
        <f t="shared" si="80"/>
        <v>244</v>
      </c>
      <c r="B258" s="81"/>
      <c r="C258" s="88"/>
      <c r="D258" s="1063"/>
      <c r="E258" s="618"/>
      <c r="F258" s="618"/>
    </row>
    <row r="259" spans="1:19" ht="15.75" thickBot="1">
      <c r="A259" s="858">
        <f t="shared" si="80"/>
        <v>245</v>
      </c>
      <c r="B259" s="81"/>
      <c r="C259" s="232" t="s">
        <v>1344</v>
      </c>
      <c r="D259" s="466">
        <f>SUM(D228:D258)</f>
        <v>41225676.248935051</v>
      </c>
      <c r="E259" s="466">
        <f>SUM(E228:E258)</f>
        <v>0</v>
      </c>
      <c r="F259" s="466">
        <f>SUM(F228:F258)</f>
        <v>41225676.248935051</v>
      </c>
      <c r="I259" s="466">
        <f>SUM(I228:I258)</f>
        <v>2220852.8728249958</v>
      </c>
      <c r="K259" s="466">
        <f>SUM(K228:K258)</f>
        <v>37082362.707906738</v>
      </c>
      <c r="N259" s="466">
        <f>SUM(N228:N258)</f>
        <v>1995257.0721289758</v>
      </c>
    </row>
    <row r="260" spans="1:19" ht="15.75" thickTop="1">
      <c r="A260" s="858">
        <f t="shared" si="80"/>
        <v>246</v>
      </c>
    </row>
    <row r="261" spans="1:19" ht="30.75" thickBot="1">
      <c r="A261" s="858">
        <f t="shared" si="80"/>
        <v>247</v>
      </c>
      <c r="C261" s="614" t="s">
        <v>1155</v>
      </c>
      <c r="D261" s="466">
        <f>D259+D223+D178+D117</f>
        <v>319572986.22634143</v>
      </c>
      <c r="E261" s="466">
        <f>E259+E223+E178+E117</f>
        <v>0</v>
      </c>
      <c r="F261" s="466">
        <f>F259+F223+F178+F117</f>
        <v>319520468.92634141</v>
      </c>
      <c r="I261" s="466">
        <f>I259+I223+I178+I117</f>
        <v>191190490.8893806</v>
      </c>
      <c r="K261" s="466">
        <f>K259+K223+K178+K117</f>
        <v>306758495.80896485</v>
      </c>
      <c r="N261" s="466">
        <f>N259+N223+N178+N117</f>
        <v>185290733.75958094</v>
      </c>
      <c r="P261" s="670"/>
    </row>
    <row r="262" spans="1:19" ht="15.75" thickTop="1"/>
  </sheetData>
  <mergeCells count="4">
    <mergeCell ref="A1:N1"/>
    <mergeCell ref="A2:N2"/>
    <mergeCell ref="A3:N3"/>
    <mergeCell ref="A4:N4"/>
  </mergeCells>
  <phoneticPr fontId="22" type="noConversion"/>
  <pageMargins left="0.75" right="0.75" top="1" bottom="0.94" header="0.5" footer="0.5"/>
  <pageSetup scale="54" orientation="landscape" r:id="rId1"/>
  <headerFooter alignWithMargins="0">
    <oddFooter>&amp;RSchedule &amp;A
Page &amp;P of &amp;N</oddFooter>
  </headerFooter>
  <rowBreaks count="6" manualBreakCount="6">
    <brk id="47" max="13" man="1"/>
    <brk id="83" max="13" man="1"/>
    <brk id="117" max="13" man="1"/>
    <brk id="150" max="13" man="1"/>
    <brk id="178" max="13" man="1"/>
    <brk id="224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T264"/>
  <sheetViews>
    <sheetView view="pageBreakPreview" zoomScale="60" zoomScaleNormal="70" workbookViewId="0">
      <pane ySplit="12" topLeftCell="A61" activePane="bottomLeft" state="frozen"/>
      <selection activeCell="C29" sqref="C29"/>
      <selection pane="bottomLeft" activeCell="Q49" sqref="Q49"/>
    </sheetView>
  </sheetViews>
  <sheetFormatPr defaultRowHeight="15"/>
  <cols>
    <col min="1" max="1" width="5" style="80" customWidth="1"/>
    <col min="2" max="2" width="9.33203125" style="80" customWidth="1"/>
    <col min="3" max="3" width="33.88671875" style="80" customWidth="1"/>
    <col min="4" max="4" width="13.6640625" style="80" customWidth="1"/>
    <col min="5" max="5" width="10.33203125" style="80" customWidth="1"/>
    <col min="6" max="6" width="14.33203125" style="80" customWidth="1"/>
    <col min="7" max="7" width="12.6640625" style="857" bestFit="1" customWidth="1"/>
    <col min="8" max="8" width="13.5546875" style="857" customWidth="1"/>
    <col min="9" max="9" width="13.109375" style="80" bestFit="1" customWidth="1"/>
    <col min="10" max="10" width="3.21875" style="80" customWidth="1"/>
    <col min="11" max="11" width="13.109375" style="80" bestFit="1" customWidth="1"/>
    <col min="12" max="12" width="12.6640625" style="857" bestFit="1" customWidth="1"/>
    <col min="13" max="13" width="9.77734375" style="857" bestFit="1" customWidth="1"/>
    <col min="14" max="14" width="14.77734375" style="80" bestFit="1" customWidth="1"/>
    <col min="15" max="15" width="6.21875" style="80" customWidth="1"/>
    <col min="16" max="17" width="12" style="80" bestFit="1" customWidth="1"/>
    <col min="18" max="18" width="1.77734375" style="80" customWidth="1"/>
    <col min="19" max="19" width="7.77734375" style="80" customWidth="1"/>
    <col min="20" max="20" width="7.109375" style="80" bestFit="1" customWidth="1"/>
    <col min="21" max="16384" width="8.88671875" style="80"/>
  </cols>
  <sheetData>
    <row r="1" spans="1:19">
      <c r="A1" s="1180" t="str">
        <f>'Table of Contents'!A1:C1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</row>
    <row r="2" spans="1:19">
      <c r="A2" s="1180" t="str">
        <f>'Table of Contents'!A2:C2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</row>
    <row r="3" spans="1:19">
      <c r="A3" s="1180" t="s">
        <v>1127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  <c r="M3" s="1180"/>
      <c r="N3" s="1180"/>
    </row>
    <row r="4" spans="1:19" ht="15.75">
      <c r="A4" s="1181" t="str">
        <f>'B.1 F '!A4</f>
        <v>as of March 31, 2019</v>
      </c>
      <c r="B4" s="1181"/>
      <c r="C4" s="1181"/>
      <c r="D4" s="1181"/>
      <c r="E4" s="1181"/>
      <c r="F4" s="1181"/>
      <c r="G4" s="1181"/>
      <c r="H4" s="1181"/>
      <c r="I4" s="1181"/>
      <c r="J4" s="1181"/>
      <c r="K4" s="1181"/>
      <c r="L4" s="1181"/>
      <c r="M4" s="1181"/>
      <c r="N4" s="1181"/>
    </row>
    <row r="5" spans="1:19" ht="15.75">
      <c r="A5" s="150"/>
      <c r="B5" s="150"/>
      <c r="C5" s="150"/>
      <c r="D5" s="731"/>
      <c r="E5" s="150"/>
      <c r="F5" s="150"/>
      <c r="G5" s="860"/>
      <c r="H5" s="860"/>
      <c r="I5" s="81"/>
      <c r="J5" s="81"/>
      <c r="K5" s="150"/>
      <c r="P5" s="906"/>
    </row>
    <row r="6" spans="1:19" ht="15.75">
      <c r="A6" s="88" t="str">
        <f>'B.1 F '!A6</f>
        <v>Data:______Base Period__X___Forecasted Period</v>
      </c>
      <c r="B6" s="81"/>
      <c r="C6" s="81"/>
      <c r="D6" s="81"/>
      <c r="E6" s="906"/>
      <c r="F6" s="81"/>
      <c r="G6" s="860"/>
      <c r="K6" s="81"/>
      <c r="N6" s="1060" t="s">
        <v>1443</v>
      </c>
    </row>
    <row r="7" spans="1:19">
      <c r="A7" s="88" t="str">
        <f>'B.1 F '!A7</f>
        <v>Type of Filing:___X____Original________Updated ________Revised</v>
      </c>
      <c r="B7" s="88"/>
      <c r="C7" s="81"/>
      <c r="D7" s="81"/>
      <c r="E7" s="81"/>
      <c r="F7" s="81"/>
      <c r="G7" s="860"/>
      <c r="I7" s="88"/>
      <c r="J7" s="1033"/>
      <c r="K7" s="81"/>
      <c r="N7" s="1033" t="s">
        <v>1019</v>
      </c>
    </row>
    <row r="8" spans="1:19">
      <c r="A8" s="1033" t="str">
        <f>'B.1 F '!A8</f>
        <v>Workpaper Reference No(s).</v>
      </c>
      <c r="B8" s="74"/>
      <c r="C8" s="74"/>
      <c r="D8" s="74"/>
      <c r="E8" s="74"/>
      <c r="F8" s="74"/>
      <c r="G8" s="76"/>
      <c r="H8" s="1032"/>
      <c r="I8" s="1033"/>
      <c r="J8" s="1033"/>
      <c r="K8" s="74"/>
      <c r="L8" s="1032"/>
      <c r="N8" s="1033" t="str">
        <f>'B.1 B'!F8</f>
        <v>Witness:   Waller</v>
      </c>
    </row>
    <row r="9" spans="1:19">
      <c r="A9" s="1035"/>
      <c r="B9" s="829"/>
      <c r="C9" s="1056"/>
      <c r="D9" s="391"/>
      <c r="E9" s="829"/>
      <c r="F9" s="829"/>
      <c r="G9" s="893"/>
      <c r="H9" s="1036"/>
      <c r="I9" s="1037"/>
      <c r="J9" s="1033"/>
      <c r="K9" s="391"/>
      <c r="L9" s="895"/>
      <c r="M9" s="895"/>
      <c r="N9" s="1038"/>
    </row>
    <row r="10" spans="1:19">
      <c r="A10" s="1039"/>
      <c r="B10" s="74"/>
      <c r="C10" s="1057"/>
      <c r="D10" s="1041"/>
      <c r="E10" s="74"/>
      <c r="F10" s="74"/>
      <c r="G10" s="76" t="s">
        <v>13</v>
      </c>
      <c r="H10" s="75" t="s">
        <v>11</v>
      </c>
      <c r="I10" s="1040"/>
      <c r="J10" s="1033"/>
      <c r="K10" s="1041"/>
      <c r="L10" s="76" t="s">
        <v>13</v>
      </c>
      <c r="M10" s="75" t="s">
        <v>11</v>
      </c>
      <c r="N10" s="1040"/>
    </row>
    <row r="11" spans="1:19" ht="15.75">
      <c r="A11" s="1039" t="s">
        <v>94</v>
      </c>
      <c r="B11" s="75" t="s">
        <v>269</v>
      </c>
      <c r="C11" s="484" t="s">
        <v>217</v>
      </c>
      <c r="D11" s="1061" t="s">
        <v>1346</v>
      </c>
      <c r="E11" s="75"/>
      <c r="F11" s="75" t="s">
        <v>10</v>
      </c>
      <c r="G11" s="75" t="s">
        <v>14</v>
      </c>
      <c r="H11" s="75" t="s">
        <v>600</v>
      </c>
      <c r="I11" s="484" t="s">
        <v>12</v>
      </c>
      <c r="J11" s="75"/>
      <c r="K11" s="1042" t="s">
        <v>46</v>
      </c>
      <c r="L11" s="75" t="s">
        <v>14</v>
      </c>
      <c r="M11" s="75" t="s">
        <v>600</v>
      </c>
      <c r="N11" s="484" t="s">
        <v>12</v>
      </c>
    </row>
    <row r="12" spans="1:19" ht="15.75">
      <c r="A12" s="1043" t="s">
        <v>100</v>
      </c>
      <c r="B12" s="186" t="s">
        <v>100</v>
      </c>
      <c r="C12" s="1044" t="s">
        <v>300</v>
      </c>
      <c r="D12" s="1062" t="s">
        <v>106</v>
      </c>
      <c r="E12" s="186" t="s">
        <v>995</v>
      </c>
      <c r="F12" s="186" t="s">
        <v>106</v>
      </c>
      <c r="G12" s="186" t="s">
        <v>633</v>
      </c>
      <c r="H12" s="186" t="s">
        <v>633</v>
      </c>
      <c r="I12" s="1044" t="s">
        <v>105</v>
      </c>
      <c r="J12" s="75"/>
      <c r="K12" s="1062" t="s">
        <v>99</v>
      </c>
      <c r="L12" s="186" t="s">
        <v>633</v>
      </c>
      <c r="M12" s="186" t="s">
        <v>633</v>
      </c>
      <c r="N12" s="1044" t="s">
        <v>105</v>
      </c>
      <c r="P12" s="427"/>
      <c r="Q12" s="427"/>
    </row>
    <row r="13" spans="1:19">
      <c r="A13" s="75"/>
      <c r="B13" s="75"/>
      <c r="C13" s="75"/>
      <c r="D13" s="75"/>
      <c r="E13" s="75"/>
      <c r="F13" s="75"/>
      <c r="G13" s="75"/>
      <c r="H13" s="75"/>
      <c r="I13" s="75"/>
      <c r="J13" s="75"/>
      <c r="K13" s="75"/>
    </row>
    <row r="14" spans="1:19" ht="15.75">
      <c r="B14" s="946" t="s">
        <v>6</v>
      </c>
      <c r="J14" s="809"/>
    </row>
    <row r="15" spans="1:19">
      <c r="A15" s="858">
        <v>1</v>
      </c>
      <c r="B15" s="81"/>
      <c r="C15" s="619" t="s">
        <v>301</v>
      </c>
    </row>
    <row r="16" spans="1:19">
      <c r="A16" s="858">
        <f>A15+1</f>
        <v>2</v>
      </c>
      <c r="B16" s="512">
        <v>30100</v>
      </c>
      <c r="C16" s="88" t="s">
        <v>295</v>
      </c>
      <c r="D16" s="345">
        <f>[3]Reserve!$AF112</f>
        <v>8329.7199999999993</v>
      </c>
      <c r="E16" s="359">
        <v>0</v>
      </c>
      <c r="F16" s="359">
        <f>D16-E16</f>
        <v>8329.7199999999993</v>
      </c>
      <c r="G16" s="464">
        <v>1</v>
      </c>
      <c r="H16" s="464">
        <f>$G$16</f>
        <v>1</v>
      </c>
      <c r="I16" s="359">
        <f>F16*G16*H16</f>
        <v>8329.7199999999993</v>
      </c>
      <c r="J16" s="920"/>
      <c r="K16" s="345">
        <f>[3]Reserve!$D112</f>
        <v>8329.7199999999993</v>
      </c>
      <c r="L16" s="464">
        <f t="shared" ref="L16:M17" si="0">$G$16</f>
        <v>1</v>
      </c>
      <c r="M16" s="464">
        <f t="shared" si="0"/>
        <v>1</v>
      </c>
      <c r="N16" s="359">
        <f>K16*L16*M16</f>
        <v>8329.7199999999993</v>
      </c>
      <c r="S16" s="512"/>
    </row>
    <row r="17" spans="1:19">
      <c r="A17" s="858">
        <f t="shared" ref="A17:A80" si="1">A16+1</f>
        <v>3</v>
      </c>
      <c r="B17" s="512">
        <v>30200</v>
      </c>
      <c r="C17" s="88" t="s">
        <v>154</v>
      </c>
      <c r="D17" s="345">
        <f>[3]Reserve!$AF113</f>
        <v>119852.69</v>
      </c>
      <c r="E17" s="616">
        <v>0</v>
      </c>
      <c r="F17" s="616">
        <f t="shared" ref="F17:F75" si="2">D17-E17</f>
        <v>119852.69</v>
      </c>
      <c r="G17" s="464">
        <f>$G$16</f>
        <v>1</v>
      </c>
      <c r="H17" s="464">
        <f>$G$16</f>
        <v>1</v>
      </c>
      <c r="I17" s="616">
        <f>F17*G17*H17</f>
        <v>119852.69</v>
      </c>
      <c r="K17" s="345">
        <f>[3]Reserve!$D113</f>
        <v>119852.68999999996</v>
      </c>
      <c r="L17" s="464">
        <f t="shared" si="0"/>
        <v>1</v>
      </c>
      <c r="M17" s="464">
        <f t="shared" si="0"/>
        <v>1</v>
      </c>
      <c r="N17" s="616">
        <f>K17*L17*M17</f>
        <v>119852.68999999996</v>
      </c>
      <c r="S17" s="512"/>
    </row>
    <row r="18" spans="1:19">
      <c r="A18" s="858">
        <f t="shared" si="1"/>
        <v>4</v>
      </c>
      <c r="B18" s="512"/>
      <c r="C18" s="88"/>
      <c r="D18" s="1067"/>
      <c r="E18" s="1067"/>
      <c r="F18" s="1067"/>
      <c r="G18" s="464"/>
      <c r="H18" s="464"/>
      <c r="I18" s="1067"/>
      <c r="K18" s="1067"/>
      <c r="N18" s="1067"/>
    </row>
    <row r="19" spans="1:19">
      <c r="A19" s="858">
        <f t="shared" si="1"/>
        <v>5</v>
      </c>
      <c r="B19" s="706"/>
      <c r="C19" s="88" t="s">
        <v>1405</v>
      </c>
      <c r="D19" s="359">
        <f>SUM(D16:D18)</f>
        <v>128182.41</v>
      </c>
      <c r="E19" s="359">
        <f>SUM(E16:E18)</f>
        <v>0</v>
      </c>
      <c r="F19" s="359">
        <f>SUM(F16:F18)</f>
        <v>128182.41</v>
      </c>
      <c r="G19" s="464"/>
      <c r="H19" s="464"/>
      <c r="I19" s="359">
        <f>SUM(I16:I18)</f>
        <v>128182.41</v>
      </c>
      <c r="K19" s="359">
        <f>SUM(K16:K18)</f>
        <v>128182.40999999996</v>
      </c>
      <c r="N19" s="359">
        <f>SUM(N16:N17)</f>
        <v>128182.40999999996</v>
      </c>
    </row>
    <row r="20" spans="1:19">
      <c r="A20" s="858">
        <f t="shared" si="1"/>
        <v>6</v>
      </c>
      <c r="B20" s="706"/>
      <c r="C20" s="81"/>
      <c r="D20" s="616"/>
      <c r="E20" s="616"/>
      <c r="F20" s="616"/>
      <c r="G20" s="464"/>
      <c r="H20" s="464"/>
      <c r="I20" s="616"/>
      <c r="K20" s="616"/>
      <c r="N20" s="616"/>
    </row>
    <row r="21" spans="1:19">
      <c r="A21" s="858">
        <f t="shared" si="1"/>
        <v>7</v>
      </c>
      <c r="B21" s="706"/>
      <c r="C21" s="619" t="s">
        <v>155</v>
      </c>
      <c r="D21" s="616"/>
      <c r="E21" s="616"/>
      <c r="F21" s="616"/>
      <c r="G21" s="464"/>
      <c r="H21" s="464"/>
      <c r="I21" s="616"/>
      <c r="K21" s="616"/>
      <c r="N21" s="616"/>
    </row>
    <row r="22" spans="1:19">
      <c r="A22" s="858">
        <f t="shared" si="1"/>
        <v>8</v>
      </c>
      <c r="B22" s="512">
        <v>32540</v>
      </c>
      <c r="C22" s="88" t="s">
        <v>162</v>
      </c>
      <c r="D22" s="345">
        <f>[3]Reserve!$AF114</f>
        <v>0</v>
      </c>
      <c r="E22" s="359">
        <v>0</v>
      </c>
      <c r="F22" s="359">
        <f t="shared" si="2"/>
        <v>0</v>
      </c>
      <c r="G22" s="464">
        <f t="shared" ref="G22:H24" si="3">$G$16</f>
        <v>1</v>
      </c>
      <c r="H22" s="464">
        <f t="shared" si="3"/>
        <v>1</v>
      </c>
      <c r="I22" s="359">
        <f t="shared" ref="I22:I24" si="4">F22*G22*H22</f>
        <v>0</v>
      </c>
      <c r="K22" s="345">
        <f>[3]Reserve!$D114</f>
        <v>0</v>
      </c>
      <c r="L22" s="464">
        <f t="shared" ref="L22:M24" si="5">$G$16</f>
        <v>1</v>
      </c>
      <c r="M22" s="464">
        <f t="shared" si="5"/>
        <v>1</v>
      </c>
      <c r="N22" s="359">
        <f t="shared" ref="N22:N24" si="6">K22*L22*M22</f>
        <v>0</v>
      </c>
      <c r="S22" s="512"/>
    </row>
    <row r="23" spans="1:19">
      <c r="A23" s="858">
        <f t="shared" si="1"/>
        <v>9</v>
      </c>
      <c r="B23" s="512">
        <v>33202</v>
      </c>
      <c r="C23" s="88" t="s">
        <v>602</v>
      </c>
      <c r="D23" s="345">
        <f>[3]Reserve!$AF115</f>
        <v>0</v>
      </c>
      <c r="E23" s="616">
        <v>0</v>
      </c>
      <c r="F23" s="616">
        <f t="shared" si="2"/>
        <v>0</v>
      </c>
      <c r="G23" s="464">
        <f t="shared" si="3"/>
        <v>1</v>
      </c>
      <c r="H23" s="464">
        <f t="shared" si="3"/>
        <v>1</v>
      </c>
      <c r="I23" s="616">
        <f t="shared" si="4"/>
        <v>0</v>
      </c>
      <c r="K23" s="345">
        <f>[3]Reserve!$D115</f>
        <v>0</v>
      </c>
      <c r="L23" s="464">
        <f t="shared" si="5"/>
        <v>1</v>
      </c>
      <c r="M23" s="464">
        <f t="shared" si="5"/>
        <v>1</v>
      </c>
      <c r="N23" s="616">
        <f t="shared" si="6"/>
        <v>0</v>
      </c>
      <c r="S23" s="512"/>
    </row>
    <row r="24" spans="1:19">
      <c r="A24" s="858">
        <f t="shared" si="1"/>
        <v>10</v>
      </c>
      <c r="B24" s="512">
        <v>33400</v>
      </c>
      <c r="C24" s="88" t="s">
        <v>1129</v>
      </c>
      <c r="D24" s="345">
        <f>[3]Reserve!$AF116</f>
        <v>0</v>
      </c>
      <c r="E24" s="616">
        <v>0</v>
      </c>
      <c r="F24" s="616">
        <f t="shared" si="2"/>
        <v>0</v>
      </c>
      <c r="G24" s="464">
        <f t="shared" si="3"/>
        <v>1</v>
      </c>
      <c r="H24" s="464">
        <f t="shared" si="3"/>
        <v>1</v>
      </c>
      <c r="I24" s="616">
        <f t="shared" si="4"/>
        <v>0</v>
      </c>
      <c r="K24" s="345">
        <f>[3]Reserve!$D116</f>
        <v>0</v>
      </c>
      <c r="L24" s="464">
        <f t="shared" si="5"/>
        <v>1</v>
      </c>
      <c r="M24" s="464">
        <f t="shared" si="5"/>
        <v>1</v>
      </c>
      <c r="N24" s="616">
        <f t="shared" si="6"/>
        <v>0</v>
      </c>
      <c r="S24" s="512"/>
    </row>
    <row r="25" spans="1:19">
      <c r="A25" s="858">
        <f t="shared" si="1"/>
        <v>11</v>
      </c>
      <c r="B25" s="512"/>
      <c r="C25" s="81"/>
      <c r="D25" s="1067"/>
      <c r="E25" s="616"/>
      <c r="F25" s="616"/>
      <c r="G25" s="464"/>
      <c r="H25" s="464"/>
      <c r="I25" s="616"/>
      <c r="K25" s="1067"/>
      <c r="N25" s="616"/>
    </row>
    <row r="26" spans="1:19">
      <c r="A26" s="858">
        <f t="shared" si="1"/>
        <v>12</v>
      </c>
      <c r="B26" s="512"/>
      <c r="C26" s="81" t="s">
        <v>1404</v>
      </c>
      <c r="D26" s="359">
        <f>SUM(D22:D25)</f>
        <v>0</v>
      </c>
      <c r="E26" s="359">
        <f>SUM(E22:E25)</f>
        <v>0</v>
      </c>
      <c r="F26" s="359">
        <f>SUM(F22:F25)</f>
        <v>0</v>
      </c>
      <c r="G26" s="464"/>
      <c r="H26" s="464"/>
      <c r="I26" s="359">
        <f>SUM(I22:I25)</f>
        <v>0</v>
      </c>
      <c r="K26" s="359">
        <f>SUM(K22:K25)</f>
        <v>0</v>
      </c>
      <c r="N26" s="359">
        <f>SUM(N22:N25)</f>
        <v>0</v>
      </c>
    </row>
    <row r="27" spans="1:19">
      <c r="A27" s="858">
        <f t="shared" si="1"/>
        <v>13</v>
      </c>
      <c r="B27" s="512"/>
      <c r="C27" s="88"/>
      <c r="D27" s="616"/>
      <c r="E27" s="616"/>
      <c r="F27" s="616"/>
      <c r="G27" s="464"/>
      <c r="H27" s="464"/>
      <c r="I27" s="616"/>
      <c r="K27" s="616"/>
      <c r="N27" s="616"/>
    </row>
    <row r="28" spans="1:19">
      <c r="A28" s="858">
        <f t="shared" si="1"/>
        <v>14</v>
      </c>
      <c r="B28" s="512"/>
      <c r="C28" s="619" t="s">
        <v>280</v>
      </c>
      <c r="D28" s="616"/>
      <c r="E28" s="616"/>
      <c r="F28" s="616"/>
      <c r="G28" s="464"/>
      <c r="H28" s="464"/>
      <c r="I28" s="616"/>
      <c r="K28" s="616"/>
      <c r="N28" s="616"/>
    </row>
    <row r="29" spans="1:19">
      <c r="A29" s="858">
        <f t="shared" si="1"/>
        <v>15</v>
      </c>
      <c r="B29" s="512">
        <v>35010</v>
      </c>
      <c r="C29" s="88" t="s">
        <v>296</v>
      </c>
      <c r="D29" s="345">
        <f>[3]Reserve!$AF117</f>
        <v>0</v>
      </c>
      <c r="E29" s="359">
        <v>0</v>
      </c>
      <c r="F29" s="359">
        <f t="shared" si="2"/>
        <v>0</v>
      </c>
      <c r="G29" s="464">
        <f t="shared" ref="G29:H45" si="7">$G$16</f>
        <v>1</v>
      </c>
      <c r="H29" s="464">
        <f t="shared" si="7"/>
        <v>1</v>
      </c>
      <c r="I29" s="359">
        <f t="shared" ref="I29:I45" si="8">F29*G29*H29</f>
        <v>0</v>
      </c>
      <c r="K29" s="345">
        <f>[3]Reserve!$D117</f>
        <v>0</v>
      </c>
      <c r="L29" s="464">
        <f t="shared" ref="L29:M45" si="9">$G$16</f>
        <v>1</v>
      </c>
      <c r="M29" s="464">
        <f t="shared" si="9"/>
        <v>1</v>
      </c>
      <c r="N29" s="359">
        <f t="shared" ref="N29:N45" si="10">K29*L29*M29</f>
        <v>0</v>
      </c>
      <c r="S29" s="512"/>
    </row>
    <row r="30" spans="1:19">
      <c r="A30" s="858">
        <f t="shared" si="1"/>
        <v>16</v>
      </c>
      <c r="B30" s="512">
        <v>35020</v>
      </c>
      <c r="C30" s="88" t="s">
        <v>799</v>
      </c>
      <c r="D30" s="345">
        <f>[3]Reserve!$AF118</f>
        <v>4442.281912499996</v>
      </c>
      <c r="E30" s="616">
        <v>0</v>
      </c>
      <c r="F30" s="616">
        <f t="shared" si="2"/>
        <v>4442.281912499996</v>
      </c>
      <c r="G30" s="464">
        <f t="shared" si="7"/>
        <v>1</v>
      </c>
      <c r="H30" s="464">
        <f t="shared" si="7"/>
        <v>1</v>
      </c>
      <c r="I30" s="616">
        <f t="shared" si="8"/>
        <v>4442.281912499996</v>
      </c>
      <c r="K30" s="345">
        <f>[3]Reserve!$D118</f>
        <v>4436.4299374999964</v>
      </c>
      <c r="L30" s="464">
        <f t="shared" si="9"/>
        <v>1</v>
      </c>
      <c r="M30" s="464">
        <f t="shared" si="9"/>
        <v>1</v>
      </c>
      <c r="N30" s="616">
        <f t="shared" si="10"/>
        <v>4436.4299374999964</v>
      </c>
      <c r="S30" s="512"/>
    </row>
    <row r="31" spans="1:19">
      <c r="A31" s="858">
        <f t="shared" si="1"/>
        <v>17</v>
      </c>
      <c r="B31" s="512">
        <v>35100</v>
      </c>
      <c r="C31" s="88" t="s">
        <v>977</v>
      </c>
      <c r="D31" s="345">
        <f>[3]Reserve!$AF119</f>
        <v>6139.9306527499948</v>
      </c>
      <c r="E31" s="616">
        <v>0</v>
      </c>
      <c r="F31" s="616">
        <f t="shared" si="2"/>
        <v>6139.9306527499948</v>
      </c>
      <c r="G31" s="464">
        <f t="shared" si="7"/>
        <v>1</v>
      </c>
      <c r="H31" s="464">
        <f t="shared" si="7"/>
        <v>1</v>
      </c>
      <c r="I31" s="616">
        <f t="shared" si="8"/>
        <v>6139.9306527499948</v>
      </c>
      <c r="K31" s="345">
        <f>[3]Reserve!$D119</f>
        <v>5990.3304662499968</v>
      </c>
      <c r="L31" s="464">
        <f t="shared" si="9"/>
        <v>1</v>
      </c>
      <c r="M31" s="464">
        <f t="shared" si="9"/>
        <v>1</v>
      </c>
      <c r="N31" s="616">
        <f t="shared" si="10"/>
        <v>5990.3304662499968</v>
      </c>
      <c r="S31" s="512"/>
    </row>
    <row r="32" spans="1:19">
      <c r="A32" s="858">
        <f t="shared" si="1"/>
        <v>18</v>
      </c>
      <c r="B32" s="512">
        <v>35102</v>
      </c>
      <c r="C32" s="88" t="s">
        <v>281</v>
      </c>
      <c r="D32" s="345">
        <f>[3]Reserve!$AF120</f>
        <v>112786.51166499994</v>
      </c>
      <c r="E32" s="616">
        <v>0</v>
      </c>
      <c r="F32" s="616">
        <f t="shared" si="2"/>
        <v>112786.51166499994</v>
      </c>
      <c r="G32" s="464">
        <f t="shared" si="7"/>
        <v>1</v>
      </c>
      <c r="H32" s="464">
        <f t="shared" si="7"/>
        <v>1</v>
      </c>
      <c r="I32" s="616">
        <f t="shared" si="8"/>
        <v>112786.51166499994</v>
      </c>
      <c r="K32" s="345">
        <f>[3]Reserve!$D120</f>
        <v>111820.96547499996</v>
      </c>
      <c r="L32" s="464">
        <f t="shared" si="9"/>
        <v>1</v>
      </c>
      <c r="M32" s="464">
        <f t="shared" si="9"/>
        <v>1</v>
      </c>
      <c r="N32" s="616">
        <f t="shared" si="10"/>
        <v>111820.96547499996</v>
      </c>
      <c r="S32" s="512"/>
    </row>
    <row r="33" spans="1:19">
      <c r="A33" s="858">
        <f t="shared" si="1"/>
        <v>19</v>
      </c>
      <c r="B33" s="512">
        <v>35103</v>
      </c>
      <c r="C33" s="88" t="s">
        <v>591</v>
      </c>
      <c r="D33" s="345">
        <f>[3]Reserve!$AF121</f>
        <v>20379.037918000002</v>
      </c>
      <c r="E33" s="616">
        <v>0</v>
      </c>
      <c r="F33" s="616">
        <f t="shared" si="2"/>
        <v>20379.037918000002</v>
      </c>
      <c r="G33" s="464">
        <f t="shared" si="7"/>
        <v>1</v>
      </c>
      <c r="H33" s="464">
        <f t="shared" si="7"/>
        <v>1</v>
      </c>
      <c r="I33" s="616">
        <f t="shared" si="8"/>
        <v>20379.037918000002</v>
      </c>
      <c r="K33" s="345">
        <f>[3]Reserve!$D121</f>
        <v>20272.601370000008</v>
      </c>
      <c r="L33" s="464">
        <f t="shared" si="9"/>
        <v>1</v>
      </c>
      <c r="M33" s="464">
        <f t="shared" si="9"/>
        <v>1</v>
      </c>
      <c r="N33" s="616">
        <f t="shared" si="10"/>
        <v>20272.601370000008</v>
      </c>
      <c r="S33" s="512"/>
    </row>
    <row r="34" spans="1:19">
      <c r="A34" s="858">
        <f t="shared" si="1"/>
        <v>20</v>
      </c>
      <c r="B34" s="512">
        <v>35104</v>
      </c>
      <c r="C34" s="88" t="s">
        <v>592</v>
      </c>
      <c r="D34" s="345">
        <f>[3]Reserve!$AF122</f>
        <v>99257.477557500009</v>
      </c>
      <c r="E34" s="616">
        <v>0</v>
      </c>
      <c r="F34" s="616">
        <f t="shared" si="2"/>
        <v>99257.477557500009</v>
      </c>
      <c r="G34" s="464">
        <f t="shared" si="7"/>
        <v>1</v>
      </c>
      <c r="H34" s="464">
        <f t="shared" si="7"/>
        <v>1</v>
      </c>
      <c r="I34" s="616">
        <f t="shared" si="8"/>
        <v>99257.477557500009</v>
      </c>
      <c r="K34" s="345">
        <f>[3]Reserve!$D122</f>
        <v>98364.101112500008</v>
      </c>
      <c r="L34" s="464">
        <f t="shared" si="9"/>
        <v>1</v>
      </c>
      <c r="M34" s="464">
        <f t="shared" si="9"/>
        <v>1</v>
      </c>
      <c r="N34" s="616">
        <f t="shared" si="10"/>
        <v>98364.101112500008</v>
      </c>
      <c r="S34" s="512"/>
    </row>
    <row r="35" spans="1:19">
      <c r="A35" s="858">
        <f t="shared" si="1"/>
        <v>21</v>
      </c>
      <c r="B35" s="512">
        <v>35200</v>
      </c>
      <c r="C35" s="88" t="s">
        <v>446</v>
      </c>
      <c r="D35" s="345">
        <f>[3]Reserve!$AF123</f>
        <v>1239192.4588235002</v>
      </c>
      <c r="E35" s="616">
        <v>0</v>
      </c>
      <c r="F35" s="616">
        <f t="shared" si="2"/>
        <v>1239192.4588235002</v>
      </c>
      <c r="G35" s="464">
        <f t="shared" si="7"/>
        <v>1</v>
      </c>
      <c r="H35" s="464">
        <f t="shared" si="7"/>
        <v>1</v>
      </c>
      <c r="I35" s="616">
        <f t="shared" si="8"/>
        <v>1239192.4588235002</v>
      </c>
      <c r="K35" s="345">
        <f>[3]Reserve!$D123</f>
        <v>1167489.7363025001</v>
      </c>
      <c r="L35" s="464">
        <f t="shared" si="9"/>
        <v>1</v>
      </c>
      <c r="M35" s="464">
        <f t="shared" si="9"/>
        <v>1</v>
      </c>
      <c r="N35" s="616">
        <f t="shared" si="10"/>
        <v>1167489.7363025001</v>
      </c>
      <c r="S35" s="512"/>
    </row>
    <row r="36" spans="1:19">
      <c r="A36" s="858">
        <f t="shared" si="1"/>
        <v>22</v>
      </c>
      <c r="B36" s="512">
        <v>35201</v>
      </c>
      <c r="C36" s="88" t="s">
        <v>593</v>
      </c>
      <c r="D36" s="345">
        <f>[3]Reserve!$AF124</f>
        <v>1406590.5014195</v>
      </c>
      <c r="E36" s="616">
        <v>0</v>
      </c>
      <c r="F36" s="616">
        <f t="shared" si="2"/>
        <v>1406590.5014195</v>
      </c>
      <c r="G36" s="464">
        <f t="shared" si="7"/>
        <v>1</v>
      </c>
      <c r="H36" s="464">
        <f t="shared" si="7"/>
        <v>1</v>
      </c>
      <c r="I36" s="616">
        <f t="shared" si="8"/>
        <v>1406590.5014195</v>
      </c>
      <c r="K36" s="345">
        <f>[3]Reserve!$D124</f>
        <v>1393755.5124424996</v>
      </c>
      <c r="L36" s="464">
        <f t="shared" si="9"/>
        <v>1</v>
      </c>
      <c r="M36" s="464">
        <f t="shared" si="9"/>
        <v>1</v>
      </c>
      <c r="N36" s="616">
        <f t="shared" si="10"/>
        <v>1393755.5124424996</v>
      </c>
      <c r="S36" s="512"/>
    </row>
    <row r="37" spans="1:19">
      <c r="A37" s="858">
        <f t="shared" si="1"/>
        <v>23</v>
      </c>
      <c r="B37" s="512">
        <v>35202</v>
      </c>
      <c r="C37" s="88" t="s">
        <v>594</v>
      </c>
      <c r="D37" s="345">
        <f>[3]Reserve!$AF125</f>
        <v>458146.14000000007</v>
      </c>
      <c r="E37" s="616">
        <v>0</v>
      </c>
      <c r="F37" s="616">
        <f t="shared" si="2"/>
        <v>458146.14000000007</v>
      </c>
      <c r="G37" s="464">
        <f t="shared" si="7"/>
        <v>1</v>
      </c>
      <c r="H37" s="464">
        <f t="shared" si="7"/>
        <v>1</v>
      </c>
      <c r="I37" s="616">
        <f t="shared" si="8"/>
        <v>458146.14000000007</v>
      </c>
      <c r="K37" s="345">
        <f>[3]Reserve!$D125</f>
        <v>458146.13999999996</v>
      </c>
      <c r="L37" s="464">
        <f t="shared" si="9"/>
        <v>1</v>
      </c>
      <c r="M37" s="464">
        <f t="shared" si="9"/>
        <v>1</v>
      </c>
      <c r="N37" s="616">
        <f t="shared" si="10"/>
        <v>458146.13999999996</v>
      </c>
      <c r="S37" s="512"/>
    </row>
    <row r="38" spans="1:19">
      <c r="A38" s="858">
        <f t="shared" si="1"/>
        <v>24</v>
      </c>
      <c r="B38" s="512">
        <v>35203</v>
      </c>
      <c r="C38" s="88" t="s">
        <v>347</v>
      </c>
      <c r="D38" s="345">
        <f>[3]Reserve!$AF126</f>
        <v>746899.51824000094</v>
      </c>
      <c r="E38" s="616">
        <v>0</v>
      </c>
      <c r="F38" s="616">
        <f t="shared" si="2"/>
        <v>746899.51824000094</v>
      </c>
      <c r="G38" s="464">
        <f t="shared" si="7"/>
        <v>1</v>
      </c>
      <c r="H38" s="464">
        <f t="shared" si="7"/>
        <v>1</v>
      </c>
      <c r="I38" s="616">
        <f t="shared" si="8"/>
        <v>746899.51824000094</v>
      </c>
      <c r="K38" s="345">
        <f>[3]Reserve!$D126</f>
        <v>731646.02160000068</v>
      </c>
      <c r="L38" s="464">
        <f t="shared" si="9"/>
        <v>1</v>
      </c>
      <c r="M38" s="464">
        <f t="shared" si="9"/>
        <v>1</v>
      </c>
      <c r="N38" s="616">
        <f t="shared" si="10"/>
        <v>731646.02160000068</v>
      </c>
      <c r="S38" s="512"/>
    </row>
    <row r="39" spans="1:19">
      <c r="A39" s="858">
        <f t="shared" si="1"/>
        <v>25</v>
      </c>
      <c r="B39" s="512">
        <v>35210</v>
      </c>
      <c r="C39" s="88" t="s">
        <v>595</v>
      </c>
      <c r="D39" s="345">
        <f>[3]Reserve!$AF127</f>
        <v>167784.99680125012</v>
      </c>
      <c r="E39" s="616">
        <v>0</v>
      </c>
      <c r="F39" s="616">
        <f t="shared" si="2"/>
        <v>167784.99680125012</v>
      </c>
      <c r="G39" s="464">
        <f t="shared" si="7"/>
        <v>1</v>
      </c>
      <c r="H39" s="464">
        <f t="shared" si="7"/>
        <v>1</v>
      </c>
      <c r="I39" s="616">
        <f t="shared" si="8"/>
        <v>167784.99680125012</v>
      </c>
      <c r="K39" s="345">
        <f>[3]Reserve!$D127</f>
        <v>167472.56914375009</v>
      </c>
      <c r="L39" s="464">
        <f t="shared" si="9"/>
        <v>1</v>
      </c>
      <c r="M39" s="464">
        <f t="shared" si="9"/>
        <v>1</v>
      </c>
      <c r="N39" s="616">
        <f t="shared" si="10"/>
        <v>167472.56914375009</v>
      </c>
      <c r="S39" s="512"/>
    </row>
    <row r="40" spans="1:19">
      <c r="A40" s="858">
        <f t="shared" si="1"/>
        <v>26</v>
      </c>
      <c r="B40" s="512">
        <v>35211</v>
      </c>
      <c r="C40" s="88" t="s">
        <v>596</v>
      </c>
      <c r="D40" s="345">
        <f>[3]Reserve!$AF128</f>
        <v>43715.31975800002</v>
      </c>
      <c r="E40" s="616">
        <v>0</v>
      </c>
      <c r="F40" s="616">
        <f t="shared" si="2"/>
        <v>43715.31975800002</v>
      </c>
      <c r="G40" s="464">
        <f t="shared" si="7"/>
        <v>1</v>
      </c>
      <c r="H40" s="464">
        <f t="shared" si="7"/>
        <v>1</v>
      </c>
      <c r="I40" s="616">
        <f t="shared" si="8"/>
        <v>43715.31975800002</v>
      </c>
      <c r="K40" s="345">
        <f>[3]Reserve!$D128</f>
        <v>43475.016970000011</v>
      </c>
      <c r="L40" s="464">
        <f t="shared" si="9"/>
        <v>1</v>
      </c>
      <c r="M40" s="464">
        <f t="shared" si="9"/>
        <v>1</v>
      </c>
      <c r="N40" s="616">
        <f t="shared" si="10"/>
        <v>43475.016970000011</v>
      </c>
      <c r="S40" s="512"/>
    </row>
    <row r="41" spans="1:19">
      <c r="A41" s="858">
        <f t="shared" si="1"/>
        <v>27</v>
      </c>
      <c r="B41" s="512">
        <v>35301</v>
      </c>
      <c r="C41" s="81" t="s">
        <v>163</v>
      </c>
      <c r="D41" s="345">
        <f>[3]Reserve!$AF129</f>
        <v>140942.65355750002</v>
      </c>
      <c r="E41" s="616">
        <v>0</v>
      </c>
      <c r="F41" s="616">
        <f t="shared" si="2"/>
        <v>140942.65355750002</v>
      </c>
      <c r="G41" s="464">
        <f t="shared" si="7"/>
        <v>1</v>
      </c>
      <c r="H41" s="464">
        <f t="shared" si="7"/>
        <v>1</v>
      </c>
      <c r="I41" s="616">
        <f t="shared" si="8"/>
        <v>140942.65355750002</v>
      </c>
      <c r="K41" s="345">
        <f>[3]Reserve!$D129</f>
        <v>140219.74111249999</v>
      </c>
      <c r="L41" s="464">
        <f t="shared" si="9"/>
        <v>1</v>
      </c>
      <c r="M41" s="464">
        <f t="shared" si="9"/>
        <v>1</v>
      </c>
      <c r="N41" s="616">
        <f t="shared" si="10"/>
        <v>140219.74111249999</v>
      </c>
      <c r="S41" s="512"/>
    </row>
    <row r="42" spans="1:19">
      <c r="A42" s="858">
        <f t="shared" si="1"/>
        <v>28</v>
      </c>
      <c r="B42" s="512">
        <v>35302</v>
      </c>
      <c r="C42" s="88" t="s">
        <v>602</v>
      </c>
      <c r="D42" s="345">
        <f>[3]Reserve!$AF130</f>
        <v>196235.11012675005</v>
      </c>
      <c r="E42" s="616">
        <v>0</v>
      </c>
      <c r="F42" s="616">
        <f t="shared" si="2"/>
        <v>196235.11012675005</v>
      </c>
      <c r="G42" s="464">
        <f t="shared" si="7"/>
        <v>1</v>
      </c>
      <c r="H42" s="464">
        <f t="shared" si="7"/>
        <v>1</v>
      </c>
      <c r="I42" s="616">
        <f t="shared" si="8"/>
        <v>196235.11012675005</v>
      </c>
      <c r="K42" s="345">
        <f>[3]Reserve!$D130</f>
        <v>195386.80437625007</v>
      </c>
      <c r="L42" s="464">
        <f t="shared" si="9"/>
        <v>1</v>
      </c>
      <c r="M42" s="464">
        <f t="shared" si="9"/>
        <v>1</v>
      </c>
      <c r="N42" s="616">
        <f t="shared" si="10"/>
        <v>195386.80437625007</v>
      </c>
      <c r="S42" s="512"/>
    </row>
    <row r="43" spans="1:19">
      <c r="A43" s="858">
        <f t="shared" si="1"/>
        <v>29</v>
      </c>
      <c r="B43" s="512">
        <v>35400</v>
      </c>
      <c r="C43" s="88" t="s">
        <v>597</v>
      </c>
      <c r="D43" s="345">
        <f>[3]Reserve!$AF131</f>
        <v>490003.39057499956</v>
      </c>
      <c r="E43" s="616">
        <v>0</v>
      </c>
      <c r="F43" s="616">
        <f t="shared" si="2"/>
        <v>490003.39057499956</v>
      </c>
      <c r="G43" s="464">
        <f t="shared" si="7"/>
        <v>1</v>
      </c>
      <c r="H43" s="464">
        <f t="shared" si="7"/>
        <v>1</v>
      </c>
      <c r="I43" s="616">
        <f t="shared" si="8"/>
        <v>490003.39057499956</v>
      </c>
      <c r="K43" s="345">
        <f>[3]Reserve!$D131</f>
        <v>481692.37612499972</v>
      </c>
      <c r="L43" s="464">
        <f t="shared" si="9"/>
        <v>1</v>
      </c>
      <c r="M43" s="464">
        <f t="shared" si="9"/>
        <v>1</v>
      </c>
      <c r="N43" s="616">
        <f t="shared" si="10"/>
        <v>481692.37612499972</v>
      </c>
      <c r="S43" s="512"/>
    </row>
    <row r="44" spans="1:19">
      <c r="A44" s="858">
        <f t="shared" si="1"/>
        <v>30</v>
      </c>
      <c r="B44" s="512">
        <v>35500</v>
      </c>
      <c r="C44" s="88" t="s">
        <v>1000</v>
      </c>
      <c r="D44" s="345">
        <f>[3]Reserve!$AF132</f>
        <v>185889.8323527906</v>
      </c>
      <c r="E44" s="616">
        <v>0</v>
      </c>
      <c r="F44" s="616">
        <f t="shared" si="2"/>
        <v>185889.8323527906</v>
      </c>
      <c r="G44" s="464">
        <f t="shared" si="7"/>
        <v>1</v>
      </c>
      <c r="H44" s="464">
        <f t="shared" si="7"/>
        <v>1</v>
      </c>
      <c r="I44" s="616">
        <f t="shared" si="8"/>
        <v>185889.8323527906</v>
      </c>
      <c r="K44" s="345">
        <f>[3]Reserve!$D132</f>
        <v>188423.91339525761</v>
      </c>
      <c r="L44" s="464">
        <f t="shared" si="9"/>
        <v>1</v>
      </c>
      <c r="M44" s="464">
        <f t="shared" si="9"/>
        <v>1</v>
      </c>
      <c r="N44" s="616">
        <f t="shared" si="10"/>
        <v>188423.91339525761</v>
      </c>
      <c r="S44" s="512"/>
    </row>
    <row r="45" spans="1:19">
      <c r="A45" s="858">
        <f t="shared" si="1"/>
        <v>31</v>
      </c>
      <c r="B45" s="512">
        <v>35600</v>
      </c>
      <c r="C45" s="88" t="s">
        <v>1049</v>
      </c>
      <c r="D45" s="345">
        <f>[3]Reserve!$AF133</f>
        <v>187692.36126875007</v>
      </c>
      <c r="E45" s="1052">
        <v>0</v>
      </c>
      <c r="F45" s="1052">
        <f t="shared" si="2"/>
        <v>187692.36126875007</v>
      </c>
      <c r="G45" s="464">
        <f t="shared" si="7"/>
        <v>1</v>
      </c>
      <c r="H45" s="464">
        <f t="shared" si="7"/>
        <v>1</v>
      </c>
      <c r="I45" s="1052">
        <f t="shared" si="8"/>
        <v>187692.36126875007</v>
      </c>
      <c r="K45" s="345">
        <f>[3]Reserve!$D133</f>
        <v>183442.06090625003</v>
      </c>
      <c r="L45" s="464">
        <f t="shared" si="9"/>
        <v>1</v>
      </c>
      <c r="M45" s="464">
        <f t="shared" si="9"/>
        <v>1</v>
      </c>
      <c r="N45" s="1052">
        <f t="shared" si="10"/>
        <v>183442.06090625003</v>
      </c>
      <c r="S45" s="512"/>
    </row>
    <row r="46" spans="1:19">
      <c r="A46" s="858">
        <f t="shared" si="1"/>
        <v>32</v>
      </c>
      <c r="B46" s="512"/>
      <c r="C46" s="88"/>
      <c r="D46" s="1067"/>
      <c r="E46" s="616"/>
      <c r="F46" s="616"/>
      <c r="G46" s="464"/>
      <c r="H46" s="464"/>
      <c r="I46" s="616"/>
      <c r="K46" s="1067"/>
      <c r="N46" s="616"/>
    </row>
    <row r="47" spans="1:19">
      <c r="A47" s="858">
        <f t="shared" si="1"/>
        <v>33</v>
      </c>
      <c r="B47" s="512"/>
      <c r="C47" s="88" t="s">
        <v>1403</v>
      </c>
      <c r="D47" s="359">
        <f>SUM(D29:D46)</f>
        <v>5506097.5226287916</v>
      </c>
      <c r="E47" s="359">
        <f>SUM(E29:E46)</f>
        <v>0</v>
      </c>
      <c r="F47" s="359">
        <f>SUM(F29:F46)</f>
        <v>5506097.5226287916</v>
      </c>
      <c r="G47" s="464"/>
      <c r="H47" s="464"/>
      <c r="I47" s="359">
        <f>SUM(I29:I46)</f>
        <v>5506097.5226287916</v>
      </c>
      <c r="K47" s="359">
        <f>SUM(K29:K46)</f>
        <v>5392034.320735259</v>
      </c>
      <c r="N47" s="359">
        <f>SUM(N29:N46)</f>
        <v>5392034.320735259</v>
      </c>
    </row>
    <row r="48" spans="1:19">
      <c r="A48" s="858">
        <f t="shared" si="1"/>
        <v>34</v>
      </c>
      <c r="B48" s="512"/>
      <c r="C48" s="88"/>
      <c r="D48" s="616"/>
      <c r="E48" s="616"/>
      <c r="F48" s="616"/>
      <c r="G48" s="464"/>
      <c r="H48" s="464"/>
      <c r="I48" s="616"/>
      <c r="K48" s="616"/>
      <c r="N48" s="616"/>
    </row>
    <row r="49" spans="1:19">
      <c r="A49" s="858">
        <f t="shared" si="1"/>
        <v>35</v>
      </c>
      <c r="B49" s="512"/>
      <c r="C49" s="619" t="s">
        <v>1001</v>
      </c>
      <c r="D49" s="616"/>
      <c r="E49" s="616"/>
      <c r="F49" s="616"/>
      <c r="G49" s="464"/>
      <c r="H49" s="464"/>
      <c r="I49" s="616"/>
      <c r="K49" s="616"/>
      <c r="N49" s="616"/>
    </row>
    <row r="50" spans="1:19">
      <c r="A50" s="858">
        <f t="shared" si="1"/>
        <v>36</v>
      </c>
      <c r="B50" s="512">
        <v>36510</v>
      </c>
      <c r="C50" s="88" t="s">
        <v>296</v>
      </c>
      <c r="D50" s="345">
        <f>[3]Reserve!$AF134</f>
        <v>0</v>
      </c>
      <c r="E50" s="359">
        <v>0</v>
      </c>
      <c r="F50" s="359">
        <f t="shared" si="2"/>
        <v>0</v>
      </c>
      <c r="G50" s="464">
        <f t="shared" ref="G50:H57" si="11">$G$16</f>
        <v>1</v>
      </c>
      <c r="H50" s="464">
        <f t="shared" si="11"/>
        <v>1</v>
      </c>
      <c r="I50" s="359">
        <f t="shared" ref="I50:I57" si="12">F50*G50*H50</f>
        <v>0</v>
      </c>
      <c r="K50" s="345">
        <f>[3]Reserve!$D134</f>
        <v>0</v>
      </c>
      <c r="L50" s="464">
        <f t="shared" ref="L50:M57" si="13">$G$16</f>
        <v>1</v>
      </c>
      <c r="M50" s="464">
        <f t="shared" si="13"/>
        <v>1</v>
      </c>
      <c r="N50" s="359">
        <f t="shared" ref="N50:N57" si="14">K50*L50*M50</f>
        <v>0</v>
      </c>
      <c r="S50" s="512"/>
    </row>
    <row r="51" spans="1:19">
      <c r="A51" s="858">
        <f t="shared" si="1"/>
        <v>37</v>
      </c>
      <c r="B51" s="512">
        <v>36520</v>
      </c>
      <c r="C51" s="88" t="s">
        <v>799</v>
      </c>
      <c r="D51" s="345">
        <f>[3]Reserve!$AF135</f>
        <v>423539.77329999977</v>
      </c>
      <c r="E51" s="616">
        <v>0</v>
      </c>
      <c r="F51" s="616">
        <f t="shared" si="2"/>
        <v>423539.77329999977</v>
      </c>
      <c r="G51" s="464">
        <f t="shared" si="11"/>
        <v>1</v>
      </c>
      <c r="H51" s="464">
        <f t="shared" si="11"/>
        <v>1</v>
      </c>
      <c r="I51" s="616">
        <f t="shared" si="12"/>
        <v>423539.77329999977</v>
      </c>
      <c r="K51" s="345">
        <f>[3]Reserve!$D135</f>
        <v>417769.08949999983</v>
      </c>
      <c r="L51" s="464">
        <f t="shared" si="13"/>
        <v>1</v>
      </c>
      <c r="M51" s="464">
        <f t="shared" si="13"/>
        <v>1</v>
      </c>
      <c r="N51" s="616">
        <f t="shared" si="14"/>
        <v>417769.08949999983</v>
      </c>
      <c r="S51" s="512"/>
    </row>
    <row r="52" spans="1:19">
      <c r="A52" s="858">
        <f t="shared" si="1"/>
        <v>38</v>
      </c>
      <c r="B52" s="512">
        <v>36602</v>
      </c>
      <c r="C52" s="88" t="s">
        <v>863</v>
      </c>
      <c r="D52" s="345">
        <f>[3]Reserve!$AF136</f>
        <v>16533.673578000013</v>
      </c>
      <c r="E52" s="616">
        <v>0</v>
      </c>
      <c r="F52" s="616">
        <f t="shared" si="2"/>
        <v>16533.673578000013</v>
      </c>
      <c r="G52" s="464">
        <f t="shared" si="11"/>
        <v>1</v>
      </c>
      <c r="H52" s="464">
        <f t="shared" si="11"/>
        <v>1</v>
      </c>
      <c r="I52" s="616">
        <f t="shared" si="12"/>
        <v>16533.673578000013</v>
      </c>
      <c r="K52" s="345">
        <f>[3]Reserve!$D136</f>
        <v>16097.55827000001</v>
      </c>
      <c r="L52" s="464">
        <f t="shared" si="13"/>
        <v>1</v>
      </c>
      <c r="M52" s="464">
        <f t="shared" si="13"/>
        <v>1</v>
      </c>
      <c r="N52" s="616">
        <f t="shared" si="14"/>
        <v>16097.55827000001</v>
      </c>
      <c r="S52" s="512"/>
    </row>
    <row r="53" spans="1:19">
      <c r="A53" s="858">
        <f t="shared" si="1"/>
        <v>39</v>
      </c>
      <c r="B53" s="512">
        <v>36603</v>
      </c>
      <c r="C53" s="88" t="s">
        <v>1002</v>
      </c>
      <c r="D53" s="345">
        <f>[3]Reserve!$AF137</f>
        <v>52688.728933500046</v>
      </c>
      <c r="E53" s="616">
        <v>0</v>
      </c>
      <c r="F53" s="616">
        <f t="shared" si="2"/>
        <v>52688.728933500046</v>
      </c>
      <c r="G53" s="464">
        <f t="shared" si="11"/>
        <v>1</v>
      </c>
      <c r="H53" s="464">
        <f t="shared" si="11"/>
        <v>1</v>
      </c>
      <c r="I53" s="616">
        <f t="shared" si="12"/>
        <v>52688.728933500046</v>
      </c>
      <c r="K53" s="345">
        <f>[3]Reserve!$D137</f>
        <v>52147.374952500031</v>
      </c>
      <c r="L53" s="464">
        <f t="shared" si="13"/>
        <v>1</v>
      </c>
      <c r="M53" s="464">
        <f t="shared" si="13"/>
        <v>1</v>
      </c>
      <c r="N53" s="616">
        <f t="shared" si="14"/>
        <v>52147.374952500031</v>
      </c>
      <c r="S53" s="512"/>
    </row>
    <row r="54" spans="1:19">
      <c r="A54" s="858">
        <f t="shared" si="1"/>
        <v>40</v>
      </c>
      <c r="B54" s="512">
        <v>36700</v>
      </c>
      <c r="C54" s="88" t="s">
        <v>851</v>
      </c>
      <c r="D54" s="345">
        <f>[3]Reserve!$AF138</f>
        <v>116852.0159999999</v>
      </c>
      <c r="E54" s="616">
        <v>0</v>
      </c>
      <c r="F54" s="616">
        <f t="shared" si="2"/>
        <v>116852.0159999999</v>
      </c>
      <c r="G54" s="464">
        <f t="shared" si="11"/>
        <v>1</v>
      </c>
      <c r="H54" s="464">
        <f t="shared" si="11"/>
        <v>1</v>
      </c>
      <c r="I54" s="616">
        <f t="shared" si="12"/>
        <v>116852.0159999999</v>
      </c>
      <c r="K54" s="345">
        <f>[3]Reserve!$D138</f>
        <v>112878.87999999995</v>
      </c>
      <c r="L54" s="464">
        <f t="shared" si="13"/>
        <v>1</v>
      </c>
      <c r="M54" s="464">
        <f t="shared" si="13"/>
        <v>1</v>
      </c>
      <c r="N54" s="616">
        <f t="shared" si="14"/>
        <v>112878.87999999995</v>
      </c>
      <c r="S54" s="512"/>
    </row>
    <row r="55" spans="1:19">
      <c r="A55" s="858">
        <f t="shared" si="1"/>
        <v>41</v>
      </c>
      <c r="B55" s="512">
        <v>36701</v>
      </c>
      <c r="C55" s="88" t="s">
        <v>16</v>
      </c>
      <c r="D55" s="345">
        <f>[3]Reserve!$AF139</f>
        <v>18918325.221912291</v>
      </c>
      <c r="E55" s="616">
        <v>0</v>
      </c>
      <c r="F55" s="616">
        <f t="shared" si="2"/>
        <v>18918325.221912291</v>
      </c>
      <c r="G55" s="464">
        <f t="shared" si="11"/>
        <v>1</v>
      </c>
      <c r="H55" s="464">
        <f t="shared" si="11"/>
        <v>1</v>
      </c>
      <c r="I55" s="616">
        <f t="shared" si="12"/>
        <v>18918325.221912291</v>
      </c>
      <c r="K55" s="345">
        <f>[3]Reserve!$D139</f>
        <v>18657094.69850878</v>
      </c>
      <c r="L55" s="464">
        <f t="shared" si="13"/>
        <v>1</v>
      </c>
      <c r="M55" s="464">
        <f t="shared" si="13"/>
        <v>1</v>
      </c>
      <c r="N55" s="616">
        <f t="shared" si="14"/>
        <v>18657094.69850878</v>
      </c>
      <c r="S55" s="512"/>
    </row>
    <row r="56" spans="1:19">
      <c r="A56" s="858">
        <f t="shared" si="1"/>
        <v>42</v>
      </c>
      <c r="B56" s="512">
        <v>36900</v>
      </c>
      <c r="C56" s="88" t="s">
        <v>1003</v>
      </c>
      <c r="D56" s="345">
        <f>[3]Reserve!$AF140</f>
        <v>347836.8356680001</v>
      </c>
      <c r="E56" s="616">
        <v>0</v>
      </c>
      <c r="F56" s="616">
        <f t="shared" si="2"/>
        <v>347836.8356680001</v>
      </c>
      <c r="G56" s="464">
        <f t="shared" si="11"/>
        <v>1</v>
      </c>
      <c r="H56" s="464">
        <f t="shared" si="11"/>
        <v>1</v>
      </c>
      <c r="I56" s="616">
        <f t="shared" si="12"/>
        <v>347836.8356680001</v>
      </c>
      <c r="K56" s="345">
        <f>[3]Reserve!$D140</f>
        <v>340010.14262000012</v>
      </c>
      <c r="L56" s="464">
        <f t="shared" si="13"/>
        <v>1</v>
      </c>
      <c r="M56" s="464">
        <f t="shared" si="13"/>
        <v>1</v>
      </c>
      <c r="N56" s="616">
        <f t="shared" si="14"/>
        <v>340010.14262000012</v>
      </c>
      <c r="S56" s="512"/>
    </row>
    <row r="57" spans="1:19">
      <c r="A57" s="858">
        <f t="shared" si="1"/>
        <v>43</v>
      </c>
      <c r="B57" s="512">
        <v>36901</v>
      </c>
      <c r="C57" s="88" t="s">
        <v>1003</v>
      </c>
      <c r="D57" s="345">
        <f>[3]Reserve!$AF141</f>
        <v>1756775.2888294971</v>
      </c>
      <c r="E57" s="1052">
        <v>0</v>
      </c>
      <c r="F57" s="1052">
        <f t="shared" si="2"/>
        <v>1756775.2888294971</v>
      </c>
      <c r="G57" s="464">
        <f t="shared" si="11"/>
        <v>1</v>
      </c>
      <c r="H57" s="464">
        <f t="shared" si="11"/>
        <v>1</v>
      </c>
      <c r="I57" s="1052">
        <f t="shared" si="12"/>
        <v>1756775.2888294971</v>
      </c>
      <c r="K57" s="345">
        <f>[3]Reserve!$D141</f>
        <v>1732491.0405924977</v>
      </c>
      <c r="L57" s="464">
        <f t="shared" si="13"/>
        <v>1</v>
      </c>
      <c r="M57" s="464">
        <f t="shared" si="13"/>
        <v>1</v>
      </c>
      <c r="N57" s="1052">
        <f t="shared" si="14"/>
        <v>1732491.0405924977</v>
      </c>
      <c r="S57" s="512"/>
    </row>
    <row r="58" spans="1:19">
      <c r="A58" s="858">
        <f t="shared" si="1"/>
        <v>44</v>
      </c>
      <c r="B58" s="512"/>
      <c r="C58" s="88"/>
      <c r="D58" s="1067"/>
      <c r="E58" s="616"/>
      <c r="F58" s="616"/>
      <c r="G58" s="464"/>
      <c r="H58" s="464"/>
      <c r="I58" s="616"/>
      <c r="K58" s="1067"/>
      <c r="N58" s="616"/>
    </row>
    <row r="59" spans="1:19">
      <c r="A59" s="858">
        <f t="shared" si="1"/>
        <v>45</v>
      </c>
      <c r="B59" s="706"/>
      <c r="C59" s="88" t="s">
        <v>1402</v>
      </c>
      <c r="D59" s="359">
        <f>SUM(D50:D58)</f>
        <v>21632551.538221288</v>
      </c>
      <c r="E59" s="359">
        <f>SUM(E50:E58)</f>
        <v>0</v>
      </c>
      <c r="F59" s="359">
        <f>SUM(F50:F58)</f>
        <v>21632551.538221288</v>
      </c>
      <c r="G59" s="464"/>
      <c r="H59" s="464"/>
      <c r="I59" s="359">
        <f>SUM(I50:I58)</f>
        <v>21632551.538221288</v>
      </c>
      <c r="K59" s="359">
        <f>SUM(K50:K58)</f>
        <v>21328488.784443781</v>
      </c>
      <c r="N59" s="359">
        <f>SUM(N50:N58)</f>
        <v>21328488.784443781</v>
      </c>
    </row>
    <row r="60" spans="1:19">
      <c r="A60" s="858">
        <f t="shared" si="1"/>
        <v>46</v>
      </c>
      <c r="B60" s="706"/>
      <c r="C60" s="81"/>
      <c r="D60" s="616"/>
      <c r="E60" s="616"/>
      <c r="F60" s="616"/>
      <c r="G60" s="464"/>
      <c r="H60" s="464"/>
      <c r="I60" s="616"/>
      <c r="K60" s="616"/>
      <c r="N60" s="616"/>
    </row>
    <row r="61" spans="1:19">
      <c r="A61" s="858">
        <f t="shared" si="1"/>
        <v>47</v>
      </c>
      <c r="B61" s="706"/>
      <c r="C61" s="619" t="s">
        <v>303</v>
      </c>
      <c r="D61" s="616"/>
      <c r="E61" s="616"/>
      <c r="F61" s="616"/>
      <c r="G61" s="464"/>
      <c r="H61" s="464"/>
      <c r="I61" s="616"/>
      <c r="K61" s="616"/>
      <c r="N61" s="616"/>
    </row>
    <row r="62" spans="1:19">
      <c r="A62" s="858">
        <f t="shared" si="1"/>
        <v>48</v>
      </c>
      <c r="B62" s="512">
        <v>37400</v>
      </c>
      <c r="C62" s="88" t="s">
        <v>1157</v>
      </c>
      <c r="D62" s="345">
        <f>[3]Reserve!$AF142</f>
        <v>0</v>
      </c>
      <c r="E62" s="359">
        <v>0</v>
      </c>
      <c r="F62" s="359">
        <f t="shared" si="2"/>
        <v>0</v>
      </c>
      <c r="G62" s="464">
        <f t="shared" ref="G62:H81" si="15">$G$16</f>
        <v>1</v>
      </c>
      <c r="H62" s="464">
        <f t="shared" si="15"/>
        <v>1</v>
      </c>
      <c r="I62" s="359">
        <f t="shared" ref="I62:I81" si="16">F62*G62*H62</f>
        <v>0</v>
      </c>
      <c r="K62" s="345">
        <f>[3]Reserve!$D142</f>
        <v>0</v>
      </c>
      <c r="L62" s="464">
        <f t="shared" ref="L62:M81" si="17">$G$16</f>
        <v>1</v>
      </c>
      <c r="M62" s="464">
        <f t="shared" si="17"/>
        <v>1</v>
      </c>
      <c r="N62" s="359">
        <f t="shared" ref="N62:N81" si="18">K62*L62*M62</f>
        <v>0</v>
      </c>
      <c r="S62" s="512"/>
    </row>
    <row r="63" spans="1:19">
      <c r="A63" s="858">
        <f t="shared" si="1"/>
        <v>49</v>
      </c>
      <c r="B63" s="512">
        <v>37401</v>
      </c>
      <c r="C63" s="88" t="s">
        <v>296</v>
      </c>
      <c r="D63" s="345">
        <f>[3]Reserve!$AF143</f>
        <v>0</v>
      </c>
      <c r="E63" s="616">
        <v>0</v>
      </c>
      <c r="F63" s="616">
        <f t="shared" si="2"/>
        <v>0</v>
      </c>
      <c r="G63" s="464">
        <f t="shared" si="15"/>
        <v>1</v>
      </c>
      <c r="H63" s="464">
        <f t="shared" si="15"/>
        <v>1</v>
      </c>
      <c r="I63" s="616">
        <f t="shared" si="16"/>
        <v>0</v>
      </c>
      <c r="K63" s="345">
        <f>[3]Reserve!$D143</f>
        <v>0</v>
      </c>
      <c r="L63" s="464">
        <f t="shared" si="17"/>
        <v>1</v>
      </c>
      <c r="M63" s="464">
        <f t="shared" si="17"/>
        <v>1</v>
      </c>
      <c r="N63" s="616">
        <f t="shared" si="18"/>
        <v>0</v>
      </c>
      <c r="S63" s="512"/>
    </row>
    <row r="64" spans="1:19">
      <c r="A64" s="858">
        <f t="shared" si="1"/>
        <v>50</v>
      </c>
      <c r="B64" s="512">
        <v>37402</v>
      </c>
      <c r="C64" s="88" t="s">
        <v>1007</v>
      </c>
      <c r="D64" s="345">
        <f>[3]Reserve!$AF144</f>
        <v>216547.71293282337</v>
      </c>
      <c r="E64" s="616">
        <v>0</v>
      </c>
      <c r="F64" s="616">
        <f t="shared" si="2"/>
        <v>216547.71293282337</v>
      </c>
      <c r="G64" s="464">
        <f t="shared" si="15"/>
        <v>1</v>
      </c>
      <c r="H64" s="464">
        <f t="shared" si="15"/>
        <v>1</v>
      </c>
      <c r="I64" s="616">
        <f t="shared" si="16"/>
        <v>216547.71293282337</v>
      </c>
      <c r="K64" s="345">
        <f>[3]Reserve!$D144</f>
        <v>192102.93774563668</v>
      </c>
      <c r="L64" s="464">
        <f t="shared" si="17"/>
        <v>1</v>
      </c>
      <c r="M64" s="464">
        <f t="shared" si="17"/>
        <v>1</v>
      </c>
      <c r="N64" s="616">
        <f t="shared" si="18"/>
        <v>192102.93774563668</v>
      </c>
      <c r="S64" s="512"/>
    </row>
    <row r="65" spans="1:19">
      <c r="A65" s="858">
        <f t="shared" si="1"/>
        <v>51</v>
      </c>
      <c r="B65" s="512">
        <v>37403</v>
      </c>
      <c r="C65" s="88" t="s">
        <v>1004</v>
      </c>
      <c r="D65" s="345">
        <f>[3]Reserve!$AF145</f>
        <v>0</v>
      </c>
      <c r="E65" s="616">
        <v>0</v>
      </c>
      <c r="F65" s="616">
        <f t="shared" si="2"/>
        <v>0</v>
      </c>
      <c r="G65" s="464">
        <f t="shared" si="15"/>
        <v>1</v>
      </c>
      <c r="H65" s="464">
        <f t="shared" si="15"/>
        <v>1</v>
      </c>
      <c r="I65" s="616">
        <f t="shared" si="16"/>
        <v>0</v>
      </c>
      <c r="K65" s="345">
        <f>[3]Reserve!$D145</f>
        <v>0</v>
      </c>
      <c r="L65" s="464">
        <f t="shared" si="17"/>
        <v>1</v>
      </c>
      <c r="M65" s="464">
        <f t="shared" si="17"/>
        <v>1</v>
      </c>
      <c r="N65" s="616">
        <f t="shared" si="18"/>
        <v>0</v>
      </c>
      <c r="S65" s="512"/>
    </row>
    <row r="66" spans="1:19">
      <c r="A66" s="858">
        <f t="shared" si="1"/>
        <v>52</v>
      </c>
      <c r="B66" s="512">
        <v>37500</v>
      </c>
      <c r="C66" s="88" t="s">
        <v>863</v>
      </c>
      <c r="D66" s="345">
        <f>[3]Reserve!$AF146</f>
        <v>110686.41981699987</v>
      </c>
      <c r="E66" s="616">
        <v>0</v>
      </c>
      <c r="F66" s="616">
        <f t="shared" si="2"/>
        <v>110686.41981699987</v>
      </c>
      <c r="G66" s="464">
        <f t="shared" si="15"/>
        <v>1</v>
      </c>
      <c r="H66" s="464">
        <f t="shared" si="15"/>
        <v>1</v>
      </c>
      <c r="I66" s="616">
        <f t="shared" si="16"/>
        <v>110686.41981699987</v>
      </c>
      <c r="K66" s="345">
        <f>[3]Reserve!$D146</f>
        <v>107223.89415499989</v>
      </c>
      <c r="L66" s="464">
        <f t="shared" si="17"/>
        <v>1</v>
      </c>
      <c r="M66" s="464">
        <f t="shared" si="17"/>
        <v>1</v>
      </c>
      <c r="N66" s="616">
        <f t="shared" si="18"/>
        <v>107223.89415499989</v>
      </c>
      <c r="S66" s="512"/>
    </row>
    <row r="67" spans="1:19">
      <c r="A67" s="858">
        <f t="shared" si="1"/>
        <v>53</v>
      </c>
      <c r="B67" s="512">
        <v>37501</v>
      </c>
      <c r="C67" s="88" t="s">
        <v>1005</v>
      </c>
      <c r="D67" s="345">
        <f>[3]Reserve!$AF147</f>
        <v>70555.583586500128</v>
      </c>
      <c r="E67" s="616">
        <v>0</v>
      </c>
      <c r="F67" s="616">
        <f t="shared" si="2"/>
        <v>70555.583586500128</v>
      </c>
      <c r="G67" s="464">
        <f t="shared" si="15"/>
        <v>1</v>
      </c>
      <c r="H67" s="464">
        <f t="shared" si="15"/>
        <v>1</v>
      </c>
      <c r="I67" s="616">
        <f t="shared" si="16"/>
        <v>70555.583586500128</v>
      </c>
      <c r="K67" s="345">
        <f>[3]Reserve!$D147</f>
        <v>69527.4568475001</v>
      </c>
      <c r="L67" s="464">
        <f t="shared" si="17"/>
        <v>1</v>
      </c>
      <c r="M67" s="464">
        <f t="shared" si="17"/>
        <v>1</v>
      </c>
      <c r="N67" s="616">
        <f t="shared" si="18"/>
        <v>69527.4568475001</v>
      </c>
      <c r="S67" s="512"/>
    </row>
    <row r="68" spans="1:19">
      <c r="A68" s="858">
        <f t="shared" si="1"/>
        <v>54</v>
      </c>
      <c r="B68" s="512">
        <v>37502</v>
      </c>
      <c r="C68" s="88" t="s">
        <v>1007</v>
      </c>
      <c r="D68" s="345">
        <f>[3]Reserve!$AF148</f>
        <v>34985.294049500022</v>
      </c>
      <c r="E68" s="616">
        <v>0</v>
      </c>
      <c r="F68" s="616">
        <f t="shared" si="2"/>
        <v>34985.294049500022</v>
      </c>
      <c r="G68" s="464">
        <f t="shared" si="15"/>
        <v>1</v>
      </c>
      <c r="H68" s="464">
        <f t="shared" si="15"/>
        <v>1</v>
      </c>
      <c r="I68" s="616">
        <f t="shared" si="16"/>
        <v>34985.294049500022</v>
      </c>
      <c r="K68" s="345">
        <f>[3]Reserve!$D148</f>
        <v>34508.772892500012</v>
      </c>
      <c r="L68" s="464">
        <f t="shared" si="17"/>
        <v>1</v>
      </c>
      <c r="M68" s="464">
        <f t="shared" si="17"/>
        <v>1</v>
      </c>
      <c r="N68" s="616">
        <f t="shared" si="18"/>
        <v>34508.772892500012</v>
      </c>
      <c r="S68" s="512"/>
    </row>
    <row r="69" spans="1:19">
      <c r="A69" s="858">
        <f t="shared" si="1"/>
        <v>55</v>
      </c>
      <c r="B69" s="512">
        <v>37503</v>
      </c>
      <c r="C69" s="88" t="s">
        <v>1006</v>
      </c>
      <c r="D69" s="345">
        <f>[3]Reserve!$AF149</f>
        <v>1884.3731339999979</v>
      </c>
      <c r="E69" s="616">
        <v>0</v>
      </c>
      <c r="F69" s="616">
        <f t="shared" si="2"/>
        <v>1884.3731339999979</v>
      </c>
      <c r="G69" s="464">
        <f t="shared" si="15"/>
        <v>1</v>
      </c>
      <c r="H69" s="464">
        <f t="shared" si="15"/>
        <v>1</v>
      </c>
      <c r="I69" s="616">
        <f t="shared" si="16"/>
        <v>1884.3731339999979</v>
      </c>
      <c r="K69" s="345">
        <f>[3]Reserve!$D149</f>
        <v>1843.1208099999981</v>
      </c>
      <c r="L69" s="464">
        <f t="shared" si="17"/>
        <v>1</v>
      </c>
      <c r="M69" s="464">
        <f t="shared" si="17"/>
        <v>1</v>
      </c>
      <c r="N69" s="616">
        <f t="shared" si="18"/>
        <v>1843.1208099999981</v>
      </c>
      <c r="S69" s="512"/>
    </row>
    <row r="70" spans="1:19">
      <c r="A70" s="858">
        <f t="shared" si="1"/>
        <v>56</v>
      </c>
      <c r="B70" s="512">
        <v>37600</v>
      </c>
      <c r="C70" s="88" t="s">
        <v>851</v>
      </c>
      <c r="D70" s="345">
        <f>[3]Reserve!$AF150</f>
        <v>12924122.285679964</v>
      </c>
      <c r="E70" s="616">
        <v>0</v>
      </c>
      <c r="F70" s="616">
        <f t="shared" si="2"/>
        <v>12924122.285679964</v>
      </c>
      <c r="G70" s="464">
        <f t="shared" si="15"/>
        <v>1</v>
      </c>
      <c r="H70" s="464">
        <f t="shared" si="15"/>
        <v>1</v>
      </c>
      <c r="I70" s="616">
        <f t="shared" si="16"/>
        <v>12924122.285679964</v>
      </c>
      <c r="K70" s="345">
        <f>[3]Reserve!$D150</f>
        <v>12595264.582505703</v>
      </c>
      <c r="L70" s="464">
        <f t="shared" si="17"/>
        <v>1</v>
      </c>
      <c r="M70" s="464">
        <f t="shared" si="17"/>
        <v>1</v>
      </c>
      <c r="N70" s="616">
        <f t="shared" si="18"/>
        <v>12595264.582505703</v>
      </c>
      <c r="S70" s="512"/>
    </row>
    <row r="71" spans="1:19">
      <c r="A71" s="858">
        <f t="shared" si="1"/>
        <v>57</v>
      </c>
      <c r="B71" s="512">
        <v>37601</v>
      </c>
      <c r="C71" s="88" t="s">
        <v>16</v>
      </c>
      <c r="D71" s="345">
        <f>[3]Reserve!$AF151</f>
        <v>29863767.451184731</v>
      </c>
      <c r="E71" s="616">
        <v>0</v>
      </c>
      <c r="F71" s="616">
        <f t="shared" si="2"/>
        <v>29863767.451184731</v>
      </c>
      <c r="G71" s="464">
        <f t="shared" si="15"/>
        <v>1</v>
      </c>
      <c r="H71" s="464">
        <f t="shared" si="15"/>
        <v>1</v>
      </c>
      <c r="I71" s="616">
        <f t="shared" si="16"/>
        <v>29863767.451184731</v>
      </c>
      <c r="K71" s="345">
        <f>[3]Reserve!$D151</f>
        <v>29171776.814593829</v>
      </c>
      <c r="L71" s="464">
        <f t="shared" si="17"/>
        <v>1</v>
      </c>
      <c r="M71" s="464">
        <f t="shared" si="17"/>
        <v>1</v>
      </c>
      <c r="N71" s="616">
        <f t="shared" si="18"/>
        <v>29171776.814593829</v>
      </c>
      <c r="S71" s="512"/>
    </row>
    <row r="72" spans="1:19">
      <c r="A72" s="858">
        <f t="shared" si="1"/>
        <v>58</v>
      </c>
      <c r="B72" s="512">
        <v>37602</v>
      </c>
      <c r="C72" s="88" t="s">
        <v>852</v>
      </c>
      <c r="D72" s="345">
        <f>[3]Reserve!$AF152</f>
        <v>17845677.158033997</v>
      </c>
      <c r="E72" s="616">
        <v>0</v>
      </c>
      <c r="F72" s="616">
        <f t="shared" si="2"/>
        <v>17845677.158033997</v>
      </c>
      <c r="G72" s="464">
        <f t="shared" si="15"/>
        <v>1</v>
      </c>
      <c r="H72" s="464">
        <f t="shared" si="15"/>
        <v>1</v>
      </c>
      <c r="I72" s="616">
        <f t="shared" si="16"/>
        <v>17845677.158033997</v>
      </c>
      <c r="K72" s="345">
        <f>[3]Reserve!$D152</f>
        <v>16572436.947456446</v>
      </c>
      <c r="L72" s="464">
        <f t="shared" si="17"/>
        <v>1</v>
      </c>
      <c r="M72" s="464">
        <f t="shared" si="17"/>
        <v>1</v>
      </c>
      <c r="N72" s="616">
        <f t="shared" si="18"/>
        <v>16572436.947456446</v>
      </c>
      <c r="S72" s="512"/>
    </row>
    <row r="73" spans="1:19">
      <c r="A73" s="858">
        <f t="shared" si="1"/>
        <v>59</v>
      </c>
      <c r="B73" s="512">
        <v>37800</v>
      </c>
      <c r="C73" s="88" t="s">
        <v>230</v>
      </c>
      <c r="D73" s="345">
        <f>[3]Reserve!$AF153</f>
        <v>2755115.6609372706</v>
      </c>
      <c r="E73" s="616">
        <v>0</v>
      </c>
      <c r="F73" s="616">
        <f t="shared" si="2"/>
        <v>2755115.6609372706</v>
      </c>
      <c r="G73" s="464">
        <f t="shared" si="15"/>
        <v>1</v>
      </c>
      <c r="H73" s="464">
        <f t="shared" si="15"/>
        <v>1</v>
      </c>
      <c r="I73" s="616">
        <f t="shared" si="16"/>
        <v>2755115.6609372706</v>
      </c>
      <c r="K73" s="345">
        <f>[3]Reserve!$D153</f>
        <v>2554129.5580904442</v>
      </c>
      <c r="L73" s="464">
        <f t="shared" si="17"/>
        <v>1</v>
      </c>
      <c r="M73" s="464">
        <f t="shared" si="17"/>
        <v>1</v>
      </c>
      <c r="N73" s="616">
        <f t="shared" si="18"/>
        <v>2554129.5580904442</v>
      </c>
      <c r="S73" s="512"/>
    </row>
    <row r="74" spans="1:19">
      <c r="A74" s="858">
        <f t="shared" si="1"/>
        <v>60</v>
      </c>
      <c r="B74" s="512">
        <v>37900</v>
      </c>
      <c r="C74" s="88" t="s">
        <v>1200</v>
      </c>
      <c r="D74" s="345">
        <f>[3]Reserve!$AF154</f>
        <v>1013389.2239786354</v>
      </c>
      <c r="E74" s="616">
        <v>0</v>
      </c>
      <c r="F74" s="616">
        <f t="shared" si="2"/>
        <v>1013389.2239786354</v>
      </c>
      <c r="G74" s="464">
        <f t="shared" si="15"/>
        <v>1</v>
      </c>
      <c r="H74" s="464">
        <f t="shared" si="15"/>
        <v>1</v>
      </c>
      <c r="I74" s="616">
        <f t="shared" si="16"/>
        <v>1013389.2239786354</v>
      </c>
      <c r="K74" s="345">
        <f>[3]Reserve!$D154</f>
        <v>939544.6280162594</v>
      </c>
      <c r="L74" s="464">
        <f t="shared" si="17"/>
        <v>1</v>
      </c>
      <c r="M74" s="464">
        <f t="shared" si="17"/>
        <v>1</v>
      </c>
      <c r="N74" s="616">
        <f t="shared" si="18"/>
        <v>939544.6280162594</v>
      </c>
      <c r="S74" s="512"/>
    </row>
    <row r="75" spans="1:19">
      <c r="A75" s="858">
        <f t="shared" si="1"/>
        <v>61</v>
      </c>
      <c r="B75" s="512">
        <v>37905</v>
      </c>
      <c r="C75" s="88" t="s">
        <v>732</v>
      </c>
      <c r="D75" s="345">
        <f>[3]Reserve!$AF155</f>
        <v>1059556.8021444918</v>
      </c>
      <c r="E75" s="616">
        <v>0</v>
      </c>
      <c r="F75" s="616">
        <f t="shared" si="2"/>
        <v>1059556.8021444918</v>
      </c>
      <c r="G75" s="464">
        <f t="shared" si="15"/>
        <v>1</v>
      </c>
      <c r="H75" s="464">
        <f t="shared" si="15"/>
        <v>1</v>
      </c>
      <c r="I75" s="616">
        <f t="shared" si="16"/>
        <v>1059556.8021444918</v>
      </c>
      <c r="K75" s="345">
        <f>[3]Reserve!$D155</f>
        <v>1018244.5664553276</v>
      </c>
      <c r="L75" s="464">
        <f t="shared" si="17"/>
        <v>1</v>
      </c>
      <c r="M75" s="464">
        <f t="shared" si="17"/>
        <v>1</v>
      </c>
      <c r="N75" s="616">
        <f t="shared" si="18"/>
        <v>1018244.5664553276</v>
      </c>
      <c r="S75" s="512"/>
    </row>
    <row r="76" spans="1:19">
      <c r="A76" s="858">
        <f t="shared" si="1"/>
        <v>62</v>
      </c>
      <c r="B76" s="512">
        <v>38000</v>
      </c>
      <c r="C76" s="88" t="s">
        <v>1061</v>
      </c>
      <c r="D76" s="345">
        <f>[3]Reserve!$AF156</f>
        <v>38681263.191491581</v>
      </c>
      <c r="E76" s="616">
        <v>0</v>
      </c>
      <c r="F76" s="616">
        <f t="shared" ref="F76:F110" si="19">D76-E76</f>
        <v>38681263.191491581</v>
      </c>
      <c r="G76" s="464">
        <f t="shared" si="15"/>
        <v>1</v>
      </c>
      <c r="H76" s="464">
        <f t="shared" si="15"/>
        <v>1</v>
      </c>
      <c r="I76" s="616">
        <f t="shared" si="16"/>
        <v>38681263.191491581</v>
      </c>
      <c r="K76" s="345">
        <f>[3]Reserve!$D156</f>
        <v>37374098.806804746</v>
      </c>
      <c r="L76" s="464">
        <f t="shared" si="17"/>
        <v>1</v>
      </c>
      <c r="M76" s="464">
        <f t="shared" si="17"/>
        <v>1</v>
      </c>
      <c r="N76" s="616">
        <f t="shared" si="18"/>
        <v>37374098.806804746</v>
      </c>
      <c r="S76" s="512"/>
    </row>
    <row r="77" spans="1:19">
      <c r="A77" s="858">
        <f t="shared" si="1"/>
        <v>63</v>
      </c>
      <c r="B77" s="512">
        <v>38100</v>
      </c>
      <c r="C77" s="88" t="s">
        <v>853</v>
      </c>
      <c r="D77" s="345">
        <f>[3]Reserve!$AF157</f>
        <v>20656076.452329051</v>
      </c>
      <c r="E77" s="616">
        <v>0</v>
      </c>
      <c r="F77" s="616">
        <f t="shared" si="19"/>
        <v>20656076.452329051</v>
      </c>
      <c r="G77" s="464">
        <f t="shared" si="15"/>
        <v>1</v>
      </c>
      <c r="H77" s="464">
        <f t="shared" si="15"/>
        <v>1</v>
      </c>
      <c r="I77" s="616">
        <f t="shared" si="16"/>
        <v>20656076.452329051</v>
      </c>
      <c r="K77" s="345">
        <f>[3]Reserve!$D157</f>
        <v>19024487.557569709</v>
      </c>
      <c r="L77" s="464">
        <f t="shared" si="17"/>
        <v>1</v>
      </c>
      <c r="M77" s="464">
        <f t="shared" si="17"/>
        <v>1</v>
      </c>
      <c r="N77" s="616">
        <f t="shared" si="18"/>
        <v>19024487.557569709</v>
      </c>
      <c r="S77" s="512"/>
    </row>
    <row r="78" spans="1:19">
      <c r="A78" s="858">
        <f t="shared" si="1"/>
        <v>64</v>
      </c>
      <c r="B78" s="512">
        <v>38200</v>
      </c>
      <c r="C78" s="88" t="s">
        <v>447</v>
      </c>
      <c r="D78" s="345">
        <f>[3]Reserve!$AF158</f>
        <v>25825004.857517008</v>
      </c>
      <c r="E78" s="616">
        <v>0</v>
      </c>
      <c r="F78" s="616">
        <f t="shared" si="19"/>
        <v>25825004.857517008</v>
      </c>
      <c r="G78" s="464">
        <f t="shared" si="15"/>
        <v>1</v>
      </c>
      <c r="H78" s="464">
        <f t="shared" si="15"/>
        <v>1</v>
      </c>
      <c r="I78" s="616">
        <f t="shared" si="16"/>
        <v>25825004.857517008</v>
      </c>
      <c r="K78" s="345">
        <f>[3]Reserve!$D158</f>
        <v>24993490.739980765</v>
      </c>
      <c r="L78" s="464">
        <f t="shared" si="17"/>
        <v>1</v>
      </c>
      <c r="M78" s="464">
        <f t="shared" si="17"/>
        <v>1</v>
      </c>
      <c r="N78" s="616">
        <f t="shared" si="18"/>
        <v>24993490.739980765</v>
      </c>
      <c r="S78" s="512"/>
    </row>
    <row r="79" spans="1:19">
      <c r="A79" s="858">
        <f t="shared" si="1"/>
        <v>65</v>
      </c>
      <c r="B79" s="512">
        <v>38300</v>
      </c>
      <c r="C79" s="88" t="s">
        <v>1062</v>
      </c>
      <c r="D79" s="345">
        <f>[3]Reserve!$AF159</f>
        <v>4158943.6824368746</v>
      </c>
      <c r="E79" s="616">
        <v>0</v>
      </c>
      <c r="F79" s="616">
        <f t="shared" si="19"/>
        <v>4158943.6824368746</v>
      </c>
      <c r="G79" s="464">
        <f t="shared" si="15"/>
        <v>1</v>
      </c>
      <c r="H79" s="464">
        <f t="shared" si="15"/>
        <v>1</v>
      </c>
      <c r="I79" s="616">
        <f t="shared" si="16"/>
        <v>4158943.6824368746</v>
      </c>
      <c r="K79" s="345">
        <f>[3]Reserve!$D159</f>
        <v>3972596.4628011356</v>
      </c>
      <c r="L79" s="464">
        <f t="shared" si="17"/>
        <v>1</v>
      </c>
      <c r="M79" s="464">
        <f t="shared" si="17"/>
        <v>1</v>
      </c>
      <c r="N79" s="616">
        <f t="shared" si="18"/>
        <v>3972596.4628011356</v>
      </c>
      <c r="S79" s="512"/>
    </row>
    <row r="80" spans="1:19">
      <c r="A80" s="858">
        <f t="shared" si="1"/>
        <v>66</v>
      </c>
      <c r="B80" s="512">
        <v>38400</v>
      </c>
      <c r="C80" s="88" t="s">
        <v>448</v>
      </c>
      <c r="D80" s="345">
        <f>[3]Reserve!$AF160</f>
        <v>90956.283299827119</v>
      </c>
      <c r="E80" s="616">
        <v>0</v>
      </c>
      <c r="F80" s="616">
        <f t="shared" si="19"/>
        <v>90956.283299827119</v>
      </c>
      <c r="G80" s="464">
        <f t="shared" si="15"/>
        <v>1</v>
      </c>
      <c r="H80" s="464">
        <f t="shared" si="15"/>
        <v>1</v>
      </c>
      <c r="I80" s="616">
        <f t="shared" si="16"/>
        <v>90956.283299827119</v>
      </c>
      <c r="K80" s="345">
        <f>[3]Reserve!$D160</f>
        <v>87938.682196943642</v>
      </c>
      <c r="L80" s="464">
        <f t="shared" si="17"/>
        <v>1</v>
      </c>
      <c r="M80" s="464">
        <f t="shared" si="17"/>
        <v>1</v>
      </c>
      <c r="N80" s="616">
        <f t="shared" si="18"/>
        <v>87938.682196943642</v>
      </c>
      <c r="S80" s="512"/>
    </row>
    <row r="81" spans="1:19">
      <c r="A81" s="858">
        <f t="shared" ref="A81:A150" si="20">A80+1</f>
        <v>67</v>
      </c>
      <c r="B81" s="512">
        <v>38500</v>
      </c>
      <c r="C81" s="88" t="s">
        <v>449</v>
      </c>
      <c r="D81" s="345">
        <f>[3]Reserve!$AF161</f>
        <v>2904067.3458352396</v>
      </c>
      <c r="E81" s="616">
        <v>0</v>
      </c>
      <c r="F81" s="616">
        <f t="shared" si="19"/>
        <v>2904067.3458352396</v>
      </c>
      <c r="G81" s="464">
        <f t="shared" si="15"/>
        <v>1</v>
      </c>
      <c r="H81" s="464">
        <f t="shared" si="15"/>
        <v>1</v>
      </c>
      <c r="I81" s="616">
        <f t="shared" si="16"/>
        <v>2904067.3458352396</v>
      </c>
      <c r="K81" s="345">
        <f>[3]Reserve!$D161</f>
        <v>2832946.2697525355</v>
      </c>
      <c r="L81" s="464">
        <f t="shared" si="17"/>
        <v>1</v>
      </c>
      <c r="M81" s="464">
        <f t="shared" si="17"/>
        <v>1</v>
      </c>
      <c r="N81" s="616">
        <f t="shared" si="18"/>
        <v>2832946.2697525355</v>
      </c>
      <c r="S81" s="512"/>
    </row>
    <row r="82" spans="1:19">
      <c r="A82" s="858">
        <f t="shared" si="20"/>
        <v>68</v>
      </c>
      <c r="B82" s="512"/>
      <c r="C82" s="88"/>
      <c r="D82" s="1067"/>
      <c r="E82" s="1067"/>
      <c r="F82" s="1067"/>
      <c r="G82" s="464"/>
      <c r="H82" s="464"/>
      <c r="I82" s="1067"/>
      <c r="K82" s="1067"/>
      <c r="N82" s="1067"/>
    </row>
    <row r="83" spans="1:19">
      <c r="A83" s="858">
        <f t="shared" si="20"/>
        <v>69</v>
      </c>
      <c r="B83" s="512"/>
      <c r="C83" s="88" t="s">
        <v>1401</v>
      </c>
      <c r="D83" s="359">
        <f>SUM(D62:D82)</f>
        <v>158212599.77838853</v>
      </c>
      <c r="E83" s="359">
        <f>SUM(E62:E82)</f>
        <v>0</v>
      </c>
      <c r="F83" s="359">
        <f>SUM(F62:F82)</f>
        <v>158212599.77838853</v>
      </c>
      <c r="G83" s="464"/>
      <c r="H83" s="464"/>
      <c r="I83" s="359">
        <f>SUM(I62:I82)</f>
        <v>158212599.77838853</v>
      </c>
      <c r="K83" s="359">
        <f>SUM(K62:K82)</f>
        <v>151542161.79867446</v>
      </c>
      <c r="N83" s="359">
        <f>SUM(N62:N82)</f>
        <v>151542161.79867446</v>
      </c>
    </row>
    <row r="84" spans="1:19">
      <c r="A84" s="858">
        <f t="shared" si="20"/>
        <v>70</v>
      </c>
      <c r="B84" s="512"/>
      <c r="C84" s="88"/>
      <c r="D84" s="616"/>
      <c r="E84" s="616"/>
      <c r="F84" s="616"/>
      <c r="G84" s="464"/>
      <c r="H84" s="464"/>
      <c r="I84" s="616"/>
      <c r="K84" s="616"/>
      <c r="N84" s="616"/>
    </row>
    <row r="85" spans="1:19">
      <c r="A85" s="858">
        <f t="shared" si="20"/>
        <v>71</v>
      </c>
      <c r="B85" s="706"/>
      <c r="C85" s="619" t="s">
        <v>305</v>
      </c>
      <c r="D85" s="616"/>
      <c r="E85" s="616"/>
      <c r="F85" s="616"/>
      <c r="G85" s="464"/>
      <c r="H85" s="464"/>
      <c r="I85" s="616"/>
      <c r="K85" s="616"/>
      <c r="N85" s="616"/>
    </row>
    <row r="86" spans="1:19">
      <c r="A86" s="858">
        <f t="shared" si="20"/>
        <v>72</v>
      </c>
      <c r="B86" s="512">
        <v>38900</v>
      </c>
      <c r="C86" s="88" t="s">
        <v>1557</v>
      </c>
      <c r="D86" s="345">
        <f>[3]Reserve!$AF162</f>
        <v>0</v>
      </c>
      <c r="E86" s="359">
        <v>0</v>
      </c>
      <c r="F86" s="359">
        <f t="shared" si="19"/>
        <v>0</v>
      </c>
      <c r="G86" s="464">
        <f t="shared" ref="G86:H104" si="21">$G$16</f>
        <v>1</v>
      </c>
      <c r="H86" s="464">
        <f t="shared" si="21"/>
        <v>1</v>
      </c>
      <c r="I86" s="359">
        <f t="shared" ref="I86:I110" si="22">F86*G86*H86</f>
        <v>0</v>
      </c>
      <c r="K86" s="345">
        <f>[3]Reserve!$D162</f>
        <v>0</v>
      </c>
      <c r="L86" s="464">
        <f t="shared" ref="L86:M104" si="23">$G$16</f>
        <v>1</v>
      </c>
      <c r="M86" s="464">
        <f t="shared" si="23"/>
        <v>1</v>
      </c>
      <c r="N86" s="359">
        <f t="shared" ref="N86:N110" si="24">K86*L86*M86</f>
        <v>0</v>
      </c>
      <c r="S86" s="512"/>
    </row>
    <row r="87" spans="1:19">
      <c r="A87" s="858">
        <f t="shared" si="20"/>
        <v>73</v>
      </c>
      <c r="B87" s="512">
        <v>39000</v>
      </c>
      <c r="C87" s="88" t="s">
        <v>1558</v>
      </c>
      <c r="D87" s="345">
        <f>[3]Reserve!$AF163</f>
        <v>1123624.4495535207</v>
      </c>
      <c r="E87" s="616">
        <v>0</v>
      </c>
      <c r="F87" s="616">
        <f t="shared" si="19"/>
        <v>1123624.4495535207</v>
      </c>
      <c r="G87" s="464">
        <f t="shared" si="21"/>
        <v>1</v>
      </c>
      <c r="H87" s="464">
        <f t="shared" si="21"/>
        <v>1</v>
      </c>
      <c r="I87" s="616">
        <f t="shared" si="22"/>
        <v>1123624.4495535207</v>
      </c>
      <c r="K87" s="345">
        <f>[3]Reserve!$D163</f>
        <v>989221.66228965647</v>
      </c>
      <c r="L87" s="464">
        <f t="shared" si="23"/>
        <v>1</v>
      </c>
      <c r="M87" s="464">
        <f t="shared" si="23"/>
        <v>1</v>
      </c>
      <c r="N87" s="616">
        <f t="shared" si="24"/>
        <v>989221.66228965647</v>
      </c>
      <c r="S87" s="512"/>
    </row>
    <row r="88" spans="1:19">
      <c r="A88" s="858">
        <f t="shared" si="20"/>
        <v>74</v>
      </c>
      <c r="B88" s="512">
        <v>39002</v>
      </c>
      <c r="C88" s="88" t="s">
        <v>1559</v>
      </c>
      <c r="D88" s="345">
        <f>[3]Reserve!$AF164</f>
        <v>104795.54712999989</v>
      </c>
      <c r="E88" s="616">
        <v>0</v>
      </c>
      <c r="F88" s="616">
        <f t="shared" si="19"/>
        <v>104795.54712999989</v>
      </c>
      <c r="G88" s="464">
        <f t="shared" si="21"/>
        <v>1</v>
      </c>
      <c r="H88" s="464">
        <f t="shared" si="21"/>
        <v>1</v>
      </c>
      <c r="I88" s="616">
        <f t="shared" si="22"/>
        <v>104795.54712999989</v>
      </c>
      <c r="K88" s="345">
        <f>[3]Reserve!$D164</f>
        <v>101540.98794999989</v>
      </c>
      <c r="L88" s="464">
        <f t="shared" si="23"/>
        <v>1</v>
      </c>
      <c r="M88" s="464">
        <f t="shared" si="23"/>
        <v>1</v>
      </c>
      <c r="N88" s="616">
        <f t="shared" si="24"/>
        <v>101540.98794999989</v>
      </c>
      <c r="S88" s="512"/>
    </row>
    <row r="89" spans="1:19">
      <c r="A89" s="858">
        <f t="shared" si="20"/>
        <v>75</v>
      </c>
      <c r="B89" s="512">
        <v>39003</v>
      </c>
      <c r="C89" s="88" t="s">
        <v>1560</v>
      </c>
      <c r="D89" s="345">
        <f>[3]Reserve!$AF165</f>
        <v>281311.78604400012</v>
      </c>
      <c r="E89" s="616">
        <v>0</v>
      </c>
      <c r="F89" s="616">
        <f t="shared" si="19"/>
        <v>281311.78604400012</v>
      </c>
      <c r="G89" s="464">
        <f t="shared" si="21"/>
        <v>1</v>
      </c>
      <c r="H89" s="464">
        <f t="shared" si="21"/>
        <v>1</v>
      </c>
      <c r="I89" s="616">
        <f t="shared" si="22"/>
        <v>281311.78604400012</v>
      </c>
      <c r="K89" s="345">
        <f>[3]Reserve!$D165</f>
        <v>267978.84146000014</v>
      </c>
      <c r="L89" s="464">
        <f t="shared" si="23"/>
        <v>1</v>
      </c>
      <c r="M89" s="464">
        <f t="shared" si="23"/>
        <v>1</v>
      </c>
      <c r="N89" s="616">
        <f t="shared" si="24"/>
        <v>267978.84146000014</v>
      </c>
      <c r="S89" s="512"/>
    </row>
    <row r="90" spans="1:19">
      <c r="A90" s="858">
        <f t="shared" si="20"/>
        <v>76</v>
      </c>
      <c r="B90" s="512">
        <v>39004</v>
      </c>
      <c r="C90" s="88" t="s">
        <v>1561</v>
      </c>
      <c r="D90" s="345">
        <f>[3]Reserve!$AF166</f>
        <v>4684.0918920000067</v>
      </c>
      <c r="E90" s="616">
        <v>0</v>
      </c>
      <c r="F90" s="616">
        <f t="shared" si="19"/>
        <v>4684.0918920000067</v>
      </c>
      <c r="G90" s="464">
        <f t="shared" si="21"/>
        <v>1</v>
      </c>
      <c r="H90" s="464">
        <f t="shared" si="21"/>
        <v>1</v>
      </c>
      <c r="I90" s="616">
        <f t="shared" si="22"/>
        <v>4684.0918920000067</v>
      </c>
      <c r="K90" s="345">
        <f>[3]Reserve!$D166</f>
        <v>4440.5427800000043</v>
      </c>
      <c r="L90" s="464">
        <f t="shared" si="23"/>
        <v>1</v>
      </c>
      <c r="M90" s="464">
        <f t="shared" si="23"/>
        <v>1</v>
      </c>
      <c r="N90" s="616">
        <f t="shared" si="24"/>
        <v>4440.5427800000043</v>
      </c>
      <c r="S90" s="512"/>
    </row>
    <row r="91" spans="1:19">
      <c r="A91" s="858">
        <f t="shared" si="20"/>
        <v>77</v>
      </c>
      <c r="B91" s="512">
        <v>39009</v>
      </c>
      <c r="C91" s="88" t="s">
        <v>1562</v>
      </c>
      <c r="D91" s="345">
        <f>[3]Reserve!$AF167</f>
        <v>1248109.8595909993</v>
      </c>
      <c r="E91" s="616">
        <v>0</v>
      </c>
      <c r="F91" s="616">
        <f t="shared" si="19"/>
        <v>1248109.8595909993</v>
      </c>
      <c r="G91" s="464">
        <f t="shared" si="21"/>
        <v>1</v>
      </c>
      <c r="H91" s="464">
        <f t="shared" si="21"/>
        <v>1</v>
      </c>
      <c r="I91" s="616">
        <f t="shared" si="22"/>
        <v>1248109.8595909993</v>
      </c>
      <c r="K91" s="345">
        <f>[3]Reserve!$D167</f>
        <v>1225690.3469873457</v>
      </c>
      <c r="L91" s="464">
        <f t="shared" si="23"/>
        <v>1</v>
      </c>
      <c r="M91" s="464">
        <f t="shared" si="23"/>
        <v>1</v>
      </c>
      <c r="N91" s="616">
        <f t="shared" si="24"/>
        <v>1225690.3469873457</v>
      </c>
      <c r="S91" s="512"/>
    </row>
    <row r="92" spans="1:19">
      <c r="A92" s="858">
        <f t="shared" si="20"/>
        <v>78</v>
      </c>
      <c r="B92" s="512">
        <v>39100</v>
      </c>
      <c r="C92" s="88" t="s">
        <v>1563</v>
      </c>
      <c r="D92" s="345">
        <f>[3]Reserve!$AF168</f>
        <v>1048771.6444475006</v>
      </c>
      <c r="E92" s="616">
        <v>0</v>
      </c>
      <c r="F92" s="616">
        <f t="shared" si="19"/>
        <v>1048771.6444475006</v>
      </c>
      <c r="G92" s="464">
        <f t="shared" si="21"/>
        <v>1</v>
      </c>
      <c r="H92" s="464">
        <f t="shared" si="21"/>
        <v>1</v>
      </c>
      <c r="I92" s="616">
        <f t="shared" si="22"/>
        <v>1048771.6444475006</v>
      </c>
      <c r="K92" s="345">
        <f>[3]Reserve!$D168</f>
        <v>988921.09746250056</v>
      </c>
      <c r="L92" s="464">
        <f t="shared" si="23"/>
        <v>1</v>
      </c>
      <c r="M92" s="464">
        <f t="shared" si="23"/>
        <v>1</v>
      </c>
      <c r="N92" s="616">
        <f t="shared" si="24"/>
        <v>988921.09746250056</v>
      </c>
      <c r="S92" s="512"/>
    </row>
    <row r="93" spans="1:19">
      <c r="A93" s="858">
        <f t="shared" si="20"/>
        <v>79</v>
      </c>
      <c r="B93" s="512">
        <v>39103</v>
      </c>
      <c r="C93" s="88" t="s">
        <v>787</v>
      </c>
      <c r="D93" s="345">
        <f>[3]Reserve!$AF169</f>
        <v>0</v>
      </c>
      <c r="E93" s="616">
        <v>0</v>
      </c>
      <c r="F93" s="616">
        <f t="shared" si="19"/>
        <v>0</v>
      </c>
      <c r="G93" s="464">
        <f t="shared" si="21"/>
        <v>1</v>
      </c>
      <c r="H93" s="464">
        <f t="shared" si="21"/>
        <v>1</v>
      </c>
      <c r="I93" s="616">
        <f t="shared" ref="I93:I97" si="25">F93*G93*H93</f>
        <v>0</v>
      </c>
      <c r="K93" s="345">
        <f>[3]Reserve!$D169</f>
        <v>0</v>
      </c>
      <c r="L93" s="464">
        <f t="shared" si="23"/>
        <v>1</v>
      </c>
      <c r="M93" s="464">
        <f t="shared" si="23"/>
        <v>1</v>
      </c>
      <c r="N93" s="616">
        <f t="shared" ref="N93:N99" si="26">K93*L93*M93</f>
        <v>0</v>
      </c>
      <c r="S93" s="512"/>
    </row>
    <row r="94" spans="1:19">
      <c r="A94" s="858">
        <f t="shared" si="20"/>
        <v>80</v>
      </c>
      <c r="B94" s="512">
        <v>39200</v>
      </c>
      <c r="C94" s="88" t="s">
        <v>1564</v>
      </c>
      <c r="D94" s="345">
        <f>[3]Reserve!$AF170</f>
        <v>107529.04915499997</v>
      </c>
      <c r="E94" s="616">
        <v>0</v>
      </c>
      <c r="F94" s="616">
        <f t="shared" si="19"/>
        <v>107529.04915499997</v>
      </c>
      <c r="G94" s="464">
        <f t="shared" si="21"/>
        <v>1</v>
      </c>
      <c r="H94" s="464">
        <f t="shared" si="21"/>
        <v>1</v>
      </c>
      <c r="I94" s="616">
        <f t="shared" si="25"/>
        <v>107529.04915499997</v>
      </c>
      <c r="K94" s="345">
        <f>[3]Reserve!$D170</f>
        <v>90800.340824999977</v>
      </c>
      <c r="L94" s="464">
        <f t="shared" si="23"/>
        <v>1</v>
      </c>
      <c r="M94" s="464">
        <f t="shared" si="23"/>
        <v>1</v>
      </c>
      <c r="N94" s="616">
        <f t="shared" si="26"/>
        <v>90800.340824999977</v>
      </c>
      <c r="S94" s="512"/>
    </row>
    <row r="95" spans="1:19">
      <c r="A95" s="858">
        <f t="shared" si="20"/>
        <v>81</v>
      </c>
      <c r="B95" s="512">
        <v>39202</v>
      </c>
      <c r="C95" s="88" t="s">
        <v>1565</v>
      </c>
      <c r="D95" s="345">
        <f>[3]Reserve!$AF171</f>
        <v>-2549.7600000000002</v>
      </c>
      <c r="E95" s="616">
        <v>0</v>
      </c>
      <c r="F95" s="616">
        <f t="shared" si="19"/>
        <v>-2549.7600000000002</v>
      </c>
      <c r="G95" s="464">
        <f t="shared" si="21"/>
        <v>1</v>
      </c>
      <c r="H95" s="464">
        <f t="shared" si="21"/>
        <v>1</v>
      </c>
      <c r="I95" s="616">
        <f t="shared" si="25"/>
        <v>-2549.7600000000002</v>
      </c>
      <c r="K95" s="345">
        <f>[3]Reserve!$D171</f>
        <v>-2549.7600000000011</v>
      </c>
      <c r="L95" s="464">
        <f t="shared" si="23"/>
        <v>1</v>
      </c>
      <c r="M95" s="464">
        <f t="shared" si="23"/>
        <v>1</v>
      </c>
      <c r="N95" s="616">
        <f t="shared" si="26"/>
        <v>-2549.7600000000011</v>
      </c>
      <c r="S95" s="512"/>
    </row>
    <row r="96" spans="1:19">
      <c r="A96" s="858">
        <f t="shared" si="20"/>
        <v>82</v>
      </c>
      <c r="B96" s="512">
        <v>39400</v>
      </c>
      <c r="C96" s="88" t="s">
        <v>1566</v>
      </c>
      <c r="D96" s="345">
        <f>[3]Reserve!$AF172</f>
        <v>1354205.5736513922</v>
      </c>
      <c r="E96" s="616">
        <v>0</v>
      </c>
      <c r="F96" s="616">
        <f t="shared" si="19"/>
        <v>1354205.5736513922</v>
      </c>
      <c r="G96" s="464">
        <f t="shared" si="21"/>
        <v>1</v>
      </c>
      <c r="H96" s="464">
        <f t="shared" si="21"/>
        <v>1</v>
      </c>
      <c r="I96" s="616">
        <f t="shared" si="25"/>
        <v>1354205.5736513922</v>
      </c>
      <c r="K96" s="345">
        <f>[3]Reserve!$D172</f>
        <v>1181288.5442582623</v>
      </c>
      <c r="L96" s="464">
        <f t="shared" si="23"/>
        <v>1</v>
      </c>
      <c r="M96" s="464">
        <f t="shared" si="23"/>
        <v>1</v>
      </c>
      <c r="N96" s="616">
        <f t="shared" si="26"/>
        <v>1181288.5442582623</v>
      </c>
      <c r="S96" s="512"/>
    </row>
    <row r="97" spans="1:19">
      <c r="A97" s="858">
        <f t="shared" si="20"/>
        <v>83</v>
      </c>
      <c r="B97" s="512">
        <v>39603</v>
      </c>
      <c r="C97" s="88" t="s">
        <v>1567</v>
      </c>
      <c r="D97" s="345">
        <f>[3]Reserve!$AF173</f>
        <v>39760.799671999972</v>
      </c>
      <c r="E97" s="616">
        <v>0</v>
      </c>
      <c r="F97" s="616">
        <f t="shared" si="19"/>
        <v>39760.799671999972</v>
      </c>
      <c r="G97" s="464">
        <f t="shared" si="21"/>
        <v>1</v>
      </c>
      <c r="H97" s="464">
        <f t="shared" si="21"/>
        <v>1</v>
      </c>
      <c r="I97" s="616">
        <f t="shared" si="25"/>
        <v>39760.799671999972</v>
      </c>
      <c r="K97" s="345">
        <f>[3]Reserve!$D173</f>
        <v>39019.253270461522</v>
      </c>
      <c r="L97" s="464">
        <f t="shared" si="23"/>
        <v>1</v>
      </c>
      <c r="M97" s="464">
        <f t="shared" si="23"/>
        <v>1</v>
      </c>
      <c r="N97" s="616">
        <f t="shared" si="26"/>
        <v>39019.253270461522</v>
      </c>
      <c r="S97" s="512"/>
    </row>
    <row r="98" spans="1:19">
      <c r="A98" s="858">
        <f t="shared" si="20"/>
        <v>84</v>
      </c>
      <c r="B98" s="512">
        <v>39604</v>
      </c>
      <c r="C98" s="88" t="s">
        <v>1568</v>
      </c>
      <c r="D98" s="345">
        <f>[3]Reserve!$AF174</f>
        <v>62887.10692349996</v>
      </c>
      <c r="E98" s="616">
        <v>0</v>
      </c>
      <c r="F98" s="616">
        <f t="shared" si="19"/>
        <v>62887.10692349996</v>
      </c>
      <c r="G98" s="464">
        <f t="shared" si="21"/>
        <v>1</v>
      </c>
      <c r="H98" s="464">
        <f t="shared" si="21"/>
        <v>1</v>
      </c>
      <c r="I98" s="616">
        <f t="shared" si="22"/>
        <v>62887.10692349996</v>
      </c>
      <c r="K98" s="345">
        <f>[3]Reserve!$D174</f>
        <v>61712.405253980731</v>
      </c>
      <c r="L98" s="464">
        <f t="shared" si="23"/>
        <v>1</v>
      </c>
      <c r="M98" s="464">
        <f t="shared" si="23"/>
        <v>1</v>
      </c>
      <c r="N98" s="616">
        <f t="shared" si="26"/>
        <v>61712.405253980731</v>
      </c>
      <c r="S98" s="512"/>
    </row>
    <row r="99" spans="1:19">
      <c r="A99" s="858">
        <f t="shared" si="20"/>
        <v>85</v>
      </c>
      <c r="B99" s="512">
        <v>39605</v>
      </c>
      <c r="C99" s="88" t="s">
        <v>1569</v>
      </c>
      <c r="D99" s="345">
        <f>[3]Reserve!$AF175</f>
        <v>19456.389328250003</v>
      </c>
      <c r="E99" s="616">
        <v>0</v>
      </c>
      <c r="F99" s="616">
        <f t="shared" si="19"/>
        <v>19456.389328250003</v>
      </c>
      <c r="G99" s="464">
        <f t="shared" si="21"/>
        <v>1</v>
      </c>
      <c r="H99" s="464">
        <f t="shared" si="21"/>
        <v>1</v>
      </c>
      <c r="I99" s="616">
        <f t="shared" si="22"/>
        <v>19456.389328250003</v>
      </c>
      <c r="K99" s="345">
        <f>[3]Reserve!$D175</f>
        <v>18122.822068923077</v>
      </c>
      <c r="L99" s="464">
        <f t="shared" si="23"/>
        <v>1</v>
      </c>
      <c r="M99" s="464">
        <f t="shared" si="23"/>
        <v>1</v>
      </c>
      <c r="N99" s="616">
        <f t="shared" si="26"/>
        <v>18122.822068923077</v>
      </c>
      <c r="S99" s="512"/>
    </row>
    <row r="100" spans="1:19">
      <c r="A100" s="858">
        <f t="shared" si="20"/>
        <v>86</v>
      </c>
      <c r="B100" s="512">
        <v>39700</v>
      </c>
      <c r="C100" s="88" t="s">
        <v>1570</v>
      </c>
      <c r="D100" s="345">
        <f>[3]Reserve!$AF176</f>
        <v>213192.31359699985</v>
      </c>
      <c r="E100" s="616">
        <v>0</v>
      </c>
      <c r="F100" s="616">
        <f t="shared" si="19"/>
        <v>213192.31359699985</v>
      </c>
      <c r="G100" s="464">
        <f t="shared" si="21"/>
        <v>1</v>
      </c>
      <c r="H100" s="464">
        <f t="shared" si="21"/>
        <v>1</v>
      </c>
      <c r="I100" s="616">
        <f t="shared" si="22"/>
        <v>213192.31359699985</v>
      </c>
      <c r="K100" s="345">
        <f>[3]Reserve!$D176</f>
        <v>201220.84685499987</v>
      </c>
      <c r="L100" s="464">
        <f t="shared" si="23"/>
        <v>1</v>
      </c>
      <c r="M100" s="464">
        <f t="shared" si="23"/>
        <v>1</v>
      </c>
      <c r="N100" s="616">
        <f t="shared" si="24"/>
        <v>201220.84685499987</v>
      </c>
      <c r="S100" s="512"/>
    </row>
    <row r="101" spans="1:19">
      <c r="A101" s="858">
        <f t="shared" si="20"/>
        <v>87</v>
      </c>
      <c r="B101" s="706">
        <v>39701</v>
      </c>
      <c r="C101" s="88" t="s">
        <v>1530</v>
      </c>
      <c r="D101" s="345">
        <f>[3]Reserve!$AF177</f>
        <v>0</v>
      </c>
      <c r="E101" s="616">
        <v>0</v>
      </c>
      <c r="F101" s="616">
        <f t="shared" si="19"/>
        <v>0</v>
      </c>
      <c r="G101" s="464">
        <f t="shared" si="21"/>
        <v>1</v>
      </c>
      <c r="H101" s="464">
        <f t="shared" si="21"/>
        <v>1</v>
      </c>
      <c r="I101" s="616">
        <f t="shared" si="22"/>
        <v>0</v>
      </c>
      <c r="K101" s="345">
        <f>[3]Reserve!$D177</f>
        <v>0</v>
      </c>
      <c r="L101" s="464">
        <f t="shared" si="23"/>
        <v>1</v>
      </c>
      <c r="M101" s="464">
        <f t="shared" si="23"/>
        <v>1</v>
      </c>
      <c r="N101" s="616">
        <f t="shared" si="24"/>
        <v>0</v>
      </c>
      <c r="S101" s="512"/>
    </row>
    <row r="102" spans="1:19">
      <c r="A102" s="858">
        <f t="shared" si="20"/>
        <v>88</v>
      </c>
      <c r="B102" s="706">
        <v>39702</v>
      </c>
      <c r="C102" s="81" t="s">
        <v>1530</v>
      </c>
      <c r="D102" s="345">
        <f>[3]Reserve!$AF178</f>
        <v>0</v>
      </c>
      <c r="E102" s="616">
        <v>0</v>
      </c>
      <c r="F102" s="616">
        <f t="shared" si="19"/>
        <v>0</v>
      </c>
      <c r="G102" s="464">
        <f t="shared" si="21"/>
        <v>1</v>
      </c>
      <c r="H102" s="464">
        <f t="shared" si="21"/>
        <v>1</v>
      </c>
      <c r="I102" s="616">
        <f t="shared" si="22"/>
        <v>0</v>
      </c>
      <c r="K102" s="345">
        <f>[3]Reserve!$D178</f>
        <v>0</v>
      </c>
      <c r="L102" s="464">
        <f t="shared" si="23"/>
        <v>1</v>
      </c>
      <c r="M102" s="464">
        <f t="shared" si="23"/>
        <v>1</v>
      </c>
      <c r="N102" s="616">
        <f t="shared" si="24"/>
        <v>0</v>
      </c>
      <c r="S102" s="512"/>
    </row>
    <row r="103" spans="1:19">
      <c r="A103" s="858">
        <f t="shared" si="20"/>
        <v>89</v>
      </c>
      <c r="B103" s="706">
        <v>39705</v>
      </c>
      <c r="C103" s="88" t="s">
        <v>1571</v>
      </c>
      <c r="D103" s="345">
        <f>[3]Reserve!$AF179</f>
        <v>0</v>
      </c>
      <c r="E103" s="616">
        <v>0</v>
      </c>
      <c r="F103" s="616">
        <f t="shared" si="19"/>
        <v>0</v>
      </c>
      <c r="G103" s="464">
        <f t="shared" si="21"/>
        <v>1</v>
      </c>
      <c r="H103" s="464">
        <f t="shared" si="21"/>
        <v>1</v>
      </c>
      <c r="I103" s="616">
        <f t="shared" si="22"/>
        <v>0</v>
      </c>
      <c r="K103" s="345">
        <f>[3]Reserve!$D179</f>
        <v>0</v>
      </c>
      <c r="L103" s="464">
        <f t="shared" si="23"/>
        <v>1</v>
      </c>
      <c r="M103" s="464">
        <f t="shared" si="23"/>
        <v>1</v>
      </c>
      <c r="N103" s="616">
        <f t="shared" si="24"/>
        <v>0</v>
      </c>
      <c r="S103" s="512"/>
    </row>
    <row r="104" spans="1:19">
      <c r="A104" s="858">
        <f t="shared" si="20"/>
        <v>90</v>
      </c>
      <c r="B104" s="706">
        <v>39800</v>
      </c>
      <c r="C104" s="88" t="s">
        <v>1572</v>
      </c>
      <c r="D104" s="345">
        <f>[3]Reserve!$AF180</f>
        <v>1788138.6160357494</v>
      </c>
      <c r="E104" s="616">
        <v>0</v>
      </c>
      <c r="F104" s="616">
        <f t="shared" si="19"/>
        <v>1788138.6160357494</v>
      </c>
      <c r="G104" s="464">
        <f t="shared" si="21"/>
        <v>1</v>
      </c>
      <c r="H104" s="464">
        <f t="shared" si="21"/>
        <v>1</v>
      </c>
      <c r="I104" s="616">
        <f t="shared" si="22"/>
        <v>1788138.6160357494</v>
      </c>
      <c r="K104" s="345">
        <f>[3]Reserve!$D180</f>
        <v>1693601.8127808045</v>
      </c>
      <c r="L104" s="464">
        <f t="shared" si="23"/>
        <v>1</v>
      </c>
      <c r="M104" s="464">
        <f t="shared" si="23"/>
        <v>1</v>
      </c>
      <c r="N104" s="616">
        <f t="shared" si="24"/>
        <v>1693601.8127808045</v>
      </c>
      <c r="S104" s="512"/>
    </row>
    <row r="105" spans="1:19">
      <c r="A105" s="858">
        <f t="shared" si="20"/>
        <v>91</v>
      </c>
      <c r="B105" s="706">
        <v>39901</v>
      </c>
      <c r="C105" s="88" t="s">
        <v>1531</v>
      </c>
      <c r="D105" s="345">
        <f>[3]Reserve!$AF181</f>
        <v>5404.1379999999972</v>
      </c>
      <c r="E105" s="616">
        <v>0</v>
      </c>
      <c r="F105" s="616">
        <f t="shared" si="19"/>
        <v>5404.1379999999972</v>
      </c>
      <c r="G105" s="464">
        <f t="shared" ref="G105:H113" si="27">$G$16</f>
        <v>1</v>
      </c>
      <c r="H105" s="464">
        <f t="shared" si="27"/>
        <v>1</v>
      </c>
      <c r="I105" s="616">
        <f t="shared" si="22"/>
        <v>5404.1379999999972</v>
      </c>
      <c r="K105" s="345">
        <f>[3]Reserve!$D181</f>
        <v>4684.6499999999978</v>
      </c>
      <c r="L105" s="464">
        <f t="shared" ref="L105:M113" si="28">$G$16</f>
        <v>1</v>
      </c>
      <c r="M105" s="464">
        <f t="shared" si="28"/>
        <v>1</v>
      </c>
      <c r="N105" s="616">
        <f t="shared" si="24"/>
        <v>4684.6499999999978</v>
      </c>
      <c r="S105" s="512"/>
    </row>
    <row r="106" spans="1:19">
      <c r="A106" s="858">
        <f t="shared" si="20"/>
        <v>92</v>
      </c>
      <c r="B106" s="706">
        <v>39902</v>
      </c>
      <c r="C106" s="88" t="s">
        <v>1532</v>
      </c>
      <c r="D106" s="345">
        <f>[3]Reserve!$AF182</f>
        <v>0</v>
      </c>
      <c r="E106" s="616">
        <v>0</v>
      </c>
      <c r="F106" s="616">
        <f t="shared" si="19"/>
        <v>0</v>
      </c>
      <c r="G106" s="464">
        <f t="shared" si="27"/>
        <v>1</v>
      </c>
      <c r="H106" s="464">
        <f t="shared" si="27"/>
        <v>1</v>
      </c>
      <c r="I106" s="616">
        <f t="shared" si="22"/>
        <v>0</v>
      </c>
      <c r="K106" s="345">
        <f>[3]Reserve!$D182</f>
        <v>0</v>
      </c>
      <c r="L106" s="464">
        <f t="shared" si="28"/>
        <v>1</v>
      </c>
      <c r="M106" s="464">
        <f t="shared" si="28"/>
        <v>1</v>
      </c>
      <c r="N106" s="616">
        <f t="shared" si="24"/>
        <v>0</v>
      </c>
      <c r="S106" s="512"/>
    </row>
    <row r="107" spans="1:19">
      <c r="A107" s="858">
        <f t="shared" si="20"/>
        <v>93</v>
      </c>
      <c r="B107" s="706">
        <v>39903</v>
      </c>
      <c r="C107" s="88" t="s">
        <v>1573</v>
      </c>
      <c r="D107" s="345">
        <f>[3]Reserve!$AF183</f>
        <v>55324.650499999945</v>
      </c>
      <c r="E107" s="616">
        <v>0</v>
      </c>
      <c r="F107" s="616">
        <f t="shared" si="19"/>
        <v>55324.650499999945</v>
      </c>
      <c r="G107" s="464">
        <f t="shared" si="27"/>
        <v>1</v>
      </c>
      <c r="H107" s="464">
        <f t="shared" si="27"/>
        <v>1</v>
      </c>
      <c r="I107" s="616">
        <f t="shared" si="22"/>
        <v>55324.650499999945</v>
      </c>
      <c r="K107" s="345">
        <f>[3]Reserve!$D183</f>
        <v>48594.707499999968</v>
      </c>
      <c r="L107" s="464">
        <f t="shared" si="28"/>
        <v>1</v>
      </c>
      <c r="M107" s="464">
        <f t="shared" si="28"/>
        <v>1</v>
      </c>
      <c r="N107" s="616">
        <f t="shared" si="24"/>
        <v>48594.707499999968</v>
      </c>
      <c r="S107" s="512"/>
    </row>
    <row r="108" spans="1:19">
      <c r="A108" s="858">
        <f t="shared" si="20"/>
        <v>94</v>
      </c>
      <c r="B108" s="706">
        <v>39906</v>
      </c>
      <c r="C108" s="88" t="s">
        <v>1574</v>
      </c>
      <c r="D108" s="345">
        <f>[3]Reserve!$AF184</f>
        <v>1253386.609556356</v>
      </c>
      <c r="E108" s="616">
        <v>0</v>
      </c>
      <c r="F108" s="616">
        <f t="shared" si="19"/>
        <v>1253386.609556356</v>
      </c>
      <c r="G108" s="464">
        <f t="shared" si="27"/>
        <v>1</v>
      </c>
      <c r="H108" s="464">
        <f t="shared" si="27"/>
        <v>1</v>
      </c>
      <c r="I108" s="616">
        <f t="shared" si="22"/>
        <v>1253386.609556356</v>
      </c>
      <c r="K108" s="345">
        <f>[3]Reserve!$D184</f>
        <v>1069984.166086003</v>
      </c>
      <c r="L108" s="464">
        <f t="shared" si="28"/>
        <v>1</v>
      </c>
      <c r="M108" s="464">
        <f t="shared" si="28"/>
        <v>1</v>
      </c>
      <c r="N108" s="616">
        <f t="shared" si="24"/>
        <v>1069984.166086003</v>
      </c>
      <c r="S108" s="512"/>
    </row>
    <row r="109" spans="1:19" ht="15" customHeight="1">
      <c r="A109" s="858">
        <f t="shared" si="20"/>
        <v>95</v>
      </c>
      <c r="B109" s="706">
        <v>39907</v>
      </c>
      <c r="C109" s="88" t="s">
        <v>1575</v>
      </c>
      <c r="D109" s="345">
        <f>[3]Reserve!$AF185</f>
        <v>0</v>
      </c>
      <c r="E109" s="616">
        <v>0</v>
      </c>
      <c r="F109" s="616">
        <f t="shared" si="19"/>
        <v>0</v>
      </c>
      <c r="G109" s="464">
        <f t="shared" si="27"/>
        <v>1</v>
      </c>
      <c r="H109" s="464">
        <f t="shared" si="27"/>
        <v>1</v>
      </c>
      <c r="I109" s="616">
        <f t="shared" si="22"/>
        <v>0</v>
      </c>
      <c r="K109" s="345">
        <f>[3]Reserve!$D185</f>
        <v>0</v>
      </c>
      <c r="L109" s="464">
        <f t="shared" si="28"/>
        <v>1</v>
      </c>
      <c r="M109" s="464">
        <f t="shared" si="28"/>
        <v>1</v>
      </c>
      <c r="N109" s="616">
        <f t="shared" si="24"/>
        <v>0</v>
      </c>
      <c r="S109" s="512"/>
    </row>
    <row r="110" spans="1:19">
      <c r="A110" s="858">
        <f t="shared" si="20"/>
        <v>96</v>
      </c>
      <c r="B110" s="706">
        <v>39908</v>
      </c>
      <c r="C110" s="88" t="s">
        <v>1576</v>
      </c>
      <c r="D110" s="345">
        <f>[3]Reserve!$AF186</f>
        <v>123660.23916099998</v>
      </c>
      <c r="E110" s="616">
        <v>0</v>
      </c>
      <c r="F110" s="616">
        <f t="shared" si="19"/>
        <v>123660.23916099998</v>
      </c>
      <c r="G110" s="464">
        <f t="shared" si="27"/>
        <v>1</v>
      </c>
      <c r="H110" s="464">
        <f t="shared" si="27"/>
        <v>1</v>
      </c>
      <c r="I110" s="616">
        <f t="shared" si="22"/>
        <v>123660.23916099998</v>
      </c>
      <c r="K110" s="345">
        <f>[3]Reserve!$D186</f>
        <v>123343.37611634612</v>
      </c>
      <c r="L110" s="464">
        <f t="shared" si="28"/>
        <v>1</v>
      </c>
      <c r="M110" s="464">
        <f t="shared" si="28"/>
        <v>1</v>
      </c>
      <c r="N110" s="616">
        <f t="shared" si="24"/>
        <v>123343.37611634612</v>
      </c>
      <c r="S110" s="512"/>
    </row>
    <row r="111" spans="1:19" ht="15" customHeight="1">
      <c r="A111" s="858">
        <f t="shared" si="20"/>
        <v>97</v>
      </c>
      <c r="B111" s="706"/>
      <c r="C111" s="88" t="s">
        <v>1153</v>
      </c>
      <c r="D111" s="345">
        <f>[3]Reserve!$AF187</f>
        <v>-3312254.5999999982</v>
      </c>
      <c r="E111" s="616">
        <v>0</v>
      </c>
      <c r="F111" s="616">
        <f>D111-E111</f>
        <v>-3312254.5999999982</v>
      </c>
      <c r="G111" s="464">
        <f t="shared" si="27"/>
        <v>1</v>
      </c>
      <c r="H111" s="464">
        <f t="shared" si="27"/>
        <v>1</v>
      </c>
      <c r="I111" s="616">
        <f>F111*G111*H111</f>
        <v>-3312254.5999999982</v>
      </c>
      <c r="K111" s="345">
        <f>[3]Reserve!$D187</f>
        <v>-3312254.5999999987</v>
      </c>
      <c r="L111" s="464">
        <f t="shared" si="28"/>
        <v>1</v>
      </c>
      <c r="M111" s="464">
        <f t="shared" si="28"/>
        <v>1</v>
      </c>
      <c r="N111" s="616">
        <f>K111*L111*M111</f>
        <v>-3312254.5999999987</v>
      </c>
    </row>
    <row r="112" spans="1:19" ht="15" customHeight="1">
      <c r="A112" s="858"/>
      <c r="B112" s="706"/>
      <c r="C112" s="88" t="s">
        <v>1427</v>
      </c>
      <c r="D112" s="345">
        <f>[3]Reserve!$AF188</f>
        <v>0</v>
      </c>
      <c r="E112" s="616">
        <v>0</v>
      </c>
      <c r="F112" s="616">
        <f>D112-E112</f>
        <v>0</v>
      </c>
      <c r="G112" s="464">
        <f t="shared" si="27"/>
        <v>1</v>
      </c>
      <c r="H112" s="464">
        <f t="shared" si="27"/>
        <v>1</v>
      </c>
      <c r="I112" s="616">
        <f>F112*G112*H112</f>
        <v>0</v>
      </c>
      <c r="K112" s="345">
        <f>[3]Reserve!$D188</f>
        <v>0</v>
      </c>
      <c r="L112" s="464">
        <f t="shared" si="28"/>
        <v>1</v>
      </c>
      <c r="M112" s="464">
        <f t="shared" si="28"/>
        <v>1</v>
      </c>
      <c r="N112" s="616">
        <f t="shared" ref="N112:N113" si="29">K112*L112*M112</f>
        <v>0</v>
      </c>
    </row>
    <row r="113" spans="1:19">
      <c r="A113" s="858">
        <f>A111+1</f>
        <v>98</v>
      </c>
      <c r="B113" s="706"/>
      <c r="C113" s="88" t="s">
        <v>1276</v>
      </c>
      <c r="D113" s="345">
        <f>[3]Reserve!$AF189</f>
        <v>0</v>
      </c>
      <c r="E113" s="616">
        <v>0</v>
      </c>
      <c r="F113" s="616">
        <f t="shared" ref="F113" si="30">D113-E113</f>
        <v>0</v>
      </c>
      <c r="G113" s="464">
        <f t="shared" si="27"/>
        <v>1</v>
      </c>
      <c r="H113" s="464">
        <f t="shared" si="27"/>
        <v>1</v>
      </c>
      <c r="I113" s="616">
        <f t="shared" ref="I113" si="31">F113*G113*H113</f>
        <v>0</v>
      </c>
      <c r="K113" s="345">
        <f>[3]Reserve!$D189</f>
        <v>0</v>
      </c>
      <c r="L113" s="464">
        <f t="shared" si="28"/>
        <v>1</v>
      </c>
      <c r="M113" s="464">
        <f t="shared" si="28"/>
        <v>1</v>
      </c>
      <c r="N113" s="616">
        <f t="shared" si="29"/>
        <v>0</v>
      </c>
      <c r="S113" s="512"/>
    </row>
    <row r="114" spans="1:19" ht="15" customHeight="1">
      <c r="A114" s="858">
        <f t="shared" si="20"/>
        <v>99</v>
      </c>
      <c r="B114" s="706"/>
      <c r="C114" s="88"/>
      <c r="D114" s="1067"/>
      <c r="E114" s="1067"/>
      <c r="F114" s="1067"/>
      <c r="I114" s="1067"/>
      <c r="K114" s="1067"/>
      <c r="N114" s="1067"/>
    </row>
    <row r="115" spans="1:19">
      <c r="A115" s="858">
        <f t="shared" si="20"/>
        <v>100</v>
      </c>
      <c r="B115" s="706"/>
      <c r="C115" s="88" t="s">
        <v>1400</v>
      </c>
      <c r="D115" s="359">
        <f>SUM(D86:D114)</f>
        <v>5519438.5042382702</v>
      </c>
      <c r="E115" s="359">
        <f>SUM(E86:E114)</f>
        <v>0</v>
      </c>
      <c r="F115" s="359">
        <f>SUM(F86:F114)</f>
        <v>5519438.5042382702</v>
      </c>
      <c r="I115" s="359">
        <f>SUM(I86:I114)</f>
        <v>5519438.5042382702</v>
      </c>
      <c r="K115" s="359">
        <f>SUM(K86:K114)</f>
        <v>4795362.0439442853</v>
      </c>
      <c r="N115" s="359">
        <f>SUM(N86:N114)</f>
        <v>4795362.0439442853</v>
      </c>
    </row>
    <row r="116" spans="1:19">
      <c r="A116" s="858">
        <f t="shared" si="20"/>
        <v>101</v>
      </c>
      <c r="B116" s="706"/>
      <c r="C116" s="88"/>
      <c r="D116" s="616"/>
      <c r="E116" s="616"/>
      <c r="F116" s="616"/>
      <c r="I116" s="616"/>
      <c r="K116" s="616"/>
      <c r="N116" s="616"/>
    </row>
    <row r="117" spans="1:19">
      <c r="A117" s="858">
        <f t="shared" si="20"/>
        <v>102</v>
      </c>
      <c r="B117" s="389"/>
      <c r="C117" s="232" t="s">
        <v>1342</v>
      </c>
      <c r="D117" s="359">
        <f>D115+D83+D59+D47+D26+D19</f>
        <v>190998869.75347689</v>
      </c>
      <c r="E117" s="359">
        <f>E115+E83+E59+E47+E26+E19</f>
        <v>0</v>
      </c>
      <c r="F117" s="359">
        <f>F115+F83+F59+F47+F26+F19</f>
        <v>190998869.75347689</v>
      </c>
      <c r="I117" s="359">
        <f>I115+I83+I59+I47+I26+I19</f>
        <v>190998869.75347689</v>
      </c>
      <c r="K117" s="359">
        <f>K115+K83+K59+K47+K26+K19</f>
        <v>183186229.3577978</v>
      </c>
      <c r="N117" s="359">
        <f>N115+N83+N59+N47+N26+N19</f>
        <v>183186229.3577978</v>
      </c>
      <c r="R117" s="670"/>
      <c r="S117" s="670"/>
    </row>
    <row r="118" spans="1:19">
      <c r="A118" s="858">
        <f t="shared" si="20"/>
        <v>103</v>
      </c>
      <c r="B118" s="389"/>
      <c r="C118" s="88"/>
      <c r="D118" s="616"/>
    </row>
    <row r="119" spans="1:19">
      <c r="A119" s="858">
        <f t="shared" si="20"/>
        <v>104</v>
      </c>
      <c r="B119" s="389"/>
      <c r="C119" s="81"/>
      <c r="D119" s="616"/>
    </row>
    <row r="120" spans="1:19">
      <c r="A120" s="858">
        <f t="shared" si="20"/>
        <v>105</v>
      </c>
      <c r="B120" s="1045"/>
      <c r="D120" s="616"/>
      <c r="G120" s="80"/>
      <c r="H120" s="80"/>
    </row>
    <row r="121" spans="1:19" ht="15.75">
      <c r="A121" s="858">
        <f t="shared" si="20"/>
        <v>106</v>
      </c>
      <c r="B121" s="1050" t="s">
        <v>7</v>
      </c>
      <c r="D121" s="616"/>
      <c r="G121" s="80"/>
      <c r="H121" s="80"/>
    </row>
    <row r="122" spans="1:19">
      <c r="A122" s="858">
        <f t="shared" si="20"/>
        <v>107</v>
      </c>
      <c r="B122" s="1045"/>
      <c r="D122" s="616"/>
      <c r="G122" s="80"/>
      <c r="H122" s="80"/>
    </row>
    <row r="123" spans="1:19">
      <c r="A123" s="858">
        <f t="shared" si="20"/>
        <v>108</v>
      </c>
      <c r="B123" s="389"/>
      <c r="C123" s="619" t="s">
        <v>301</v>
      </c>
      <c r="D123" s="616"/>
    </row>
    <row r="124" spans="1:19">
      <c r="A124" s="858">
        <f t="shared" si="20"/>
        <v>109</v>
      </c>
      <c r="B124" s="512">
        <v>30100</v>
      </c>
      <c r="C124" s="88" t="s">
        <v>295</v>
      </c>
      <c r="D124" s="345">
        <f>[3]Reserve!$AF84</f>
        <v>0</v>
      </c>
      <c r="E124" s="345">
        <v>0</v>
      </c>
      <c r="F124" s="345">
        <f>D124+E124</f>
        <v>0</v>
      </c>
      <c r="G124" s="464">
        <f>$G$16</f>
        <v>1</v>
      </c>
      <c r="H124" s="465">
        <f>Allocation!$D$17</f>
        <v>0.5025136071712456</v>
      </c>
      <c r="I124" s="345">
        <f>F124*G124*H124</f>
        <v>0</v>
      </c>
      <c r="K124" s="345">
        <f>[3]Reserve!$D84</f>
        <v>0</v>
      </c>
      <c r="L124" s="464">
        <f t="shared" ref="L124:M125" si="32">G124</f>
        <v>1</v>
      </c>
      <c r="M124" s="465">
        <f t="shared" si="32"/>
        <v>0.5025136071712456</v>
      </c>
      <c r="N124" s="345">
        <f>K124*L124*M124</f>
        <v>0</v>
      </c>
    </row>
    <row r="125" spans="1:19">
      <c r="A125" s="858">
        <f t="shared" si="20"/>
        <v>110</v>
      </c>
      <c r="B125" s="512">
        <v>30300</v>
      </c>
      <c r="C125" s="88" t="s">
        <v>548</v>
      </c>
      <c r="D125" s="345">
        <f>[3]Reserve!$AF85</f>
        <v>0</v>
      </c>
      <c r="E125" s="1049">
        <v>0</v>
      </c>
      <c r="F125" s="1049">
        <f>D125+E125</f>
        <v>0</v>
      </c>
      <c r="G125" s="464">
        <f>$G$16</f>
        <v>1</v>
      </c>
      <c r="H125" s="465">
        <f>$H$124</f>
        <v>0.5025136071712456</v>
      </c>
      <c r="I125" s="1049">
        <f>F125*G125*H125</f>
        <v>0</v>
      </c>
      <c r="K125" s="345">
        <f>[3]Reserve!$D85</f>
        <v>0</v>
      </c>
      <c r="L125" s="464">
        <f t="shared" si="32"/>
        <v>1</v>
      </c>
      <c r="M125" s="465">
        <f t="shared" si="32"/>
        <v>0.5025136071712456</v>
      </c>
      <c r="N125" s="1049">
        <f>K125*L125*M125</f>
        <v>0</v>
      </c>
    </row>
    <row r="126" spans="1:19">
      <c r="A126" s="858">
        <f t="shared" si="20"/>
        <v>111</v>
      </c>
      <c r="B126" s="512"/>
      <c r="C126" s="88"/>
      <c r="D126" s="618"/>
      <c r="E126" s="618"/>
      <c r="F126" s="618"/>
    </row>
    <row r="127" spans="1:19">
      <c r="A127" s="858">
        <f t="shared" si="20"/>
        <v>112</v>
      </c>
      <c r="B127" s="706"/>
      <c r="C127" s="88" t="s">
        <v>302</v>
      </c>
      <c r="D127" s="345">
        <f>SUM(D124:D126)</f>
        <v>0</v>
      </c>
      <c r="E127" s="345">
        <f>SUM(E124:E126)</f>
        <v>0</v>
      </c>
      <c r="F127" s="345">
        <f>SUM(F124:F126)</f>
        <v>0</v>
      </c>
      <c r="G127" s="464"/>
      <c r="H127" s="464"/>
      <c r="I127" s="345">
        <f>SUM(I124:I126)</f>
        <v>0</v>
      </c>
      <c r="K127" s="345">
        <f>SUM(K124:K126)</f>
        <v>0</v>
      </c>
      <c r="N127" s="345">
        <f>SUM(N124:N126)</f>
        <v>0</v>
      </c>
    </row>
    <row r="128" spans="1:19">
      <c r="A128" s="858">
        <f t="shared" si="20"/>
        <v>113</v>
      </c>
      <c r="B128" s="1065"/>
    </row>
    <row r="129" spans="1:14">
      <c r="A129" s="858">
        <f t="shared" si="20"/>
        <v>114</v>
      </c>
      <c r="B129" s="706"/>
      <c r="C129" s="619" t="s">
        <v>303</v>
      </c>
    </row>
    <row r="130" spans="1:14">
      <c r="A130" s="858">
        <f t="shared" si="20"/>
        <v>115</v>
      </c>
      <c r="B130" s="512">
        <v>37400</v>
      </c>
      <c r="C130" s="88" t="s">
        <v>1157</v>
      </c>
      <c r="D130" s="345">
        <v>0</v>
      </c>
      <c r="E130" s="345">
        <v>0</v>
      </c>
      <c r="F130" s="345">
        <f t="shared" ref="F130:F150" si="33">D130+E130</f>
        <v>0</v>
      </c>
      <c r="G130" s="464">
        <f t="shared" ref="G130:G150" si="34">$G$16</f>
        <v>1</v>
      </c>
      <c r="H130" s="465">
        <f t="shared" ref="H130:H150" si="35">$H$124</f>
        <v>0.5025136071712456</v>
      </c>
      <c r="I130" s="345">
        <f t="shared" ref="I130:I150" si="36">F130*G130*H130</f>
        <v>0</v>
      </c>
      <c r="K130" s="345">
        <v>0</v>
      </c>
      <c r="L130" s="464">
        <f t="shared" ref="L130:M150" si="37">G130</f>
        <v>1</v>
      </c>
      <c r="M130" s="465">
        <f t="shared" si="37"/>
        <v>0.5025136071712456</v>
      </c>
      <c r="N130" s="345">
        <f t="shared" ref="N130:N150" si="38">K130*L130*M130</f>
        <v>0</v>
      </c>
    </row>
    <row r="131" spans="1:14">
      <c r="A131" s="858">
        <f t="shared" si="20"/>
        <v>116</v>
      </c>
      <c r="B131" s="512">
        <v>35010</v>
      </c>
      <c r="C131" s="88" t="s">
        <v>296</v>
      </c>
      <c r="D131" s="428">
        <v>0</v>
      </c>
      <c r="E131" s="428">
        <v>0</v>
      </c>
      <c r="F131" s="428">
        <f t="shared" si="33"/>
        <v>0</v>
      </c>
      <c r="G131" s="464">
        <f t="shared" si="34"/>
        <v>1</v>
      </c>
      <c r="H131" s="465">
        <f t="shared" si="35"/>
        <v>0.5025136071712456</v>
      </c>
      <c r="I131" s="428">
        <f t="shared" si="36"/>
        <v>0</v>
      </c>
      <c r="K131" s="428">
        <v>0</v>
      </c>
      <c r="L131" s="464">
        <f t="shared" si="37"/>
        <v>1</v>
      </c>
      <c r="M131" s="465">
        <f t="shared" si="37"/>
        <v>0.5025136071712456</v>
      </c>
      <c r="N131" s="428">
        <f t="shared" si="38"/>
        <v>0</v>
      </c>
    </row>
    <row r="132" spans="1:14">
      <c r="A132" s="858">
        <f t="shared" si="20"/>
        <v>117</v>
      </c>
      <c r="B132" s="512">
        <v>37402</v>
      </c>
      <c r="C132" s="88" t="s">
        <v>1007</v>
      </c>
      <c r="D132" s="428">
        <v>0</v>
      </c>
      <c r="E132" s="428">
        <v>0</v>
      </c>
      <c r="F132" s="428">
        <f t="shared" si="33"/>
        <v>0</v>
      </c>
      <c r="G132" s="464">
        <f t="shared" si="34"/>
        <v>1</v>
      </c>
      <c r="H132" s="465">
        <f t="shared" si="35"/>
        <v>0.5025136071712456</v>
      </c>
      <c r="I132" s="428">
        <f t="shared" si="36"/>
        <v>0</v>
      </c>
      <c r="K132" s="428">
        <v>0</v>
      </c>
      <c r="L132" s="464">
        <f t="shared" si="37"/>
        <v>1</v>
      </c>
      <c r="M132" s="465">
        <f t="shared" si="37"/>
        <v>0.5025136071712456</v>
      </c>
      <c r="N132" s="428">
        <f t="shared" si="38"/>
        <v>0</v>
      </c>
    </row>
    <row r="133" spans="1:14">
      <c r="A133" s="858">
        <f t="shared" si="20"/>
        <v>118</v>
      </c>
      <c r="B133" s="512">
        <v>37403</v>
      </c>
      <c r="C133" s="88" t="s">
        <v>1004</v>
      </c>
      <c r="D133" s="428">
        <v>0</v>
      </c>
      <c r="E133" s="428">
        <v>0</v>
      </c>
      <c r="F133" s="428">
        <f t="shared" si="33"/>
        <v>0</v>
      </c>
      <c r="G133" s="464">
        <f t="shared" si="34"/>
        <v>1</v>
      </c>
      <c r="H133" s="465">
        <f t="shared" si="35"/>
        <v>0.5025136071712456</v>
      </c>
      <c r="I133" s="428">
        <f t="shared" si="36"/>
        <v>0</v>
      </c>
      <c r="K133" s="428">
        <v>0</v>
      </c>
      <c r="L133" s="464">
        <f t="shared" si="37"/>
        <v>1</v>
      </c>
      <c r="M133" s="465">
        <f t="shared" si="37"/>
        <v>0.5025136071712456</v>
      </c>
      <c r="N133" s="428">
        <f t="shared" si="38"/>
        <v>0</v>
      </c>
    </row>
    <row r="134" spans="1:14">
      <c r="A134" s="858">
        <f t="shared" si="20"/>
        <v>119</v>
      </c>
      <c r="B134" s="512">
        <v>36602</v>
      </c>
      <c r="C134" s="88" t="s">
        <v>863</v>
      </c>
      <c r="D134" s="428">
        <v>0</v>
      </c>
      <c r="E134" s="428">
        <v>0</v>
      </c>
      <c r="F134" s="428">
        <f t="shared" si="33"/>
        <v>0</v>
      </c>
      <c r="G134" s="464">
        <f t="shared" si="34"/>
        <v>1</v>
      </c>
      <c r="H134" s="465">
        <f t="shared" si="35"/>
        <v>0.5025136071712456</v>
      </c>
      <c r="I134" s="428">
        <f t="shared" si="36"/>
        <v>0</v>
      </c>
      <c r="K134" s="428">
        <v>0</v>
      </c>
      <c r="L134" s="464">
        <f t="shared" si="37"/>
        <v>1</v>
      </c>
      <c r="M134" s="465">
        <f t="shared" si="37"/>
        <v>0.5025136071712456</v>
      </c>
      <c r="N134" s="428">
        <f t="shared" si="38"/>
        <v>0</v>
      </c>
    </row>
    <row r="135" spans="1:14">
      <c r="A135" s="858">
        <f t="shared" si="20"/>
        <v>120</v>
      </c>
      <c r="B135" s="512">
        <v>37501</v>
      </c>
      <c r="C135" s="88" t="s">
        <v>1005</v>
      </c>
      <c r="D135" s="428">
        <v>0</v>
      </c>
      <c r="E135" s="428">
        <v>0</v>
      </c>
      <c r="F135" s="428">
        <f t="shared" si="33"/>
        <v>0</v>
      </c>
      <c r="G135" s="464">
        <f t="shared" si="34"/>
        <v>1</v>
      </c>
      <c r="H135" s="465">
        <f t="shared" si="35"/>
        <v>0.5025136071712456</v>
      </c>
      <c r="I135" s="428">
        <f t="shared" si="36"/>
        <v>0</v>
      </c>
      <c r="K135" s="428">
        <v>0</v>
      </c>
      <c r="L135" s="464">
        <f t="shared" si="37"/>
        <v>1</v>
      </c>
      <c r="M135" s="465">
        <f t="shared" si="37"/>
        <v>0.5025136071712456</v>
      </c>
      <c r="N135" s="428">
        <f t="shared" si="38"/>
        <v>0</v>
      </c>
    </row>
    <row r="136" spans="1:14">
      <c r="A136" s="858">
        <f t="shared" si="20"/>
        <v>121</v>
      </c>
      <c r="B136" s="512">
        <v>37402</v>
      </c>
      <c r="C136" s="88" t="s">
        <v>1007</v>
      </c>
      <c r="D136" s="428">
        <v>0</v>
      </c>
      <c r="E136" s="428">
        <v>0</v>
      </c>
      <c r="F136" s="428">
        <f t="shared" si="33"/>
        <v>0</v>
      </c>
      <c r="G136" s="464">
        <f t="shared" si="34"/>
        <v>1</v>
      </c>
      <c r="H136" s="465">
        <f t="shared" si="35"/>
        <v>0.5025136071712456</v>
      </c>
      <c r="I136" s="428">
        <f t="shared" si="36"/>
        <v>0</v>
      </c>
      <c r="K136" s="428">
        <v>0</v>
      </c>
      <c r="L136" s="464">
        <f t="shared" si="37"/>
        <v>1</v>
      </c>
      <c r="M136" s="465">
        <f t="shared" si="37"/>
        <v>0.5025136071712456</v>
      </c>
      <c r="N136" s="428">
        <f t="shared" si="38"/>
        <v>0</v>
      </c>
    </row>
    <row r="137" spans="1:14">
      <c r="A137" s="858">
        <f t="shared" si="20"/>
        <v>122</v>
      </c>
      <c r="B137" s="512">
        <v>37503</v>
      </c>
      <c r="C137" s="88" t="s">
        <v>1006</v>
      </c>
      <c r="D137" s="428">
        <v>0</v>
      </c>
      <c r="E137" s="428">
        <v>0</v>
      </c>
      <c r="F137" s="428">
        <f t="shared" si="33"/>
        <v>0</v>
      </c>
      <c r="G137" s="464">
        <f t="shared" si="34"/>
        <v>1</v>
      </c>
      <c r="H137" s="465">
        <f t="shared" si="35"/>
        <v>0.5025136071712456</v>
      </c>
      <c r="I137" s="428">
        <f t="shared" si="36"/>
        <v>0</v>
      </c>
      <c r="K137" s="428">
        <v>0</v>
      </c>
      <c r="L137" s="464">
        <f t="shared" si="37"/>
        <v>1</v>
      </c>
      <c r="M137" s="465">
        <f t="shared" si="37"/>
        <v>0.5025136071712456</v>
      </c>
      <c r="N137" s="428">
        <f t="shared" si="38"/>
        <v>0</v>
      </c>
    </row>
    <row r="138" spans="1:14">
      <c r="A138" s="858">
        <f t="shared" si="20"/>
        <v>123</v>
      </c>
      <c r="B138" s="512">
        <v>36700</v>
      </c>
      <c r="C138" s="88" t="s">
        <v>851</v>
      </c>
      <c r="D138" s="428">
        <v>0</v>
      </c>
      <c r="E138" s="428">
        <v>0</v>
      </c>
      <c r="F138" s="428">
        <f t="shared" si="33"/>
        <v>0</v>
      </c>
      <c r="G138" s="464">
        <f t="shared" si="34"/>
        <v>1</v>
      </c>
      <c r="H138" s="465">
        <f t="shared" si="35"/>
        <v>0.5025136071712456</v>
      </c>
      <c r="I138" s="428">
        <f t="shared" si="36"/>
        <v>0</v>
      </c>
      <c r="K138" s="428">
        <v>0</v>
      </c>
      <c r="L138" s="464">
        <f t="shared" si="37"/>
        <v>1</v>
      </c>
      <c r="M138" s="465">
        <f t="shared" si="37"/>
        <v>0.5025136071712456</v>
      </c>
      <c r="N138" s="428">
        <f t="shared" si="38"/>
        <v>0</v>
      </c>
    </row>
    <row r="139" spans="1:14">
      <c r="A139" s="858">
        <f t="shared" si="20"/>
        <v>124</v>
      </c>
      <c r="B139" s="512">
        <v>36701</v>
      </c>
      <c r="C139" s="88" t="s">
        <v>16</v>
      </c>
      <c r="D139" s="428">
        <v>0</v>
      </c>
      <c r="E139" s="428">
        <v>0</v>
      </c>
      <c r="F139" s="428">
        <f t="shared" si="33"/>
        <v>0</v>
      </c>
      <c r="G139" s="464">
        <f t="shared" si="34"/>
        <v>1</v>
      </c>
      <c r="H139" s="465">
        <f t="shared" si="35"/>
        <v>0.5025136071712456</v>
      </c>
      <c r="I139" s="428">
        <f t="shared" si="36"/>
        <v>0</v>
      </c>
      <c r="K139" s="428">
        <v>0</v>
      </c>
      <c r="L139" s="464">
        <f t="shared" si="37"/>
        <v>1</v>
      </c>
      <c r="M139" s="465">
        <f t="shared" si="37"/>
        <v>0.5025136071712456</v>
      </c>
      <c r="N139" s="428">
        <f t="shared" si="38"/>
        <v>0</v>
      </c>
    </row>
    <row r="140" spans="1:14">
      <c r="A140" s="858">
        <f t="shared" si="20"/>
        <v>125</v>
      </c>
      <c r="B140" s="512">
        <v>37602</v>
      </c>
      <c r="C140" s="88" t="s">
        <v>852</v>
      </c>
      <c r="D140" s="428">
        <v>0</v>
      </c>
      <c r="E140" s="428">
        <v>0</v>
      </c>
      <c r="F140" s="428">
        <f t="shared" si="33"/>
        <v>0</v>
      </c>
      <c r="G140" s="464">
        <f t="shared" si="34"/>
        <v>1</v>
      </c>
      <c r="H140" s="465">
        <f t="shared" si="35"/>
        <v>0.5025136071712456</v>
      </c>
      <c r="I140" s="428">
        <f t="shared" si="36"/>
        <v>0</v>
      </c>
      <c r="K140" s="428">
        <v>0</v>
      </c>
      <c r="L140" s="464">
        <f t="shared" si="37"/>
        <v>1</v>
      </c>
      <c r="M140" s="465">
        <f t="shared" si="37"/>
        <v>0.5025136071712456</v>
      </c>
      <c r="N140" s="428">
        <f t="shared" si="38"/>
        <v>0</v>
      </c>
    </row>
    <row r="141" spans="1:14">
      <c r="A141" s="858">
        <f t="shared" si="20"/>
        <v>126</v>
      </c>
      <c r="B141" s="512">
        <v>37800</v>
      </c>
      <c r="C141" s="88" t="s">
        <v>230</v>
      </c>
      <c r="D141" s="428">
        <v>0</v>
      </c>
      <c r="E141" s="428">
        <v>0</v>
      </c>
      <c r="F141" s="428">
        <f t="shared" si="33"/>
        <v>0</v>
      </c>
      <c r="G141" s="464">
        <f t="shared" si="34"/>
        <v>1</v>
      </c>
      <c r="H141" s="465">
        <f t="shared" si="35"/>
        <v>0.5025136071712456</v>
      </c>
      <c r="I141" s="428">
        <f t="shared" si="36"/>
        <v>0</v>
      </c>
      <c r="K141" s="428">
        <v>0</v>
      </c>
      <c r="L141" s="464">
        <f t="shared" si="37"/>
        <v>1</v>
      </c>
      <c r="M141" s="465">
        <f t="shared" si="37"/>
        <v>0.5025136071712456</v>
      </c>
      <c r="N141" s="428">
        <f t="shared" si="38"/>
        <v>0</v>
      </c>
    </row>
    <row r="142" spans="1:14">
      <c r="A142" s="858">
        <f t="shared" si="20"/>
        <v>127</v>
      </c>
      <c r="B142" s="512">
        <v>37900</v>
      </c>
      <c r="C142" s="88" t="s">
        <v>1200</v>
      </c>
      <c r="D142" s="428">
        <v>0</v>
      </c>
      <c r="E142" s="428">
        <v>0</v>
      </c>
      <c r="F142" s="428">
        <f t="shared" si="33"/>
        <v>0</v>
      </c>
      <c r="G142" s="464">
        <f t="shared" si="34"/>
        <v>1</v>
      </c>
      <c r="H142" s="465">
        <f t="shared" si="35"/>
        <v>0.5025136071712456</v>
      </c>
      <c r="I142" s="428">
        <f t="shared" si="36"/>
        <v>0</v>
      </c>
      <c r="K142" s="428">
        <v>0</v>
      </c>
      <c r="L142" s="464">
        <f t="shared" si="37"/>
        <v>1</v>
      </c>
      <c r="M142" s="465">
        <f t="shared" si="37"/>
        <v>0.5025136071712456</v>
      </c>
      <c r="N142" s="428">
        <f t="shared" si="38"/>
        <v>0</v>
      </c>
    </row>
    <row r="143" spans="1:14">
      <c r="A143" s="858">
        <f t="shared" si="20"/>
        <v>128</v>
      </c>
      <c r="B143" s="512">
        <v>37905</v>
      </c>
      <c r="C143" s="88" t="s">
        <v>732</v>
      </c>
      <c r="D143" s="428">
        <v>0</v>
      </c>
      <c r="E143" s="428">
        <v>0</v>
      </c>
      <c r="F143" s="428">
        <f t="shared" si="33"/>
        <v>0</v>
      </c>
      <c r="G143" s="464">
        <f t="shared" si="34"/>
        <v>1</v>
      </c>
      <c r="H143" s="465">
        <f t="shared" si="35"/>
        <v>0.5025136071712456</v>
      </c>
      <c r="I143" s="428">
        <f t="shared" si="36"/>
        <v>0</v>
      </c>
      <c r="K143" s="428">
        <v>0</v>
      </c>
      <c r="L143" s="464">
        <f t="shared" si="37"/>
        <v>1</v>
      </c>
      <c r="M143" s="465">
        <f t="shared" si="37"/>
        <v>0.5025136071712456</v>
      </c>
      <c r="N143" s="428">
        <f t="shared" si="38"/>
        <v>0</v>
      </c>
    </row>
    <row r="144" spans="1:14">
      <c r="A144" s="858">
        <f t="shared" si="20"/>
        <v>129</v>
      </c>
      <c r="B144" s="512">
        <v>38000</v>
      </c>
      <c r="C144" s="88" t="s">
        <v>1061</v>
      </c>
      <c r="D144" s="428">
        <v>0</v>
      </c>
      <c r="E144" s="428">
        <v>0</v>
      </c>
      <c r="F144" s="428">
        <f t="shared" si="33"/>
        <v>0</v>
      </c>
      <c r="G144" s="464">
        <f t="shared" si="34"/>
        <v>1</v>
      </c>
      <c r="H144" s="465">
        <f t="shared" si="35"/>
        <v>0.5025136071712456</v>
      </c>
      <c r="I144" s="428">
        <f t="shared" si="36"/>
        <v>0</v>
      </c>
      <c r="K144" s="428">
        <v>0</v>
      </c>
      <c r="L144" s="464">
        <f t="shared" si="37"/>
        <v>1</v>
      </c>
      <c r="M144" s="465">
        <f t="shared" si="37"/>
        <v>0.5025136071712456</v>
      </c>
      <c r="N144" s="428">
        <f t="shared" si="38"/>
        <v>0</v>
      </c>
    </row>
    <row r="145" spans="1:20">
      <c r="A145" s="858">
        <f t="shared" si="20"/>
        <v>130</v>
      </c>
      <c r="B145" s="512">
        <v>38100</v>
      </c>
      <c r="C145" s="88" t="s">
        <v>853</v>
      </c>
      <c r="D145" s="428">
        <v>0</v>
      </c>
      <c r="E145" s="428">
        <v>0</v>
      </c>
      <c r="F145" s="428">
        <f t="shared" si="33"/>
        <v>0</v>
      </c>
      <c r="G145" s="464">
        <f t="shared" si="34"/>
        <v>1</v>
      </c>
      <c r="H145" s="465">
        <f t="shared" si="35"/>
        <v>0.5025136071712456</v>
      </c>
      <c r="I145" s="428">
        <f t="shared" si="36"/>
        <v>0</v>
      </c>
      <c r="K145" s="428">
        <v>0</v>
      </c>
      <c r="L145" s="464">
        <f t="shared" si="37"/>
        <v>1</v>
      </c>
      <c r="M145" s="465">
        <f t="shared" si="37"/>
        <v>0.5025136071712456</v>
      </c>
      <c r="N145" s="428">
        <f t="shared" si="38"/>
        <v>0</v>
      </c>
    </row>
    <row r="146" spans="1:20">
      <c r="A146" s="858">
        <f t="shared" si="20"/>
        <v>131</v>
      </c>
      <c r="B146" s="512">
        <v>38200</v>
      </c>
      <c r="C146" s="88" t="s">
        <v>447</v>
      </c>
      <c r="D146" s="428">
        <v>0</v>
      </c>
      <c r="E146" s="428">
        <v>0</v>
      </c>
      <c r="F146" s="428">
        <f t="shared" si="33"/>
        <v>0</v>
      </c>
      <c r="G146" s="464">
        <f t="shared" si="34"/>
        <v>1</v>
      </c>
      <c r="H146" s="465">
        <f t="shared" si="35"/>
        <v>0.5025136071712456</v>
      </c>
      <c r="I146" s="428">
        <f t="shared" si="36"/>
        <v>0</v>
      </c>
      <c r="K146" s="428">
        <v>0</v>
      </c>
      <c r="L146" s="464">
        <f t="shared" si="37"/>
        <v>1</v>
      </c>
      <c r="M146" s="465">
        <f t="shared" si="37"/>
        <v>0.5025136071712456</v>
      </c>
      <c r="N146" s="428">
        <f t="shared" si="38"/>
        <v>0</v>
      </c>
    </row>
    <row r="147" spans="1:20">
      <c r="A147" s="858">
        <f t="shared" si="20"/>
        <v>132</v>
      </c>
      <c r="B147" s="512">
        <v>38300</v>
      </c>
      <c r="C147" s="88" t="s">
        <v>1062</v>
      </c>
      <c r="D147" s="428">
        <v>0</v>
      </c>
      <c r="E147" s="428">
        <v>0</v>
      </c>
      <c r="F147" s="428">
        <f t="shared" si="33"/>
        <v>0</v>
      </c>
      <c r="G147" s="464">
        <f t="shared" si="34"/>
        <v>1</v>
      </c>
      <c r="H147" s="465">
        <f t="shared" si="35"/>
        <v>0.5025136071712456</v>
      </c>
      <c r="I147" s="428">
        <f t="shared" si="36"/>
        <v>0</v>
      </c>
      <c r="K147" s="428">
        <v>0</v>
      </c>
      <c r="L147" s="464">
        <f t="shared" si="37"/>
        <v>1</v>
      </c>
      <c r="M147" s="465">
        <f t="shared" si="37"/>
        <v>0.5025136071712456</v>
      </c>
      <c r="N147" s="428">
        <f t="shared" si="38"/>
        <v>0</v>
      </c>
    </row>
    <row r="148" spans="1:20">
      <c r="A148" s="858">
        <f t="shared" si="20"/>
        <v>133</v>
      </c>
      <c r="B148" s="512">
        <v>38400</v>
      </c>
      <c r="C148" s="88" t="s">
        <v>448</v>
      </c>
      <c r="D148" s="428">
        <v>0</v>
      </c>
      <c r="E148" s="428">
        <v>0</v>
      </c>
      <c r="F148" s="428">
        <f t="shared" si="33"/>
        <v>0</v>
      </c>
      <c r="G148" s="464">
        <f t="shared" si="34"/>
        <v>1</v>
      </c>
      <c r="H148" s="465">
        <f t="shared" si="35"/>
        <v>0.5025136071712456</v>
      </c>
      <c r="I148" s="428">
        <f t="shared" si="36"/>
        <v>0</v>
      </c>
      <c r="K148" s="428">
        <v>0</v>
      </c>
      <c r="L148" s="464">
        <f t="shared" si="37"/>
        <v>1</v>
      </c>
      <c r="M148" s="465">
        <f t="shared" si="37"/>
        <v>0.5025136071712456</v>
      </c>
      <c r="N148" s="428">
        <f t="shared" si="38"/>
        <v>0</v>
      </c>
    </row>
    <row r="149" spans="1:20">
      <c r="A149" s="858">
        <f t="shared" si="20"/>
        <v>134</v>
      </c>
      <c r="B149" s="512">
        <v>38500</v>
      </c>
      <c r="C149" s="88" t="s">
        <v>449</v>
      </c>
      <c r="D149" s="428">
        <v>0</v>
      </c>
      <c r="E149" s="428">
        <v>0</v>
      </c>
      <c r="F149" s="428">
        <f t="shared" si="33"/>
        <v>0</v>
      </c>
      <c r="G149" s="464">
        <f t="shared" si="34"/>
        <v>1</v>
      </c>
      <c r="H149" s="465">
        <f t="shared" si="35"/>
        <v>0.5025136071712456</v>
      </c>
      <c r="I149" s="428">
        <f t="shared" si="36"/>
        <v>0</v>
      </c>
      <c r="K149" s="428">
        <v>0</v>
      </c>
      <c r="L149" s="464">
        <f t="shared" si="37"/>
        <v>1</v>
      </c>
      <c r="M149" s="465">
        <f t="shared" si="37"/>
        <v>0.5025136071712456</v>
      </c>
      <c r="N149" s="428">
        <f t="shared" si="38"/>
        <v>0</v>
      </c>
    </row>
    <row r="150" spans="1:20">
      <c r="A150" s="858">
        <f t="shared" si="20"/>
        <v>135</v>
      </c>
      <c r="B150" s="512">
        <v>38600</v>
      </c>
      <c r="C150" s="88" t="s">
        <v>107</v>
      </c>
      <c r="D150" s="1049">
        <v>0</v>
      </c>
      <c r="E150" s="1049">
        <v>0</v>
      </c>
      <c r="F150" s="1049">
        <f t="shared" si="33"/>
        <v>0</v>
      </c>
      <c r="G150" s="464">
        <f t="shared" si="34"/>
        <v>1</v>
      </c>
      <c r="H150" s="465">
        <f t="shared" si="35"/>
        <v>0.5025136071712456</v>
      </c>
      <c r="I150" s="1049">
        <f t="shared" si="36"/>
        <v>0</v>
      </c>
      <c r="K150" s="1049">
        <v>0</v>
      </c>
      <c r="L150" s="464">
        <f t="shared" si="37"/>
        <v>1</v>
      </c>
      <c r="M150" s="465">
        <f t="shared" si="37"/>
        <v>0.5025136071712456</v>
      </c>
      <c r="N150" s="1049">
        <f t="shared" si="38"/>
        <v>0</v>
      </c>
    </row>
    <row r="151" spans="1:20" ht="15" customHeight="1">
      <c r="A151" s="858">
        <f t="shared" ref="A151:A233" si="39">A150+1</f>
        <v>136</v>
      </c>
      <c r="B151" s="512"/>
      <c r="C151" s="88"/>
      <c r="D151" s="618"/>
      <c r="E151" s="618"/>
      <c r="F151" s="618"/>
      <c r="M151" s="465"/>
    </row>
    <row r="152" spans="1:20" ht="15" customHeight="1">
      <c r="A152" s="858">
        <f t="shared" si="39"/>
        <v>137</v>
      </c>
      <c r="B152" s="512"/>
      <c r="C152" s="88" t="s">
        <v>304</v>
      </c>
      <c r="D152" s="345">
        <f>SUM(D130:D151)</f>
        <v>0</v>
      </c>
      <c r="E152" s="345">
        <f>SUM(E130:E151)</f>
        <v>0</v>
      </c>
      <c r="F152" s="345">
        <f>SUM(F130:F151)</f>
        <v>0</v>
      </c>
      <c r="I152" s="345">
        <f>SUM(I130:I151)</f>
        <v>0</v>
      </c>
      <c r="K152" s="345">
        <f>SUM(K130:K151)</f>
        <v>0</v>
      </c>
      <c r="M152" s="465"/>
      <c r="N152" s="345">
        <f>SUM(N130:N151)</f>
        <v>0</v>
      </c>
    </row>
    <row r="153" spans="1:20">
      <c r="A153" s="858">
        <f t="shared" si="39"/>
        <v>138</v>
      </c>
      <c r="B153" s="512"/>
      <c r="C153" s="88"/>
      <c r="M153" s="465"/>
    </row>
    <row r="154" spans="1:20">
      <c r="A154" s="858">
        <f t="shared" si="39"/>
        <v>139</v>
      </c>
      <c r="B154" s="706"/>
      <c r="C154" s="619" t="s">
        <v>305</v>
      </c>
      <c r="M154" s="465"/>
    </row>
    <row r="155" spans="1:20">
      <c r="A155" s="858">
        <f t="shared" si="39"/>
        <v>140</v>
      </c>
      <c r="B155" s="512">
        <v>39001</v>
      </c>
      <c r="C155" s="88" t="s">
        <v>1577</v>
      </c>
      <c r="D155" s="345">
        <f>[3]Reserve!$AF86</f>
        <v>103370.44658800002</v>
      </c>
      <c r="E155" s="345">
        <v>0</v>
      </c>
      <c r="F155" s="345">
        <f t="shared" ref="F155:F175" si="40">D155+E155</f>
        <v>103370.44658800002</v>
      </c>
      <c r="G155" s="465">
        <f t="shared" ref="G155:G176" si="41">$G$16</f>
        <v>1</v>
      </c>
      <c r="H155" s="465">
        <f t="shared" ref="H155:H176" si="42">$H$124</f>
        <v>0.5025136071712456</v>
      </c>
      <c r="I155" s="345">
        <f t="shared" ref="I155:I176" si="43">F155*G155*H155</f>
        <v>51945.055989838467</v>
      </c>
      <c r="K155" s="345">
        <f>[3]Reserve!$D86</f>
        <v>100967.31042000002</v>
      </c>
      <c r="L155" s="465">
        <f t="shared" ref="L155:M175" si="44">G155</f>
        <v>1</v>
      </c>
      <c r="M155" s="465">
        <f t="shared" si="44"/>
        <v>0.5025136071712456</v>
      </c>
      <c r="N155" s="345">
        <f t="shared" ref="N155:N176" si="45">K155*L155*M155</f>
        <v>50737.447365533102</v>
      </c>
      <c r="S155" s="465"/>
      <c r="T155" s="465"/>
    </row>
    <row r="156" spans="1:20">
      <c r="A156" s="858">
        <f t="shared" si="39"/>
        <v>141</v>
      </c>
      <c r="B156" s="512">
        <v>39004</v>
      </c>
      <c r="C156" s="88" t="s">
        <v>1561</v>
      </c>
      <c r="D156" s="345">
        <f>[3]Reserve!$AF87</f>
        <v>9660.5110552500009</v>
      </c>
      <c r="E156" s="428">
        <v>0</v>
      </c>
      <c r="F156" s="428">
        <f t="shared" si="40"/>
        <v>9660.5110552500009</v>
      </c>
      <c r="G156" s="464">
        <f t="shared" si="41"/>
        <v>1</v>
      </c>
      <c r="H156" s="465">
        <f t="shared" si="42"/>
        <v>0.5025136071712456</v>
      </c>
      <c r="I156" s="428">
        <f t="shared" si="43"/>
        <v>4854.5382574913747</v>
      </c>
      <c r="K156" s="345">
        <f>[3]Reserve!$D87</f>
        <v>9096.690753750001</v>
      </c>
      <c r="L156" s="464">
        <f t="shared" si="44"/>
        <v>1</v>
      </c>
      <c r="M156" s="465">
        <f t="shared" si="44"/>
        <v>0.5025136071712456</v>
      </c>
      <c r="N156" s="428">
        <f t="shared" si="45"/>
        <v>4571.2108839882303</v>
      </c>
      <c r="S156" s="465"/>
      <c r="T156" s="465"/>
    </row>
    <row r="157" spans="1:20">
      <c r="A157" s="858">
        <f t="shared" si="39"/>
        <v>142</v>
      </c>
      <c r="B157" s="512">
        <v>39009</v>
      </c>
      <c r="C157" s="88" t="s">
        <v>1562</v>
      </c>
      <c r="D157" s="345">
        <f>[3]Reserve!$AF88</f>
        <v>38834</v>
      </c>
      <c r="E157" s="428">
        <v>0</v>
      </c>
      <c r="F157" s="428">
        <f t="shared" si="40"/>
        <v>38834</v>
      </c>
      <c r="G157" s="464">
        <f t="shared" si="41"/>
        <v>1</v>
      </c>
      <c r="H157" s="465">
        <f t="shared" si="42"/>
        <v>0.5025136071712456</v>
      </c>
      <c r="I157" s="428">
        <f t="shared" si="43"/>
        <v>19514.613420888152</v>
      </c>
      <c r="K157" s="345">
        <f>[3]Reserve!$D88</f>
        <v>38834</v>
      </c>
      <c r="L157" s="464">
        <f t="shared" si="44"/>
        <v>1</v>
      </c>
      <c r="M157" s="465">
        <f t="shared" si="44"/>
        <v>0.5025136071712456</v>
      </c>
      <c r="N157" s="428">
        <f t="shared" si="45"/>
        <v>19514.613420888152</v>
      </c>
      <c r="S157" s="465"/>
      <c r="T157" s="465"/>
    </row>
    <row r="158" spans="1:20">
      <c r="A158" s="858">
        <f t="shared" si="39"/>
        <v>143</v>
      </c>
      <c r="B158" s="512">
        <v>39100</v>
      </c>
      <c r="C158" s="88" t="s">
        <v>1563</v>
      </c>
      <c r="D158" s="345">
        <f>[3]Reserve!$AF89</f>
        <v>41397.21</v>
      </c>
      <c r="E158" s="428">
        <v>0</v>
      </c>
      <c r="F158" s="428">
        <f t="shared" si="40"/>
        <v>41397.21</v>
      </c>
      <c r="G158" s="464">
        <f t="shared" si="41"/>
        <v>1</v>
      </c>
      <c r="H158" s="465">
        <f t="shared" si="42"/>
        <v>0.5025136071712456</v>
      </c>
      <c r="I158" s="428">
        <f t="shared" si="43"/>
        <v>20802.66132392556</v>
      </c>
      <c r="K158" s="345">
        <f>[3]Reserve!$D89</f>
        <v>41397.210000000006</v>
      </c>
      <c r="L158" s="464">
        <f t="shared" si="44"/>
        <v>1</v>
      </c>
      <c r="M158" s="465">
        <f t="shared" si="44"/>
        <v>0.5025136071712456</v>
      </c>
      <c r="N158" s="428">
        <f t="shared" si="45"/>
        <v>20802.661323925564</v>
      </c>
      <c r="S158" s="465"/>
      <c r="T158" s="465"/>
    </row>
    <row r="159" spans="1:20">
      <c r="A159" s="858">
        <f t="shared" si="39"/>
        <v>144</v>
      </c>
      <c r="B159" s="512">
        <v>39101</v>
      </c>
      <c r="C159" s="88" t="s">
        <v>1533</v>
      </c>
      <c r="D159" s="345">
        <f>[3]Reserve!$AF90</f>
        <v>0</v>
      </c>
      <c r="E159" s="428">
        <v>0</v>
      </c>
      <c r="F159" s="428">
        <f t="shared" si="40"/>
        <v>0</v>
      </c>
      <c r="G159" s="464">
        <f t="shared" si="41"/>
        <v>1</v>
      </c>
      <c r="H159" s="465">
        <f t="shared" si="42"/>
        <v>0.5025136071712456</v>
      </c>
      <c r="I159" s="428">
        <f t="shared" si="43"/>
        <v>0</v>
      </c>
      <c r="K159" s="345">
        <f>[3]Reserve!$D90</f>
        <v>0</v>
      </c>
      <c r="L159" s="464">
        <f t="shared" si="44"/>
        <v>1</v>
      </c>
      <c r="M159" s="465">
        <f t="shared" si="44"/>
        <v>0.5025136071712456</v>
      </c>
      <c r="N159" s="428">
        <f t="shared" si="45"/>
        <v>0</v>
      </c>
      <c r="S159" s="465"/>
      <c r="T159" s="465"/>
    </row>
    <row r="160" spans="1:20">
      <c r="A160" s="858">
        <f t="shared" si="39"/>
        <v>145</v>
      </c>
      <c r="B160" s="512">
        <v>39103</v>
      </c>
      <c r="C160" s="88" t="s">
        <v>787</v>
      </c>
      <c r="D160" s="345">
        <f>[3]Reserve!$AF91</f>
        <v>0</v>
      </c>
      <c r="E160" s="428"/>
      <c r="F160" s="428"/>
      <c r="G160" s="464">
        <f t="shared" si="41"/>
        <v>1</v>
      </c>
      <c r="H160" s="465">
        <f t="shared" si="42"/>
        <v>0.5025136071712456</v>
      </c>
      <c r="I160" s="428"/>
      <c r="K160" s="345">
        <f>[3]Reserve!$D91</f>
        <v>0</v>
      </c>
      <c r="L160" s="464">
        <f t="shared" ref="L160:L165" si="46">G160</f>
        <v>1</v>
      </c>
      <c r="M160" s="465">
        <f t="shared" ref="M160:M165" si="47">H160</f>
        <v>0.5025136071712456</v>
      </c>
      <c r="N160" s="428"/>
      <c r="S160" s="465"/>
      <c r="T160" s="465"/>
    </row>
    <row r="161" spans="1:20">
      <c r="A161" s="858">
        <f t="shared" si="39"/>
        <v>146</v>
      </c>
      <c r="B161" s="512">
        <v>39200</v>
      </c>
      <c r="C161" s="88" t="s">
        <v>1578</v>
      </c>
      <c r="D161" s="345">
        <f>[3]Reserve!$AF92</f>
        <v>16989.165440250006</v>
      </c>
      <c r="E161" s="428"/>
      <c r="F161" s="428"/>
      <c r="G161" s="464">
        <f t="shared" si="41"/>
        <v>1</v>
      </c>
      <c r="H161" s="465">
        <f t="shared" si="42"/>
        <v>0.5025136071712456</v>
      </c>
      <c r="I161" s="428"/>
      <c r="K161" s="345">
        <f>[3]Reserve!$D92</f>
        <v>16079.221028750006</v>
      </c>
      <c r="L161" s="464">
        <f t="shared" si="46"/>
        <v>1</v>
      </c>
      <c r="M161" s="465">
        <f t="shared" si="47"/>
        <v>0.5025136071712456</v>
      </c>
      <c r="N161" s="428"/>
      <c r="S161" s="465"/>
      <c r="T161" s="465"/>
    </row>
    <row r="162" spans="1:20">
      <c r="A162" s="858">
        <f t="shared" si="39"/>
        <v>147</v>
      </c>
      <c r="B162" s="512">
        <v>39300</v>
      </c>
      <c r="C162" s="88" t="s">
        <v>655</v>
      </c>
      <c r="D162" s="345">
        <f>[3]Reserve!$AF93</f>
        <v>0</v>
      </c>
      <c r="E162" s="428"/>
      <c r="F162" s="428"/>
      <c r="G162" s="464">
        <f t="shared" si="41"/>
        <v>1</v>
      </c>
      <c r="H162" s="465">
        <f t="shared" si="42"/>
        <v>0.5025136071712456</v>
      </c>
      <c r="I162" s="428"/>
      <c r="K162" s="345">
        <f>[3]Reserve!$D93</f>
        <v>0</v>
      </c>
      <c r="L162" s="464">
        <f t="shared" si="46"/>
        <v>1</v>
      </c>
      <c r="M162" s="465">
        <f t="shared" si="47"/>
        <v>0.5025136071712456</v>
      </c>
      <c r="N162" s="428"/>
      <c r="S162" s="465"/>
      <c r="T162" s="465"/>
    </row>
    <row r="163" spans="1:20">
      <c r="A163" s="858">
        <f t="shared" si="39"/>
        <v>148</v>
      </c>
      <c r="B163" s="512">
        <v>39400</v>
      </c>
      <c r="C163" s="88" t="s">
        <v>1566</v>
      </c>
      <c r="D163" s="345">
        <f>[3]Reserve!$AF94</f>
        <v>139631.05634934071</v>
      </c>
      <c r="E163" s="428"/>
      <c r="F163" s="428"/>
      <c r="G163" s="464">
        <f t="shared" si="41"/>
        <v>1</v>
      </c>
      <c r="H163" s="465">
        <f t="shared" si="42"/>
        <v>0.5025136071712456</v>
      </c>
      <c r="I163" s="428"/>
      <c r="K163" s="345">
        <f>[3]Reserve!$D94</f>
        <v>136527.86684060522</v>
      </c>
      <c r="L163" s="464">
        <f t="shared" si="46"/>
        <v>1</v>
      </c>
      <c r="M163" s="465">
        <f t="shared" si="47"/>
        <v>0.5025136071712456</v>
      </c>
      <c r="N163" s="428"/>
      <c r="S163" s="465"/>
      <c r="T163" s="465"/>
    </row>
    <row r="164" spans="1:20">
      <c r="A164" s="858">
        <f t="shared" si="39"/>
        <v>149</v>
      </c>
      <c r="B164" s="512">
        <v>39600</v>
      </c>
      <c r="C164" s="88" t="s">
        <v>1579</v>
      </c>
      <c r="D164" s="345">
        <f>[3]Reserve!$AF95</f>
        <v>8178.5671469999925</v>
      </c>
      <c r="E164" s="428"/>
      <c r="F164" s="428"/>
      <c r="G164" s="464">
        <f t="shared" si="41"/>
        <v>1</v>
      </c>
      <c r="H164" s="465">
        <f t="shared" si="42"/>
        <v>0.5025136071712456</v>
      </c>
      <c r="I164" s="428"/>
      <c r="K164" s="345">
        <f>[3]Reserve!$D95</f>
        <v>7731.3251049999953</v>
      </c>
      <c r="L164" s="464">
        <f t="shared" si="46"/>
        <v>1</v>
      </c>
      <c r="M164" s="465">
        <f t="shared" si="47"/>
        <v>0.5025136071712456</v>
      </c>
      <c r="N164" s="428"/>
      <c r="S164" s="465"/>
      <c r="T164" s="465"/>
    </row>
    <row r="165" spans="1:20">
      <c r="A165" s="858">
        <f t="shared" si="39"/>
        <v>150</v>
      </c>
      <c r="B165" s="512">
        <v>39700</v>
      </c>
      <c r="C165" s="88" t="s">
        <v>1570</v>
      </c>
      <c r="D165" s="345">
        <f>[3]Reserve!$AF96</f>
        <v>-7003.6326932460779</v>
      </c>
      <c r="E165" s="428">
        <v>0</v>
      </c>
      <c r="F165" s="428">
        <f t="shared" si="40"/>
        <v>-7003.6326932460779</v>
      </c>
      <c r="G165" s="464">
        <f t="shared" si="41"/>
        <v>1</v>
      </c>
      <c r="H165" s="465">
        <f t="shared" si="42"/>
        <v>0.5025136071712456</v>
      </c>
      <c r="I165" s="428">
        <f t="shared" si="43"/>
        <v>-3519.4207279855523</v>
      </c>
      <c r="K165" s="345">
        <f>[3]Reserve!$D96</f>
        <v>-7884.9034571288748</v>
      </c>
      <c r="L165" s="464">
        <f t="shared" si="46"/>
        <v>1</v>
      </c>
      <c r="M165" s="465">
        <f t="shared" si="47"/>
        <v>0.5025136071712456</v>
      </c>
      <c r="N165" s="428">
        <f t="shared" si="45"/>
        <v>-3962.2712784388559</v>
      </c>
      <c r="S165" s="465"/>
      <c r="T165" s="465"/>
    </row>
    <row r="166" spans="1:20">
      <c r="A166" s="858">
        <f t="shared" si="39"/>
        <v>151</v>
      </c>
      <c r="B166" s="512">
        <v>39701</v>
      </c>
      <c r="C166" s="88" t="s">
        <v>1530</v>
      </c>
      <c r="D166" s="345">
        <f>[3]Reserve!$AF97</f>
        <v>0</v>
      </c>
      <c r="E166" s="428">
        <v>0</v>
      </c>
      <c r="F166" s="428">
        <f t="shared" si="40"/>
        <v>0</v>
      </c>
      <c r="G166" s="464">
        <f t="shared" si="41"/>
        <v>1</v>
      </c>
      <c r="H166" s="465">
        <f t="shared" si="42"/>
        <v>0.5025136071712456</v>
      </c>
      <c r="I166" s="428">
        <f t="shared" si="43"/>
        <v>0</v>
      </c>
      <c r="K166" s="345">
        <f>[3]Reserve!$D97</f>
        <v>0</v>
      </c>
      <c r="L166" s="464">
        <f t="shared" si="44"/>
        <v>1</v>
      </c>
      <c r="M166" s="465">
        <f t="shared" si="44"/>
        <v>0.5025136071712456</v>
      </c>
      <c r="N166" s="428">
        <f t="shared" si="45"/>
        <v>0</v>
      </c>
      <c r="S166" s="465"/>
      <c r="T166" s="465"/>
    </row>
    <row r="167" spans="1:20">
      <c r="A167" s="858">
        <f t="shared" si="39"/>
        <v>152</v>
      </c>
      <c r="B167" s="706">
        <v>39702</v>
      </c>
      <c r="C167" s="88" t="s">
        <v>1530</v>
      </c>
      <c r="D167" s="345">
        <f>[3]Reserve!$AF98</f>
        <v>0</v>
      </c>
      <c r="E167" s="428">
        <v>0</v>
      </c>
      <c r="F167" s="428">
        <f t="shared" si="40"/>
        <v>0</v>
      </c>
      <c r="G167" s="464">
        <f t="shared" si="41"/>
        <v>1</v>
      </c>
      <c r="H167" s="465">
        <f t="shared" si="42"/>
        <v>0.5025136071712456</v>
      </c>
      <c r="I167" s="428">
        <f t="shared" si="43"/>
        <v>0</v>
      </c>
      <c r="K167" s="345">
        <f>[3]Reserve!$D98</f>
        <v>0</v>
      </c>
      <c r="L167" s="464">
        <f t="shared" si="44"/>
        <v>1</v>
      </c>
      <c r="M167" s="465">
        <f t="shared" si="44"/>
        <v>0.5025136071712456</v>
      </c>
      <c r="N167" s="428">
        <f t="shared" si="45"/>
        <v>0</v>
      </c>
      <c r="S167" s="465"/>
      <c r="T167" s="465"/>
    </row>
    <row r="168" spans="1:20">
      <c r="A168" s="858">
        <f t="shared" si="39"/>
        <v>153</v>
      </c>
      <c r="B168" s="706">
        <v>39800</v>
      </c>
      <c r="C168" s="88" t="s">
        <v>1572</v>
      </c>
      <c r="D168" s="345">
        <f>[3]Reserve!$AF99</f>
        <v>709564.1437880001</v>
      </c>
      <c r="E168" s="428">
        <v>0</v>
      </c>
      <c r="F168" s="428">
        <f t="shared" si="40"/>
        <v>709564.1437880001</v>
      </c>
      <c r="G168" s="464">
        <f t="shared" si="41"/>
        <v>1</v>
      </c>
      <c r="H168" s="465">
        <f t="shared" si="42"/>
        <v>0.5025136071712456</v>
      </c>
      <c r="I168" s="428">
        <f t="shared" si="43"/>
        <v>356565.63741428434</v>
      </c>
      <c r="K168" s="345">
        <f>[3]Reserve!$D99</f>
        <v>695438.34842000017</v>
      </c>
      <c r="L168" s="464">
        <f t="shared" si="44"/>
        <v>1</v>
      </c>
      <c r="M168" s="465">
        <f t="shared" si="44"/>
        <v>0.5025136071712456</v>
      </c>
      <c r="N168" s="428">
        <f t="shared" si="45"/>
        <v>349467.23302974779</v>
      </c>
      <c r="S168" s="465"/>
      <c r="T168" s="465"/>
    </row>
    <row r="169" spans="1:20">
      <c r="A169" s="858">
        <f t="shared" si="39"/>
        <v>154</v>
      </c>
      <c r="B169" s="706">
        <v>39900</v>
      </c>
      <c r="C169" s="88" t="s">
        <v>1580</v>
      </c>
      <c r="D169" s="345">
        <f>[3]Reserve!$AF100</f>
        <v>0</v>
      </c>
      <c r="E169" s="428">
        <v>0</v>
      </c>
      <c r="F169" s="428">
        <f t="shared" si="40"/>
        <v>0</v>
      </c>
      <c r="G169" s="464">
        <f t="shared" si="41"/>
        <v>1</v>
      </c>
      <c r="H169" s="465">
        <f t="shared" si="42"/>
        <v>0.5025136071712456</v>
      </c>
      <c r="I169" s="428">
        <f t="shared" si="43"/>
        <v>0</v>
      </c>
      <c r="K169" s="345">
        <f>[3]Reserve!$D100</f>
        <v>0</v>
      </c>
      <c r="L169" s="464">
        <f t="shared" si="44"/>
        <v>1</v>
      </c>
      <c r="M169" s="465">
        <f t="shared" si="44"/>
        <v>0.5025136071712456</v>
      </c>
      <c r="N169" s="428">
        <f t="shared" si="45"/>
        <v>0</v>
      </c>
      <c r="S169" s="465"/>
      <c r="T169" s="465"/>
    </row>
    <row r="170" spans="1:20">
      <c r="A170" s="858">
        <f t="shared" si="39"/>
        <v>155</v>
      </c>
      <c r="B170" s="706">
        <v>39901</v>
      </c>
      <c r="C170" s="88" t="s">
        <v>1581</v>
      </c>
      <c r="D170" s="345">
        <f>[3]Reserve!$AF101</f>
        <v>-34804.35</v>
      </c>
      <c r="E170" s="428">
        <v>0</v>
      </c>
      <c r="F170" s="428">
        <f t="shared" si="40"/>
        <v>-34804.35</v>
      </c>
      <c r="G170" s="464">
        <f t="shared" si="41"/>
        <v>1</v>
      </c>
      <c r="H170" s="465">
        <f t="shared" si="42"/>
        <v>0.5025136071712456</v>
      </c>
      <c r="I170" s="428">
        <f t="shared" si="43"/>
        <v>-17489.65946375054</v>
      </c>
      <c r="K170" s="345">
        <f>[3]Reserve!$D101</f>
        <v>-34804.349999999991</v>
      </c>
      <c r="L170" s="464">
        <f t="shared" si="44"/>
        <v>1</v>
      </c>
      <c r="M170" s="465">
        <f t="shared" si="44"/>
        <v>0.5025136071712456</v>
      </c>
      <c r="N170" s="428">
        <f t="shared" si="45"/>
        <v>-17489.659463750537</v>
      </c>
      <c r="S170" s="465"/>
      <c r="T170" s="465"/>
    </row>
    <row r="171" spans="1:20">
      <c r="A171" s="858">
        <f t="shared" si="39"/>
        <v>156</v>
      </c>
      <c r="B171" s="706">
        <v>39902</v>
      </c>
      <c r="C171" s="88" t="s">
        <v>1582</v>
      </c>
      <c r="D171" s="345">
        <f>[3]Reserve!$AF102</f>
        <v>0</v>
      </c>
      <c r="E171" s="428">
        <v>0</v>
      </c>
      <c r="F171" s="428">
        <f t="shared" si="40"/>
        <v>0</v>
      </c>
      <c r="G171" s="464">
        <f t="shared" si="41"/>
        <v>1</v>
      </c>
      <c r="H171" s="465">
        <f t="shared" si="42"/>
        <v>0.5025136071712456</v>
      </c>
      <c r="I171" s="428">
        <f t="shared" si="43"/>
        <v>0</v>
      </c>
      <c r="K171" s="345">
        <f>[3]Reserve!$D102</f>
        <v>0</v>
      </c>
      <c r="L171" s="464">
        <f t="shared" si="44"/>
        <v>1</v>
      </c>
      <c r="M171" s="465">
        <f t="shared" si="44"/>
        <v>0.5025136071712456</v>
      </c>
      <c r="N171" s="428">
        <f t="shared" si="45"/>
        <v>0</v>
      </c>
      <c r="S171" s="465"/>
      <c r="T171" s="465"/>
    </row>
    <row r="172" spans="1:20">
      <c r="A172" s="858">
        <f t="shared" si="39"/>
        <v>157</v>
      </c>
      <c r="B172" s="706">
        <v>39903</v>
      </c>
      <c r="C172" s="88" t="s">
        <v>1573</v>
      </c>
      <c r="D172" s="345">
        <f>[3]Reserve!$AF103</f>
        <v>0</v>
      </c>
      <c r="E172" s="428">
        <v>0</v>
      </c>
      <c r="F172" s="428">
        <f t="shared" si="40"/>
        <v>0</v>
      </c>
      <c r="G172" s="464">
        <f t="shared" si="41"/>
        <v>1</v>
      </c>
      <c r="H172" s="465">
        <f t="shared" si="42"/>
        <v>0.5025136071712456</v>
      </c>
      <c r="I172" s="428">
        <f t="shared" si="43"/>
        <v>0</v>
      </c>
      <c r="K172" s="345">
        <f>[3]Reserve!$D103</f>
        <v>0</v>
      </c>
      <c r="L172" s="464">
        <f t="shared" si="44"/>
        <v>1</v>
      </c>
      <c r="M172" s="465">
        <f t="shared" si="44"/>
        <v>0.5025136071712456</v>
      </c>
      <c r="N172" s="428">
        <f t="shared" si="45"/>
        <v>0</v>
      </c>
      <c r="S172" s="465"/>
      <c r="T172" s="465"/>
    </row>
    <row r="173" spans="1:20">
      <c r="A173" s="858">
        <f t="shared" si="39"/>
        <v>158</v>
      </c>
      <c r="B173" s="706">
        <v>39906</v>
      </c>
      <c r="C173" s="88" t="s">
        <v>1574</v>
      </c>
      <c r="D173" s="345">
        <f>[3]Reserve!$AF104</f>
        <v>74207.98</v>
      </c>
      <c r="E173" s="428">
        <v>0</v>
      </c>
      <c r="F173" s="428">
        <f t="shared" si="40"/>
        <v>74207.98</v>
      </c>
      <c r="G173" s="464">
        <f t="shared" si="41"/>
        <v>1</v>
      </c>
      <c r="H173" s="465">
        <f t="shared" si="42"/>
        <v>0.5025136071712456</v>
      </c>
      <c r="I173" s="428">
        <f t="shared" si="43"/>
        <v>37290.519710691646</v>
      </c>
      <c r="K173" s="345">
        <f>[3]Reserve!$D104</f>
        <v>74207.98</v>
      </c>
      <c r="L173" s="464">
        <f t="shared" si="44"/>
        <v>1</v>
      </c>
      <c r="M173" s="465">
        <f t="shared" si="44"/>
        <v>0.5025136071712456</v>
      </c>
      <c r="N173" s="428">
        <f t="shared" si="45"/>
        <v>37290.519710691646</v>
      </c>
      <c r="S173" s="465"/>
      <c r="T173" s="465"/>
    </row>
    <row r="174" spans="1:20">
      <c r="A174" s="858">
        <f t="shared" si="39"/>
        <v>159</v>
      </c>
      <c r="B174" s="706">
        <v>39907</v>
      </c>
      <c r="C174" s="88" t="s">
        <v>1575</v>
      </c>
      <c r="D174" s="345">
        <f>[3]Reserve!$AF105</f>
        <v>24099.293482250036</v>
      </c>
      <c r="E174" s="428">
        <v>0</v>
      </c>
      <c r="F174" s="428">
        <f t="shared" si="40"/>
        <v>24099.293482250036</v>
      </c>
      <c r="G174" s="464">
        <f t="shared" si="41"/>
        <v>1</v>
      </c>
      <c r="H174" s="465">
        <f t="shared" si="42"/>
        <v>0.5025136071712456</v>
      </c>
      <c r="I174" s="428">
        <f t="shared" si="43"/>
        <v>12110.222898043954</v>
      </c>
      <c r="K174" s="345">
        <f>[3]Reserve!$D105</f>
        <v>22151.501058750026</v>
      </c>
      <c r="L174" s="464">
        <f t="shared" si="44"/>
        <v>1</v>
      </c>
      <c r="M174" s="465">
        <f t="shared" si="44"/>
        <v>0.5025136071712456</v>
      </c>
      <c r="N174" s="428">
        <f t="shared" si="45"/>
        <v>11131.430701290141</v>
      </c>
      <c r="S174" s="465"/>
      <c r="T174" s="465"/>
    </row>
    <row r="175" spans="1:20">
      <c r="A175" s="858">
        <f t="shared" si="39"/>
        <v>160</v>
      </c>
      <c r="B175" s="706">
        <v>39908</v>
      </c>
      <c r="C175" s="88" t="s">
        <v>1576</v>
      </c>
      <c r="D175" s="345">
        <f>[3]Reserve!$AF106</f>
        <v>828509.36</v>
      </c>
      <c r="E175" s="428">
        <v>0</v>
      </c>
      <c r="F175" s="428">
        <f t="shared" si="40"/>
        <v>828509.36</v>
      </c>
      <c r="G175" s="464">
        <f t="shared" si="41"/>
        <v>1</v>
      </c>
      <c r="H175" s="465">
        <f t="shared" si="42"/>
        <v>0.5025136071712456</v>
      </c>
      <c r="I175" s="428">
        <f t="shared" si="43"/>
        <v>416337.22706874012</v>
      </c>
      <c r="K175" s="345">
        <f>[3]Reserve!$D106</f>
        <v>828509.36</v>
      </c>
      <c r="L175" s="464">
        <f t="shared" si="44"/>
        <v>1</v>
      </c>
      <c r="M175" s="465">
        <f t="shared" si="44"/>
        <v>0.5025136071712456</v>
      </c>
      <c r="N175" s="428">
        <f t="shared" si="45"/>
        <v>416337.22706874012</v>
      </c>
      <c r="S175" s="465"/>
      <c r="T175" s="465"/>
    </row>
    <row r="176" spans="1:20">
      <c r="A176" s="858">
        <f t="shared" si="39"/>
        <v>161</v>
      </c>
      <c r="B176" s="706"/>
      <c r="C176" s="88" t="s">
        <v>1153</v>
      </c>
      <c r="D176" s="345">
        <f>[3]Reserve!$AF107</f>
        <v>52517.30000000001</v>
      </c>
      <c r="E176" s="809"/>
      <c r="F176" s="809"/>
      <c r="G176" s="464">
        <f t="shared" si="41"/>
        <v>1</v>
      </c>
      <c r="H176" s="465">
        <f t="shared" si="42"/>
        <v>0.5025136071712456</v>
      </c>
      <c r="I176" s="1049">
        <f t="shared" si="43"/>
        <v>0</v>
      </c>
      <c r="K176" s="345">
        <f>[3]Reserve!$D107</f>
        <v>52517.30000000001</v>
      </c>
      <c r="L176" s="464">
        <f>G176</f>
        <v>1</v>
      </c>
      <c r="M176" s="465">
        <f>H176</f>
        <v>0.5025136071712456</v>
      </c>
      <c r="N176" s="1049">
        <f t="shared" si="45"/>
        <v>26390.657861894462</v>
      </c>
      <c r="S176" s="465"/>
      <c r="T176" s="465"/>
    </row>
    <row r="177" spans="1:20">
      <c r="A177" s="858">
        <f t="shared" si="39"/>
        <v>162</v>
      </c>
      <c r="B177" s="389"/>
      <c r="C177" s="88"/>
      <c r="D177" s="618"/>
      <c r="E177" s="618"/>
      <c r="F177" s="618"/>
    </row>
    <row r="178" spans="1:20" ht="15" customHeight="1">
      <c r="A178" s="858">
        <f t="shared" si="39"/>
        <v>163</v>
      </c>
      <c r="B178" s="389"/>
      <c r="C178" s="88" t="s">
        <v>4</v>
      </c>
      <c r="D178" s="345">
        <f>SUM(D155:D176)</f>
        <v>2005151.0511568452</v>
      </c>
      <c r="E178" s="345">
        <f>SUM(E155:E176)</f>
        <v>0</v>
      </c>
      <c r="F178" s="345">
        <f>SUM(F155:F176)</f>
        <v>1787834.9622202541</v>
      </c>
      <c r="I178" s="345">
        <f>SUM(I155:I176)</f>
        <v>898411.39589216746</v>
      </c>
      <c r="K178" s="345">
        <f>SUM(K155:K176)</f>
        <v>1980768.8601697267</v>
      </c>
      <c r="N178" s="345">
        <f>SUM(N155:N176)</f>
        <v>914791.07062450983</v>
      </c>
    </row>
    <row r="179" spans="1:20" ht="15" customHeight="1">
      <c r="A179" s="858">
        <f t="shared" si="39"/>
        <v>164</v>
      </c>
      <c r="B179" s="389"/>
      <c r="C179" s="88"/>
    </row>
    <row r="180" spans="1:20" ht="15" customHeight="1" thickBot="1">
      <c r="A180" s="858">
        <f t="shared" si="39"/>
        <v>165</v>
      </c>
      <c r="B180" s="389"/>
      <c r="C180" s="232" t="s">
        <v>1345</v>
      </c>
      <c r="D180" s="328">
        <f>D127+D152+D178</f>
        <v>2005151.0511568452</v>
      </c>
      <c r="E180" s="328">
        <f>E127+E152+E178</f>
        <v>0</v>
      </c>
      <c r="F180" s="328">
        <f>F127+F152+F178</f>
        <v>1787834.9622202541</v>
      </c>
      <c r="I180" s="328">
        <f>I127+I152+I178</f>
        <v>898411.39589216746</v>
      </c>
      <c r="K180" s="328">
        <f>K127+K152+K178</f>
        <v>1980768.8601697267</v>
      </c>
      <c r="N180" s="328">
        <f>N127+N152+N178</f>
        <v>914791.07062450983</v>
      </c>
    </row>
    <row r="181" spans="1:20" ht="15" customHeight="1" thickTop="1">
      <c r="A181" s="858">
        <f t="shared" si="39"/>
        <v>166</v>
      </c>
      <c r="B181" s="1045"/>
      <c r="D181" s="616"/>
      <c r="E181" s="327"/>
    </row>
    <row r="182" spans="1:20" ht="15" customHeight="1">
      <c r="A182" s="858">
        <f t="shared" si="39"/>
        <v>167</v>
      </c>
      <c r="B182" s="1050" t="s">
        <v>8</v>
      </c>
      <c r="D182" s="616"/>
      <c r="E182" s="327"/>
    </row>
    <row r="183" spans="1:20" ht="15" customHeight="1">
      <c r="A183" s="858">
        <f t="shared" si="39"/>
        <v>168</v>
      </c>
      <c r="D183" s="616"/>
    </row>
    <row r="184" spans="1:20" ht="15" customHeight="1">
      <c r="A184" s="858">
        <f t="shared" si="39"/>
        <v>169</v>
      </c>
      <c r="B184" s="389"/>
      <c r="C184" s="619" t="s">
        <v>305</v>
      </c>
      <c r="D184" s="616"/>
    </row>
    <row r="185" spans="1:20" ht="15" customHeight="1">
      <c r="A185" s="858">
        <f t="shared" si="39"/>
        <v>170</v>
      </c>
      <c r="B185" s="512">
        <v>39000</v>
      </c>
      <c r="C185" s="88" t="s">
        <v>1558</v>
      </c>
      <c r="D185" s="345">
        <f>[3]Reserve!$AF7</f>
        <v>523452.76503106847</v>
      </c>
      <c r="E185" s="345">
        <v>0</v>
      </c>
      <c r="F185" s="345">
        <f t="shared" ref="F185:F223" si="48">D185+E185</f>
        <v>523452.76503106847</v>
      </c>
      <c r="G185" s="465">
        <f>Allocation!$C$14</f>
        <v>0.10349999999999999</v>
      </c>
      <c r="H185" s="465">
        <f>Allocation!$D$14</f>
        <v>0.5025136071712456</v>
      </c>
      <c r="I185" s="345">
        <f t="shared" ref="I185:I223" si="49">F185*G185*H185</f>
        <v>27224.8611939408</v>
      </c>
      <c r="K185" s="345">
        <f>[3]Reserve!$D7</f>
        <v>502209.88907236391</v>
      </c>
      <c r="L185" s="465">
        <f>G185</f>
        <v>0.10349999999999999</v>
      </c>
      <c r="M185" s="465">
        <f t="shared" ref="M185" si="50">H185</f>
        <v>0.5025136071712456</v>
      </c>
      <c r="N185" s="345">
        <f t="shared" ref="N185:N223" si="51">K185*L185*M185</f>
        <v>26120.015851684355</v>
      </c>
      <c r="P185" s="660"/>
      <c r="S185" s="465"/>
      <c r="T185" s="465"/>
    </row>
    <row r="186" spans="1:20" ht="15" customHeight="1">
      <c r="A186" s="858">
        <f t="shared" si="39"/>
        <v>171</v>
      </c>
      <c r="B186" s="512">
        <v>39005</v>
      </c>
      <c r="C186" s="88" t="s">
        <v>1583</v>
      </c>
      <c r="D186" s="345">
        <f>[3]Reserve!$AF8</f>
        <v>3769039.1635282491</v>
      </c>
      <c r="E186" s="621">
        <v>0</v>
      </c>
      <c r="F186" s="428">
        <f t="shared" si="48"/>
        <v>3769039.1635282491</v>
      </c>
      <c r="G186" s="465">
        <v>1</v>
      </c>
      <c r="H186" s="465">
        <f>Allocation!$E$20</f>
        <v>1.550753E-2</v>
      </c>
      <c r="I186" s="428">
        <f t="shared" si="49"/>
        <v>58448.487899589229</v>
      </c>
      <c r="K186" s="345">
        <f>[3]Reserve!$D8</f>
        <v>3631587.2939487495</v>
      </c>
      <c r="L186" s="465">
        <f t="shared" ref="L186:L213" si="52">G186</f>
        <v>1</v>
      </c>
      <c r="M186" s="465">
        <f t="shared" ref="M186:M213" si="53">H186</f>
        <v>1.550753E-2</v>
      </c>
      <c r="N186" s="428">
        <f t="shared" si="51"/>
        <v>56316.948908529055</v>
      </c>
      <c r="P186" s="660"/>
      <c r="S186" s="465"/>
      <c r="T186" s="465"/>
    </row>
    <row r="187" spans="1:20" ht="15" customHeight="1">
      <c r="A187" s="858">
        <f t="shared" si="39"/>
        <v>172</v>
      </c>
      <c r="B187" s="512">
        <v>39009</v>
      </c>
      <c r="C187" s="88" t="s">
        <v>1562</v>
      </c>
      <c r="D187" s="345">
        <f>[3]Reserve!$AF9</f>
        <v>9748263.6019909102</v>
      </c>
      <c r="E187" s="621">
        <v>0</v>
      </c>
      <c r="F187" s="428">
        <f t="shared" si="48"/>
        <v>9748263.6019909102</v>
      </c>
      <c r="G187" s="465">
        <f>$G$185</f>
        <v>0.10349999999999999</v>
      </c>
      <c r="H187" s="465">
        <f>$H$185</f>
        <v>0.5025136071712456</v>
      </c>
      <c r="I187" s="428">
        <f t="shared" si="49"/>
        <v>507008.73350128531</v>
      </c>
      <c r="K187" s="345">
        <f>[3]Reserve!$D9</f>
        <v>9588019.4979559667</v>
      </c>
      <c r="L187" s="465">
        <f t="shared" si="52"/>
        <v>0.10349999999999999</v>
      </c>
      <c r="M187" s="465">
        <f t="shared" si="53"/>
        <v>0.5025136071712456</v>
      </c>
      <c r="N187" s="428">
        <f t="shared" si="51"/>
        <v>498674.41227702011</v>
      </c>
      <c r="P187" s="660"/>
      <c r="S187" s="465"/>
      <c r="T187" s="465"/>
    </row>
    <row r="188" spans="1:20" ht="15" customHeight="1">
      <c r="A188" s="858">
        <f t="shared" si="39"/>
        <v>173</v>
      </c>
      <c r="B188" s="512">
        <v>39020</v>
      </c>
      <c r="C188" s="88" t="s">
        <v>1534</v>
      </c>
      <c r="D188" s="345">
        <f>[3]Reserve!$AF10</f>
        <v>-0.04</v>
      </c>
      <c r="E188" s="621">
        <v>0</v>
      </c>
      <c r="F188" s="428">
        <f t="shared" si="48"/>
        <v>-0.04</v>
      </c>
      <c r="G188" s="465">
        <v>1</v>
      </c>
      <c r="H188" s="465">
        <f>Allocation!$E$22</f>
        <v>6.437198999999999E-2</v>
      </c>
      <c r="I188" s="428">
        <f>F188*G190*H190</f>
        <v>-2.0804063336889566E-3</v>
      </c>
      <c r="K188" s="345">
        <f>[3]Reserve!$D10</f>
        <v>-3.9999999999999994E-2</v>
      </c>
      <c r="L188" s="465">
        <f t="shared" si="52"/>
        <v>1</v>
      </c>
      <c r="M188" s="465">
        <f t="shared" si="53"/>
        <v>6.437198999999999E-2</v>
      </c>
      <c r="N188" s="428">
        <f t="shared" si="51"/>
        <v>-2.5748795999999993E-3</v>
      </c>
      <c r="P188" s="660"/>
      <c r="S188" s="465"/>
      <c r="T188" s="465"/>
    </row>
    <row r="189" spans="1:20" ht="15" customHeight="1">
      <c r="A189" s="858">
        <f t="shared" si="39"/>
        <v>174</v>
      </c>
      <c r="B189" s="512">
        <v>39029</v>
      </c>
      <c r="C189" s="88" t="s">
        <v>1535</v>
      </c>
      <c r="D189" s="345">
        <f>[3]Reserve!$AF11</f>
        <v>-0.08</v>
      </c>
      <c r="E189" s="621">
        <v>0</v>
      </c>
      <c r="F189" s="428">
        <f t="shared" si="48"/>
        <v>-0.08</v>
      </c>
      <c r="G189" s="465">
        <v>1</v>
      </c>
      <c r="H189" s="465">
        <f>Allocation!$E$22</f>
        <v>6.437198999999999E-2</v>
      </c>
      <c r="I189" s="428">
        <f>F189*G191*H191</f>
        <v>-4.1608126673779132E-3</v>
      </c>
      <c r="K189" s="345">
        <f>[3]Reserve!$D11</f>
        <v>-7.9999999999999988E-2</v>
      </c>
      <c r="L189" s="465">
        <f t="shared" si="52"/>
        <v>1</v>
      </c>
      <c r="M189" s="465">
        <f t="shared" si="53"/>
        <v>6.437198999999999E-2</v>
      </c>
      <c r="N189" s="428">
        <f t="shared" si="51"/>
        <v>-5.1497591999999986E-3</v>
      </c>
      <c r="P189" s="660"/>
      <c r="S189" s="465"/>
      <c r="T189" s="465"/>
    </row>
    <row r="190" spans="1:20" ht="15" customHeight="1">
      <c r="A190" s="858">
        <f t="shared" si="39"/>
        <v>175</v>
      </c>
      <c r="B190" s="512">
        <v>39100</v>
      </c>
      <c r="C190" s="88" t="s">
        <v>1563</v>
      </c>
      <c r="D190" s="345">
        <f>[3]Reserve!$AF12</f>
        <v>1995592.5980745561</v>
      </c>
      <c r="E190" s="621"/>
      <c r="F190" s="428"/>
      <c r="G190" s="465">
        <f>$G$185</f>
        <v>0.10349999999999999</v>
      </c>
      <c r="H190" s="465">
        <f>$H$185</f>
        <v>0.5025136071712456</v>
      </c>
      <c r="I190" s="428"/>
      <c r="K190" s="345">
        <f>[3]Reserve!$D12</f>
        <v>1893904.2491459823</v>
      </c>
      <c r="L190" s="465">
        <f t="shared" si="52"/>
        <v>0.10349999999999999</v>
      </c>
      <c r="M190" s="465">
        <f t="shared" si="53"/>
        <v>0.5025136071712456</v>
      </c>
      <c r="N190" s="428"/>
      <c r="P190" s="660"/>
      <c r="S190" s="465"/>
      <c r="T190" s="465"/>
    </row>
    <row r="191" spans="1:20" ht="15" customHeight="1">
      <c r="A191" s="858">
        <f t="shared" si="39"/>
        <v>176</v>
      </c>
      <c r="B191" s="512">
        <v>39102</v>
      </c>
      <c r="C191" s="88" t="s">
        <v>1584</v>
      </c>
      <c r="D191" s="345">
        <f>[3]Reserve!$AF13</f>
        <v>0.84000000000000008</v>
      </c>
      <c r="E191" s="621"/>
      <c r="F191" s="428"/>
      <c r="G191" s="465">
        <f>$G$185</f>
        <v>0.10349999999999999</v>
      </c>
      <c r="H191" s="465">
        <f>$H$185</f>
        <v>0.5025136071712456</v>
      </c>
      <c r="I191" s="428"/>
      <c r="K191" s="345">
        <f>[3]Reserve!$D13</f>
        <v>0.84</v>
      </c>
      <c r="L191" s="465">
        <f t="shared" si="52"/>
        <v>0.10349999999999999</v>
      </c>
      <c r="M191" s="465">
        <f t="shared" si="53"/>
        <v>0.5025136071712456</v>
      </c>
      <c r="N191" s="428"/>
      <c r="P191" s="660"/>
      <c r="S191" s="465"/>
      <c r="T191" s="465"/>
    </row>
    <row r="192" spans="1:20" ht="15" customHeight="1">
      <c r="A192" s="858">
        <f t="shared" si="39"/>
        <v>177</v>
      </c>
      <c r="B192" s="512">
        <v>39103</v>
      </c>
      <c r="C192" s="88" t="s">
        <v>1341</v>
      </c>
      <c r="D192" s="345">
        <f>[3]Reserve!$AF14</f>
        <v>0.3</v>
      </c>
      <c r="E192" s="621"/>
      <c r="F192" s="428"/>
      <c r="G192" s="465">
        <f>$G$185</f>
        <v>0.10349999999999999</v>
      </c>
      <c r="H192" s="465">
        <f>$H$185</f>
        <v>0.5025136071712456</v>
      </c>
      <c r="I192" s="428"/>
      <c r="K192" s="345">
        <f>[3]Reserve!$D14</f>
        <v>0.29999999999999993</v>
      </c>
      <c r="L192" s="465">
        <f t="shared" si="52"/>
        <v>0.10349999999999999</v>
      </c>
      <c r="M192" s="465">
        <f t="shared" si="53"/>
        <v>0.5025136071712456</v>
      </c>
      <c r="N192" s="428"/>
      <c r="P192" s="660"/>
      <c r="S192" s="465"/>
      <c r="T192" s="465"/>
    </row>
    <row r="193" spans="1:20" ht="15" customHeight="1">
      <c r="A193" s="858">
        <f t="shared" si="39"/>
        <v>178</v>
      </c>
      <c r="B193" s="512">
        <v>39104</v>
      </c>
      <c r="C193" s="88" t="s">
        <v>1585</v>
      </c>
      <c r="D193" s="345">
        <f>[3]Reserve!$AF15</f>
        <v>47254.485776999958</v>
      </c>
      <c r="E193" s="621"/>
      <c r="F193" s="428"/>
      <c r="G193" s="465">
        <v>1</v>
      </c>
      <c r="H193" s="465">
        <f>Allocation!$E$20</f>
        <v>1.550753E-2</v>
      </c>
      <c r="I193" s="428"/>
      <c r="K193" s="345">
        <f>[3]Reserve!$D15</f>
        <v>42040.395554999974</v>
      </c>
      <c r="L193" s="465">
        <f t="shared" si="52"/>
        <v>1</v>
      </c>
      <c r="M193" s="465">
        <f t="shared" si="53"/>
        <v>1.550753E-2</v>
      </c>
      <c r="N193" s="428"/>
      <c r="P193" s="660"/>
      <c r="S193" s="465"/>
      <c r="T193" s="465"/>
    </row>
    <row r="194" spans="1:20" ht="15" customHeight="1">
      <c r="A194" s="858">
        <f t="shared" si="39"/>
        <v>179</v>
      </c>
      <c r="B194" s="512">
        <v>39120</v>
      </c>
      <c r="C194" s="88" t="s">
        <v>1536</v>
      </c>
      <c r="D194" s="345">
        <f>[3]Reserve!$AF16</f>
        <v>92098.080912999911</v>
      </c>
      <c r="E194" s="621"/>
      <c r="F194" s="428"/>
      <c r="G194" s="465">
        <v>1</v>
      </c>
      <c r="H194" s="465">
        <f>Allocation!$E$22</f>
        <v>6.437198999999999E-2</v>
      </c>
      <c r="I194" s="428"/>
      <c r="K194" s="345">
        <f>[3]Reserve!$D16</f>
        <v>91956.997794999916</v>
      </c>
      <c r="L194" s="465">
        <f t="shared" si="52"/>
        <v>1</v>
      </c>
      <c r="M194" s="465">
        <f t="shared" si="53"/>
        <v>6.437198999999999E-2</v>
      </c>
      <c r="N194" s="428"/>
      <c r="P194" s="660"/>
      <c r="S194" s="465"/>
      <c r="T194" s="465"/>
    </row>
    <row r="195" spans="1:20" ht="15" customHeight="1">
      <c r="A195" s="858">
        <f t="shared" si="39"/>
        <v>180</v>
      </c>
      <c r="B195" s="512">
        <v>39200</v>
      </c>
      <c r="C195" s="88" t="s">
        <v>1564</v>
      </c>
      <c r="D195" s="345">
        <f>[3]Reserve!$AF17</f>
        <v>4474.4899999999989</v>
      </c>
      <c r="E195" s="621"/>
      <c r="F195" s="428"/>
      <c r="G195" s="465">
        <f t="shared" ref="G195:G197" si="54">$G$185</f>
        <v>0.10349999999999999</v>
      </c>
      <c r="H195" s="465">
        <f t="shared" ref="H195:H197" si="55">$H$185</f>
        <v>0.5025136071712456</v>
      </c>
      <c r="I195" s="428"/>
      <c r="K195" s="345">
        <f>[3]Reserve!$D17</f>
        <v>4474.4899999999989</v>
      </c>
      <c r="L195" s="465">
        <f t="shared" si="52"/>
        <v>0.10349999999999999</v>
      </c>
      <c r="M195" s="465">
        <f t="shared" si="53"/>
        <v>0.5025136071712456</v>
      </c>
      <c r="N195" s="428"/>
      <c r="P195" s="660"/>
      <c r="S195" s="465"/>
      <c r="T195" s="465"/>
    </row>
    <row r="196" spans="1:20" ht="15" customHeight="1">
      <c r="A196" s="858">
        <f t="shared" si="39"/>
        <v>181</v>
      </c>
      <c r="B196" s="512">
        <v>39300</v>
      </c>
      <c r="C196" s="88" t="s">
        <v>1586</v>
      </c>
      <c r="D196" s="345">
        <f>[3]Reserve!$AF18</f>
        <v>0</v>
      </c>
      <c r="E196" s="621"/>
      <c r="F196" s="428"/>
      <c r="G196" s="465">
        <f t="shared" si="54"/>
        <v>0.10349999999999999</v>
      </c>
      <c r="H196" s="465">
        <f t="shared" si="55"/>
        <v>0.5025136071712456</v>
      </c>
      <c r="I196" s="428"/>
      <c r="K196" s="345">
        <f>[3]Reserve!$D18</f>
        <v>0</v>
      </c>
      <c r="L196" s="465">
        <f t="shared" si="52"/>
        <v>0.10349999999999999</v>
      </c>
      <c r="M196" s="465">
        <f t="shared" si="53"/>
        <v>0.5025136071712456</v>
      </c>
      <c r="N196" s="428"/>
      <c r="P196" s="660"/>
      <c r="S196" s="465"/>
      <c r="T196" s="465"/>
    </row>
    <row r="197" spans="1:20" ht="15" customHeight="1">
      <c r="A197" s="858">
        <f t="shared" si="39"/>
        <v>182</v>
      </c>
      <c r="B197" s="512">
        <v>39400</v>
      </c>
      <c r="C197" s="88" t="s">
        <v>1566</v>
      </c>
      <c r="D197" s="345">
        <f>[3]Reserve!$AF19</f>
        <v>70648.548158358768</v>
      </c>
      <c r="E197" s="621"/>
      <c r="F197" s="428"/>
      <c r="G197" s="465">
        <f t="shared" si="54"/>
        <v>0.10349999999999999</v>
      </c>
      <c r="H197" s="465">
        <f t="shared" si="55"/>
        <v>0.5025136071712456</v>
      </c>
      <c r="I197" s="428"/>
      <c r="K197" s="345">
        <f>[3]Reserve!$D19</f>
        <v>51879.741224231475</v>
      </c>
      <c r="L197" s="465">
        <f t="shared" si="52"/>
        <v>0.10349999999999999</v>
      </c>
      <c r="M197" s="465">
        <f t="shared" si="53"/>
        <v>0.5025136071712456</v>
      </c>
      <c r="N197" s="428"/>
      <c r="P197" s="660"/>
      <c r="S197" s="465"/>
      <c r="T197" s="465"/>
    </row>
    <row r="198" spans="1:20" ht="15" customHeight="1">
      <c r="A198" s="858">
        <f t="shared" si="39"/>
        <v>183</v>
      </c>
      <c r="B198" s="512">
        <v>39420</v>
      </c>
      <c r="C198" s="88" t="s">
        <v>1537</v>
      </c>
      <c r="D198" s="345">
        <f>[3]Reserve!$AF20</f>
        <v>-16426.899999999991</v>
      </c>
      <c r="E198" s="621"/>
      <c r="F198" s="428"/>
      <c r="G198" s="465">
        <v>1</v>
      </c>
      <c r="H198" s="465">
        <f>Allocation!$E$22</f>
        <v>6.437198999999999E-2</v>
      </c>
      <c r="I198" s="428"/>
      <c r="K198" s="345">
        <f>[3]Reserve!$D20</f>
        <v>-16426.899999999991</v>
      </c>
      <c r="L198" s="465">
        <f t="shared" si="52"/>
        <v>1</v>
      </c>
      <c r="M198" s="465">
        <f t="shared" si="53"/>
        <v>6.437198999999999E-2</v>
      </c>
      <c r="N198" s="428"/>
      <c r="P198" s="660"/>
      <c r="S198" s="465"/>
      <c r="T198" s="465"/>
    </row>
    <row r="199" spans="1:20" ht="15" customHeight="1">
      <c r="A199" s="858">
        <f t="shared" si="39"/>
        <v>184</v>
      </c>
      <c r="B199" s="512">
        <v>39500</v>
      </c>
      <c r="C199" s="88" t="s">
        <v>1587</v>
      </c>
      <c r="D199" s="345">
        <f>[3]Reserve!$AF21</f>
        <v>0</v>
      </c>
      <c r="E199" s="621"/>
      <c r="F199" s="428"/>
      <c r="G199" s="465">
        <f t="shared" ref="G199" si="56">$G$185</f>
        <v>0.10349999999999999</v>
      </c>
      <c r="H199" s="465">
        <f t="shared" ref="H199" si="57">$H$185</f>
        <v>0.5025136071712456</v>
      </c>
      <c r="I199" s="428"/>
      <c r="K199" s="345">
        <f>[3]Reserve!$D21</f>
        <v>0</v>
      </c>
      <c r="L199" s="465">
        <f t="shared" si="52"/>
        <v>0.10349999999999999</v>
      </c>
      <c r="M199" s="465">
        <f t="shared" si="53"/>
        <v>0.5025136071712456</v>
      </c>
      <c r="N199" s="428"/>
      <c r="P199" s="660"/>
      <c r="S199" s="465"/>
      <c r="T199" s="465"/>
    </row>
    <row r="200" spans="1:20" ht="15" customHeight="1">
      <c r="A200" s="858">
        <f t="shared" si="39"/>
        <v>185</v>
      </c>
      <c r="B200" s="512">
        <v>39700</v>
      </c>
      <c r="C200" s="88" t="s">
        <v>1570</v>
      </c>
      <c r="D200" s="345">
        <f>[3]Reserve!$AF22</f>
        <v>1232147.9618074989</v>
      </c>
      <c r="E200" s="621"/>
      <c r="F200" s="428"/>
      <c r="G200" s="465">
        <f t="shared" ref="G200:G223" si="58">$G$185</f>
        <v>0.10349999999999999</v>
      </c>
      <c r="H200" s="465">
        <f t="shared" ref="H200:H223" si="59">$H$185</f>
        <v>0.5025136071712456</v>
      </c>
      <c r="I200" s="428"/>
      <c r="K200" s="345">
        <f>[3]Reserve!$D22</f>
        <v>1231889.8498624994</v>
      </c>
      <c r="L200" s="465">
        <f t="shared" si="52"/>
        <v>0.10349999999999999</v>
      </c>
      <c r="M200" s="465">
        <f t="shared" si="53"/>
        <v>0.5025136071712456</v>
      </c>
      <c r="N200" s="428"/>
      <c r="P200" s="660"/>
      <c r="S200" s="465"/>
      <c r="T200" s="465"/>
    </row>
    <row r="201" spans="1:20" ht="15" customHeight="1">
      <c r="A201" s="858">
        <f t="shared" si="39"/>
        <v>186</v>
      </c>
      <c r="B201" s="512">
        <v>39720</v>
      </c>
      <c r="C201" s="88" t="s">
        <v>1538</v>
      </c>
      <c r="D201" s="345">
        <f>[3]Reserve!$AF23</f>
        <v>9260.2051900000006</v>
      </c>
      <c r="E201" s="621"/>
      <c r="F201" s="428"/>
      <c r="G201" s="465">
        <v>1</v>
      </c>
      <c r="H201" s="465">
        <f>Allocation!$E$22</f>
        <v>6.437198999999999E-2</v>
      </c>
      <c r="I201" s="428"/>
      <c r="K201" s="345">
        <f>[3]Reserve!$D23</f>
        <v>9260.2051900000042</v>
      </c>
      <c r="L201" s="465">
        <f t="shared" si="52"/>
        <v>1</v>
      </c>
      <c r="M201" s="465">
        <f t="shared" si="53"/>
        <v>6.437198999999999E-2</v>
      </c>
      <c r="N201" s="428"/>
      <c r="P201" s="660"/>
      <c r="S201" s="465"/>
      <c r="T201" s="465"/>
    </row>
    <row r="202" spans="1:20" ht="15" customHeight="1">
      <c r="A202" s="858">
        <f t="shared" si="39"/>
        <v>187</v>
      </c>
      <c r="B202" s="512">
        <v>39800</v>
      </c>
      <c r="C202" s="88" t="s">
        <v>1572</v>
      </c>
      <c r="D202" s="345">
        <f>[3]Reserve!$AF24</f>
        <v>41060.590204249995</v>
      </c>
      <c r="E202" s="621"/>
      <c r="F202" s="428"/>
      <c r="G202" s="465">
        <f t="shared" si="58"/>
        <v>0.10349999999999999</v>
      </c>
      <c r="H202" s="465">
        <f t="shared" si="59"/>
        <v>0.5025136071712456</v>
      </c>
      <c r="I202" s="428"/>
      <c r="K202" s="345">
        <f>[3]Reserve!$D24</f>
        <v>40865.167288749995</v>
      </c>
      <c r="L202" s="465">
        <f t="shared" si="52"/>
        <v>0.10349999999999999</v>
      </c>
      <c r="M202" s="465">
        <f t="shared" si="53"/>
        <v>0.5025136071712456</v>
      </c>
      <c r="N202" s="428"/>
      <c r="P202" s="660"/>
      <c r="S202" s="465"/>
      <c r="T202" s="465"/>
    </row>
    <row r="203" spans="1:20" ht="15" customHeight="1">
      <c r="A203" s="858">
        <f t="shared" si="39"/>
        <v>188</v>
      </c>
      <c r="B203" s="512">
        <v>39820</v>
      </c>
      <c r="C203" s="88" t="s">
        <v>1539</v>
      </c>
      <c r="D203" s="345">
        <f>[3]Reserve!$AF25</f>
        <v>7752.343010833335</v>
      </c>
      <c r="E203" s="621"/>
      <c r="F203" s="428"/>
      <c r="G203" s="465">
        <v>1</v>
      </c>
      <c r="H203" s="465">
        <f>Allocation!$E$22</f>
        <v>6.437198999999999E-2</v>
      </c>
      <c r="I203" s="428"/>
      <c r="K203" s="345">
        <f>[3]Reserve!$D25</f>
        <v>7697.3175261346187</v>
      </c>
      <c r="L203" s="465">
        <f t="shared" si="52"/>
        <v>1</v>
      </c>
      <c r="M203" s="465">
        <f t="shared" si="53"/>
        <v>6.437198999999999E-2</v>
      </c>
      <c r="N203" s="428"/>
      <c r="P203" s="660"/>
      <c r="S203" s="465"/>
      <c r="T203" s="465"/>
    </row>
    <row r="204" spans="1:20" ht="15" customHeight="1">
      <c r="A204" s="858">
        <f t="shared" si="39"/>
        <v>189</v>
      </c>
      <c r="B204" s="512">
        <v>39900</v>
      </c>
      <c r="C204" s="88" t="s">
        <v>1588</v>
      </c>
      <c r="D204" s="345">
        <f>[3]Reserve!$AF26</f>
        <v>164784.07</v>
      </c>
      <c r="E204" s="621">
        <v>0</v>
      </c>
      <c r="F204" s="428">
        <f t="shared" si="48"/>
        <v>164784.07</v>
      </c>
      <c r="G204" s="465">
        <f t="shared" si="58"/>
        <v>0.10349999999999999</v>
      </c>
      <c r="H204" s="465">
        <f t="shared" si="59"/>
        <v>0.5025136071712456</v>
      </c>
      <c r="I204" s="428">
        <f t="shared" si="49"/>
        <v>8570.4455729761103</v>
      </c>
      <c r="K204" s="345">
        <f>[3]Reserve!$D26</f>
        <v>164784.07000000004</v>
      </c>
      <c r="L204" s="465">
        <f t="shared" si="52"/>
        <v>0.10349999999999999</v>
      </c>
      <c r="M204" s="465">
        <f t="shared" si="53"/>
        <v>0.5025136071712456</v>
      </c>
      <c r="N204" s="428">
        <f t="shared" si="51"/>
        <v>8570.4455729761121</v>
      </c>
      <c r="P204" s="660"/>
      <c r="S204" s="465"/>
      <c r="T204" s="465"/>
    </row>
    <row r="205" spans="1:20" ht="15" customHeight="1">
      <c r="A205" s="858">
        <f t="shared" si="39"/>
        <v>190</v>
      </c>
      <c r="B205" s="512">
        <v>39901</v>
      </c>
      <c r="C205" s="80" t="s">
        <v>1581</v>
      </c>
      <c r="D205" s="345">
        <f>[3]Reserve!$AF27</f>
        <v>21470636.984477963</v>
      </c>
      <c r="E205" s="621">
        <v>0</v>
      </c>
      <c r="F205" s="428">
        <f t="shared" si="48"/>
        <v>21470636.984477963</v>
      </c>
      <c r="G205" s="465">
        <f t="shared" si="58"/>
        <v>0.10349999999999999</v>
      </c>
      <c r="H205" s="465">
        <f t="shared" si="59"/>
        <v>0.5025136071712456</v>
      </c>
      <c r="I205" s="428">
        <f t="shared" si="49"/>
        <v>1116691.2292711078</v>
      </c>
      <c r="K205" s="345">
        <f>[3]Reserve!$D27</f>
        <v>20569772.851769973</v>
      </c>
      <c r="L205" s="465">
        <f t="shared" si="52"/>
        <v>0.10349999999999999</v>
      </c>
      <c r="M205" s="465">
        <f t="shared" si="53"/>
        <v>0.5025136071712456</v>
      </c>
      <c r="N205" s="428">
        <f t="shared" si="51"/>
        <v>1069837.1430841349</v>
      </c>
      <c r="P205" s="660"/>
      <c r="S205" s="465"/>
      <c r="T205" s="465"/>
    </row>
    <row r="206" spans="1:20" ht="15" customHeight="1">
      <c r="A206" s="858">
        <f t="shared" si="39"/>
        <v>191</v>
      </c>
      <c r="B206" s="512">
        <v>39902</v>
      </c>
      <c r="C206" s="88" t="s">
        <v>1582</v>
      </c>
      <c r="D206" s="345">
        <f>[3]Reserve!$AF28</f>
        <v>16339314.536018241</v>
      </c>
      <c r="E206" s="621">
        <v>0</v>
      </c>
      <c r="F206" s="428">
        <f t="shared" si="48"/>
        <v>16339314.536018241</v>
      </c>
      <c r="G206" s="465">
        <f t="shared" si="58"/>
        <v>0.10349999999999999</v>
      </c>
      <c r="H206" s="465">
        <f t="shared" si="59"/>
        <v>0.5025136071712456</v>
      </c>
      <c r="I206" s="428">
        <f t="shared" si="49"/>
        <v>849810.33622170961</v>
      </c>
      <c r="K206" s="345">
        <f>[3]Reserve!$D28</f>
        <v>16180853.774298741</v>
      </c>
      <c r="L206" s="465">
        <f t="shared" si="52"/>
        <v>0.10349999999999999</v>
      </c>
      <c r="M206" s="465">
        <f t="shared" si="53"/>
        <v>0.5025136071712456</v>
      </c>
      <c r="N206" s="428">
        <f t="shared" si="51"/>
        <v>841568.76691364904</v>
      </c>
      <c r="P206" s="660"/>
      <c r="S206" s="465"/>
      <c r="T206" s="465"/>
    </row>
    <row r="207" spans="1:20" ht="15" customHeight="1">
      <c r="A207" s="858">
        <f t="shared" si="39"/>
        <v>192</v>
      </c>
      <c r="B207" s="512">
        <v>39903</v>
      </c>
      <c r="C207" s="88" t="s">
        <v>1573</v>
      </c>
      <c r="D207" s="345">
        <f>[3]Reserve!$AF29</f>
        <v>2251878.1799999988</v>
      </c>
      <c r="E207" s="621">
        <v>0</v>
      </c>
      <c r="F207" s="428">
        <f t="shared" si="48"/>
        <v>2251878.1799999988</v>
      </c>
      <c r="G207" s="465">
        <f t="shared" si="58"/>
        <v>0.10349999999999999</v>
      </c>
      <c r="H207" s="465">
        <f t="shared" si="59"/>
        <v>0.5025136071712456</v>
      </c>
      <c r="I207" s="428">
        <f t="shared" si="49"/>
        <v>117120.54070919895</v>
      </c>
      <c r="K207" s="345">
        <f>[3]Reserve!$D29</f>
        <v>2251878.1799999992</v>
      </c>
      <c r="L207" s="465">
        <f t="shared" si="52"/>
        <v>0.10349999999999999</v>
      </c>
      <c r="M207" s="465">
        <f t="shared" si="53"/>
        <v>0.5025136071712456</v>
      </c>
      <c r="N207" s="428">
        <f t="shared" si="51"/>
        <v>117120.54070919898</v>
      </c>
      <c r="P207" s="660"/>
      <c r="S207" s="465"/>
      <c r="T207" s="465"/>
    </row>
    <row r="208" spans="1:20" ht="15" customHeight="1">
      <c r="A208" s="858">
        <f t="shared" si="39"/>
        <v>193</v>
      </c>
      <c r="B208" s="512">
        <v>39904</v>
      </c>
      <c r="C208" s="88" t="s">
        <v>1589</v>
      </c>
      <c r="D208" s="345">
        <f>[3]Reserve!$AF30</f>
        <v>0</v>
      </c>
      <c r="E208" s="621">
        <v>0</v>
      </c>
      <c r="F208" s="428">
        <f t="shared" si="48"/>
        <v>0</v>
      </c>
      <c r="G208" s="465">
        <f t="shared" si="58"/>
        <v>0.10349999999999999</v>
      </c>
      <c r="H208" s="465">
        <f t="shared" si="59"/>
        <v>0.5025136071712456</v>
      </c>
      <c r="I208" s="428">
        <f t="shared" si="49"/>
        <v>0</v>
      </c>
      <c r="K208" s="345">
        <f>[3]Reserve!$D30</f>
        <v>0</v>
      </c>
      <c r="L208" s="465">
        <f t="shared" si="52"/>
        <v>0.10349999999999999</v>
      </c>
      <c r="M208" s="465">
        <f t="shared" si="53"/>
        <v>0.5025136071712456</v>
      </c>
      <c r="N208" s="428">
        <f t="shared" si="51"/>
        <v>0</v>
      </c>
      <c r="P208" s="660"/>
      <c r="S208" s="465"/>
      <c r="T208" s="465"/>
    </row>
    <row r="209" spans="1:20">
      <c r="A209" s="858">
        <f t="shared" si="39"/>
        <v>194</v>
      </c>
      <c r="B209" s="512">
        <v>39905</v>
      </c>
      <c r="C209" s="88" t="s">
        <v>1590</v>
      </c>
      <c r="D209" s="345">
        <f>[3]Reserve!$AF31</f>
        <v>0</v>
      </c>
      <c r="E209" s="621">
        <v>0</v>
      </c>
      <c r="F209" s="428">
        <f t="shared" si="48"/>
        <v>0</v>
      </c>
      <c r="G209" s="465">
        <f t="shared" si="58"/>
        <v>0.10349999999999999</v>
      </c>
      <c r="H209" s="465">
        <f t="shared" si="59"/>
        <v>0.5025136071712456</v>
      </c>
      <c r="I209" s="428">
        <f t="shared" si="49"/>
        <v>0</v>
      </c>
      <c r="K209" s="345">
        <f>[3]Reserve!$D31</f>
        <v>0</v>
      </c>
      <c r="L209" s="465">
        <f t="shared" si="52"/>
        <v>0.10349999999999999</v>
      </c>
      <c r="M209" s="465">
        <f t="shared" si="53"/>
        <v>0.5025136071712456</v>
      </c>
      <c r="N209" s="428">
        <f t="shared" si="51"/>
        <v>0</v>
      </c>
      <c r="P209" s="660"/>
      <c r="S209" s="465"/>
      <c r="T209" s="465"/>
    </row>
    <row r="210" spans="1:20">
      <c r="A210" s="858">
        <f t="shared" si="39"/>
        <v>195</v>
      </c>
      <c r="B210" s="706">
        <v>39906</v>
      </c>
      <c r="C210" s="88" t="s">
        <v>1574</v>
      </c>
      <c r="D210" s="345">
        <f>[3]Reserve!$AF32</f>
        <v>1065059.2760894618</v>
      </c>
      <c r="E210" s="621">
        <v>0</v>
      </c>
      <c r="F210" s="428">
        <f t="shared" si="48"/>
        <v>1065059.2760894618</v>
      </c>
      <c r="G210" s="465">
        <f t="shared" si="58"/>
        <v>0.10349999999999999</v>
      </c>
      <c r="H210" s="465">
        <f t="shared" si="59"/>
        <v>0.5025136071712456</v>
      </c>
      <c r="I210" s="428">
        <f t="shared" si="49"/>
        <v>55393.901593267285</v>
      </c>
      <c r="K210" s="345">
        <f>[3]Reserve!$D32</f>
        <v>1017107.8487541006</v>
      </c>
      <c r="L210" s="465">
        <f t="shared" si="52"/>
        <v>0.10349999999999999</v>
      </c>
      <c r="M210" s="465">
        <f t="shared" si="53"/>
        <v>0.5025136071712456</v>
      </c>
      <c r="N210" s="428">
        <f t="shared" si="51"/>
        <v>52899.94026481951</v>
      </c>
      <c r="P210" s="660"/>
      <c r="S210" s="465"/>
      <c r="T210" s="465"/>
    </row>
    <row r="211" spans="1:20">
      <c r="A211" s="858">
        <f t="shared" si="39"/>
        <v>196</v>
      </c>
      <c r="B211" s="706">
        <v>39907</v>
      </c>
      <c r="C211" s="88" t="s">
        <v>1575</v>
      </c>
      <c r="D211" s="345">
        <f>[3]Reserve!$AF33</f>
        <v>2485988.1420179773</v>
      </c>
      <c r="E211" s="621">
        <v>0</v>
      </c>
      <c r="F211" s="428">
        <f t="shared" si="48"/>
        <v>2485988.1420179773</v>
      </c>
      <c r="G211" s="465">
        <f t="shared" si="58"/>
        <v>0.10349999999999999</v>
      </c>
      <c r="H211" s="465">
        <f t="shared" si="59"/>
        <v>0.5025136071712456</v>
      </c>
      <c r="I211" s="428">
        <f t="shared" si="49"/>
        <v>129296.63690324604</v>
      </c>
      <c r="K211" s="345">
        <f>[3]Reserve!$D33</f>
        <v>2485988.1420179764</v>
      </c>
      <c r="L211" s="465">
        <f t="shared" si="52"/>
        <v>0.10349999999999999</v>
      </c>
      <c r="M211" s="465">
        <f t="shared" si="53"/>
        <v>0.5025136071712456</v>
      </c>
      <c r="N211" s="428">
        <f t="shared" si="51"/>
        <v>129296.63690324598</v>
      </c>
      <c r="P211" s="660"/>
      <c r="S211" s="465"/>
      <c r="T211" s="465"/>
    </row>
    <row r="212" spans="1:20">
      <c r="A212" s="858">
        <f t="shared" si="39"/>
        <v>197</v>
      </c>
      <c r="B212" s="706">
        <v>39908</v>
      </c>
      <c r="C212" s="88" t="s">
        <v>1576</v>
      </c>
      <c r="D212" s="345">
        <f>[3]Reserve!$AF34</f>
        <v>29232699.673757985</v>
      </c>
      <c r="E212" s="621">
        <v>0</v>
      </c>
      <c r="F212" s="428">
        <f t="shared" si="48"/>
        <v>29232699.673757985</v>
      </c>
      <c r="G212" s="465">
        <f t="shared" si="58"/>
        <v>0.10349999999999999</v>
      </c>
      <c r="H212" s="465">
        <f t="shared" si="59"/>
        <v>0.5025136071712456</v>
      </c>
      <c r="I212" s="428">
        <f t="shared" si="49"/>
        <v>1520397.3388028303</v>
      </c>
      <c r="K212" s="345">
        <f>[3]Reserve!$D34</f>
        <v>29230839.146969978</v>
      </c>
      <c r="L212" s="465">
        <f t="shared" si="52"/>
        <v>0.10349999999999999</v>
      </c>
      <c r="M212" s="465">
        <f t="shared" si="53"/>
        <v>0.5025136071712456</v>
      </c>
      <c r="N212" s="428">
        <f t="shared" si="51"/>
        <v>1520300.5725099859</v>
      </c>
      <c r="P212" s="660"/>
      <c r="S212" s="465"/>
      <c r="T212" s="465"/>
    </row>
    <row r="213" spans="1:20">
      <c r="A213" s="858">
        <f t="shared" si="39"/>
        <v>198</v>
      </c>
      <c r="B213" s="706">
        <v>39909</v>
      </c>
      <c r="C213" s="88" t="s">
        <v>1591</v>
      </c>
      <c r="D213" s="345">
        <f>[3]Reserve!$AF35</f>
        <v>42121.860000000015</v>
      </c>
      <c r="E213" s="621">
        <v>0</v>
      </c>
      <c r="F213" s="428">
        <f t="shared" si="48"/>
        <v>42121.860000000015</v>
      </c>
      <c r="G213" s="465">
        <f t="shared" si="58"/>
        <v>0.10349999999999999</v>
      </c>
      <c r="H213" s="465">
        <f t="shared" si="59"/>
        <v>0.5025136071712456</v>
      </c>
      <c r="I213" s="428">
        <f t="shared" si="49"/>
        <v>2190.7646082689889</v>
      </c>
      <c r="K213" s="345">
        <f>[3]Reserve!$D35</f>
        <v>42121.86</v>
      </c>
      <c r="L213" s="465">
        <f t="shared" si="52"/>
        <v>0.10349999999999999</v>
      </c>
      <c r="M213" s="465">
        <f t="shared" si="53"/>
        <v>0.5025136071712456</v>
      </c>
      <c r="N213" s="428">
        <f t="shared" si="51"/>
        <v>2190.764608268988</v>
      </c>
      <c r="P213" s="660"/>
      <c r="S213" s="465"/>
      <c r="T213" s="465"/>
    </row>
    <row r="214" spans="1:20">
      <c r="A214" s="858">
        <f t="shared" si="39"/>
        <v>199</v>
      </c>
      <c r="B214" s="706">
        <v>39921</v>
      </c>
      <c r="C214" s="88" t="s">
        <v>1540</v>
      </c>
      <c r="D214" s="345">
        <f>[3]Reserve!$AF36</f>
        <v>1142766.3461630014</v>
      </c>
      <c r="E214" s="621">
        <v>0</v>
      </c>
      <c r="F214" s="428">
        <f t="shared" si="48"/>
        <v>1142766.3461630014</v>
      </c>
      <c r="G214" s="465">
        <v>1</v>
      </c>
      <c r="H214" s="465">
        <f>Allocation!$E$22</f>
        <v>6.437198999999999E-2</v>
      </c>
      <c r="I214" s="428">
        <f t="shared" si="49"/>
        <v>73562.143807541259</v>
      </c>
      <c r="K214" s="345">
        <f>[3]Reserve!$D36</f>
        <v>1109170.4615450008</v>
      </c>
      <c r="L214" s="465">
        <f t="shared" ref="L214:L223" si="60">G214</f>
        <v>1</v>
      </c>
      <c r="M214" s="465">
        <f t="shared" ref="M214:M223" si="61">H214</f>
        <v>6.437198999999999E-2</v>
      </c>
      <c r="N214" s="428">
        <f t="shared" si="51"/>
        <v>71399.509858870166</v>
      </c>
      <c r="P214" s="660"/>
      <c r="S214" s="465"/>
      <c r="T214" s="465"/>
    </row>
    <row r="215" spans="1:20">
      <c r="A215" s="858">
        <f t="shared" si="39"/>
        <v>200</v>
      </c>
      <c r="B215" s="706">
        <v>39922</v>
      </c>
      <c r="C215" s="88" t="s">
        <v>1541</v>
      </c>
      <c r="D215" s="345">
        <f>[3]Reserve!$AF37</f>
        <v>405152.1328569997</v>
      </c>
      <c r="E215" s="621">
        <v>0</v>
      </c>
      <c r="F215" s="428">
        <f t="shared" si="48"/>
        <v>405152.1328569997</v>
      </c>
      <c r="G215" s="465">
        <v>1</v>
      </c>
      <c r="H215" s="465">
        <f>Allocation!$E$22</f>
        <v>6.437198999999999E-2</v>
      </c>
      <c r="I215" s="428">
        <f t="shared" si="49"/>
        <v>26080.449044749454</v>
      </c>
      <c r="K215" s="345">
        <f>[3]Reserve!$D37</f>
        <v>400371.59775499988</v>
      </c>
      <c r="L215" s="465">
        <f t="shared" si="60"/>
        <v>1</v>
      </c>
      <c r="M215" s="465">
        <f t="shared" si="61"/>
        <v>6.437198999999999E-2</v>
      </c>
      <c r="N215" s="428">
        <f t="shared" si="51"/>
        <v>25772.716486968871</v>
      </c>
      <c r="P215" s="660"/>
      <c r="S215" s="465"/>
      <c r="T215" s="465"/>
    </row>
    <row r="216" spans="1:20">
      <c r="A216" s="858">
        <f t="shared" si="39"/>
        <v>201</v>
      </c>
      <c r="B216" s="706">
        <v>39923</v>
      </c>
      <c r="C216" s="88" t="s">
        <v>1542</v>
      </c>
      <c r="D216" s="345">
        <f>[3]Reserve!$AF38</f>
        <v>39028.929999999978</v>
      </c>
      <c r="E216" s="621">
        <v>0</v>
      </c>
      <c r="F216" s="428">
        <f t="shared" si="48"/>
        <v>39028.929999999978</v>
      </c>
      <c r="G216" s="465">
        <v>1</v>
      </c>
      <c r="H216" s="465">
        <f>Allocation!$E$22</f>
        <v>6.437198999999999E-2</v>
      </c>
      <c r="I216" s="428">
        <f t="shared" si="49"/>
        <v>2512.3698916706981</v>
      </c>
      <c r="K216" s="345">
        <f>[3]Reserve!$D38</f>
        <v>39028.929999999986</v>
      </c>
      <c r="L216" s="465">
        <f t="shared" si="60"/>
        <v>1</v>
      </c>
      <c r="M216" s="465">
        <f t="shared" si="61"/>
        <v>6.437198999999999E-2</v>
      </c>
      <c r="N216" s="428">
        <f t="shared" si="51"/>
        <v>2512.3698916706985</v>
      </c>
      <c r="P216" s="660"/>
      <c r="S216" s="465"/>
      <c r="T216" s="465"/>
    </row>
    <row r="217" spans="1:20">
      <c r="A217" s="858">
        <f t="shared" si="39"/>
        <v>202</v>
      </c>
      <c r="B217" s="706">
        <v>39924</v>
      </c>
      <c r="C217" s="88" t="s">
        <v>1411</v>
      </c>
      <c r="D217" s="345">
        <f>[3]Reserve!$AF39</f>
        <v>0</v>
      </c>
      <c r="E217" s="621">
        <v>0</v>
      </c>
      <c r="F217" s="428">
        <f t="shared" si="48"/>
        <v>0</v>
      </c>
      <c r="G217" s="465">
        <f t="shared" si="58"/>
        <v>0.10349999999999999</v>
      </c>
      <c r="H217" s="465">
        <f t="shared" si="59"/>
        <v>0.5025136071712456</v>
      </c>
      <c r="I217" s="428">
        <f t="shared" si="49"/>
        <v>0</v>
      </c>
      <c r="K217" s="345">
        <f>[3]Reserve!$D39</f>
        <v>0</v>
      </c>
      <c r="L217" s="465">
        <f t="shared" si="60"/>
        <v>0.10349999999999999</v>
      </c>
      <c r="M217" s="465">
        <f t="shared" si="61"/>
        <v>0.5025136071712456</v>
      </c>
      <c r="N217" s="428">
        <f t="shared" si="51"/>
        <v>0</v>
      </c>
      <c r="P217" s="660"/>
      <c r="S217" s="465"/>
      <c r="T217" s="465"/>
    </row>
    <row r="218" spans="1:20">
      <c r="A218" s="858">
        <f t="shared" si="39"/>
        <v>203</v>
      </c>
      <c r="B218" s="706">
        <v>39926</v>
      </c>
      <c r="C218" s="88" t="s">
        <v>1551</v>
      </c>
      <c r="D218" s="345">
        <f>[3]Reserve!$AF40</f>
        <v>488022.76766599994</v>
      </c>
      <c r="E218" s="621">
        <v>0</v>
      </c>
      <c r="F218" s="428">
        <f t="shared" si="48"/>
        <v>488022.76766599994</v>
      </c>
      <c r="G218" s="465">
        <v>1</v>
      </c>
      <c r="H218" s="465">
        <f>Allocation!$E$22</f>
        <v>6.437198999999999E-2</v>
      </c>
      <c r="I218" s="428">
        <f t="shared" si="49"/>
        <v>31414.996719968065</v>
      </c>
      <c r="K218" s="345">
        <f>[3]Reserve!$D40</f>
        <v>488022.76766599994</v>
      </c>
      <c r="L218" s="465">
        <f t="shared" si="60"/>
        <v>1</v>
      </c>
      <c r="M218" s="465">
        <f t="shared" si="61"/>
        <v>6.437198999999999E-2</v>
      </c>
      <c r="N218" s="428">
        <f t="shared" si="51"/>
        <v>31414.996719968065</v>
      </c>
      <c r="P218" s="660"/>
      <c r="S218" s="465"/>
      <c r="T218" s="465"/>
    </row>
    <row r="219" spans="1:20">
      <c r="A219" s="858">
        <f t="shared" si="39"/>
        <v>204</v>
      </c>
      <c r="B219" s="706">
        <v>39928</v>
      </c>
      <c r="C219" s="88" t="s">
        <v>1552</v>
      </c>
      <c r="D219" s="345">
        <f>[3]Reserve!$AF41</f>
        <v>11269680.320534788</v>
      </c>
      <c r="E219" s="621">
        <v>0</v>
      </c>
      <c r="F219" s="428">
        <f t="shared" si="48"/>
        <v>11269680.320534788</v>
      </c>
      <c r="G219" s="465">
        <v>1</v>
      </c>
      <c r="H219" s="465">
        <f>Allocation!$E$22</f>
        <v>6.437198999999999E-2</v>
      </c>
      <c r="I219" s="428">
        <f t="shared" si="49"/>
        <v>725451.74889666203</v>
      </c>
      <c r="K219" s="345">
        <f>[3]Reserve!$D41</f>
        <v>11256106.523744555</v>
      </c>
      <c r="L219" s="465">
        <f t="shared" si="60"/>
        <v>1</v>
      </c>
      <c r="M219" s="465">
        <f t="shared" si="61"/>
        <v>6.437198999999999E-2</v>
      </c>
      <c r="N219" s="428">
        <f t="shared" si="51"/>
        <v>724577.97658541915</v>
      </c>
      <c r="P219" s="660"/>
      <c r="S219" s="465"/>
      <c r="T219" s="465"/>
    </row>
    <row r="220" spans="1:20">
      <c r="A220" s="858">
        <f t="shared" si="39"/>
        <v>205</v>
      </c>
      <c r="B220" s="706">
        <v>39931</v>
      </c>
      <c r="C220" s="88" t="s">
        <v>1553</v>
      </c>
      <c r="D220" s="345">
        <f>[3]Reserve!$AF42</f>
        <v>66078.371264057118</v>
      </c>
      <c r="E220" s="621">
        <v>0</v>
      </c>
      <c r="F220" s="428">
        <f t="shared" si="48"/>
        <v>66078.371264057118</v>
      </c>
      <c r="G220" s="465">
        <v>1</v>
      </c>
      <c r="H220" s="465">
        <f>Allocation!$E$23</f>
        <v>0</v>
      </c>
      <c r="I220" s="428">
        <f t="shared" si="49"/>
        <v>0</v>
      </c>
      <c r="K220" s="345">
        <f>[3]Reserve!$D42</f>
        <v>54530.786236113403</v>
      </c>
      <c r="L220" s="465">
        <f t="shared" si="60"/>
        <v>1</v>
      </c>
      <c r="M220" s="465">
        <f t="shared" si="61"/>
        <v>0</v>
      </c>
      <c r="N220" s="428">
        <f t="shared" si="51"/>
        <v>0</v>
      </c>
      <c r="P220" s="660"/>
      <c r="S220" s="465"/>
      <c r="T220" s="465"/>
    </row>
    <row r="221" spans="1:20">
      <c r="A221" s="858">
        <f t="shared" si="39"/>
        <v>206</v>
      </c>
      <c r="B221" s="706">
        <v>39932</v>
      </c>
      <c r="C221" s="88" t="s">
        <v>1554</v>
      </c>
      <c r="D221" s="345">
        <f>[3]Reserve!$AF43</f>
        <v>18754.52</v>
      </c>
      <c r="E221" s="621">
        <v>0</v>
      </c>
      <c r="F221" s="428">
        <f t="shared" si="48"/>
        <v>18754.52</v>
      </c>
      <c r="G221" s="465">
        <v>1</v>
      </c>
      <c r="H221" s="465">
        <f>Allocation!$E$23</f>
        <v>0</v>
      </c>
      <c r="I221" s="428">
        <f t="shared" si="49"/>
        <v>0</v>
      </c>
      <c r="K221" s="345">
        <f>[3]Reserve!$D43</f>
        <v>18754.519999999997</v>
      </c>
      <c r="L221" s="465">
        <f t="shared" si="60"/>
        <v>1</v>
      </c>
      <c r="M221" s="465">
        <f t="shared" si="61"/>
        <v>0</v>
      </c>
      <c r="N221" s="428">
        <f t="shared" si="51"/>
        <v>0</v>
      </c>
      <c r="P221" s="660"/>
      <c r="S221" s="465"/>
      <c r="T221" s="465"/>
    </row>
    <row r="222" spans="1:20">
      <c r="A222" s="858">
        <f t="shared" si="39"/>
        <v>207</v>
      </c>
      <c r="B222" s="706">
        <v>39938</v>
      </c>
      <c r="C222" s="88" t="s">
        <v>1555</v>
      </c>
      <c r="D222" s="345">
        <f>[3]Reserve!$AF44</f>
        <v>2305883.5299999998</v>
      </c>
      <c r="E222" s="621">
        <v>0</v>
      </c>
      <c r="F222" s="428">
        <f t="shared" ref="F222" si="62">D222+E222</f>
        <v>2305883.5299999998</v>
      </c>
      <c r="G222" s="465">
        <v>1</v>
      </c>
      <c r="H222" s="465">
        <f>Allocation!$E$23</f>
        <v>0</v>
      </c>
      <c r="I222" s="428">
        <f t="shared" ref="I222" si="63">F222*G222*H222</f>
        <v>0</v>
      </c>
      <c r="K222" s="345">
        <f>[3]Reserve!$D44</f>
        <v>2305883.5300000003</v>
      </c>
      <c r="L222" s="465">
        <f t="shared" si="60"/>
        <v>1</v>
      </c>
      <c r="M222" s="465">
        <f t="shared" si="61"/>
        <v>0</v>
      </c>
      <c r="N222" s="428">
        <f t="shared" ref="N222" si="64">K222*L222*M222</f>
        <v>0</v>
      </c>
      <c r="P222" s="660"/>
      <c r="S222" s="465"/>
      <c r="T222" s="465"/>
    </row>
    <row r="223" spans="1:20">
      <c r="A223" s="858">
        <f t="shared" si="39"/>
        <v>208</v>
      </c>
      <c r="B223" s="706"/>
      <c r="C223" s="88" t="s">
        <v>1153</v>
      </c>
      <c r="D223" s="345">
        <f>[3]Reserve!$AF45</f>
        <v>0</v>
      </c>
      <c r="E223" s="1066">
        <v>0</v>
      </c>
      <c r="F223" s="380">
        <f t="shared" si="48"/>
        <v>0</v>
      </c>
      <c r="G223" s="421">
        <f t="shared" si="58"/>
        <v>0.10349999999999999</v>
      </c>
      <c r="H223" s="421">
        <f t="shared" si="59"/>
        <v>0.5025136071712456</v>
      </c>
      <c r="I223" s="1049">
        <f t="shared" si="49"/>
        <v>0</v>
      </c>
      <c r="K223" s="345">
        <f>[3]Reserve!$D45</f>
        <v>0</v>
      </c>
      <c r="L223" s="465">
        <f t="shared" si="60"/>
        <v>0.10349999999999999</v>
      </c>
      <c r="M223" s="465">
        <f t="shared" si="61"/>
        <v>0.5025136071712456</v>
      </c>
      <c r="N223" s="1049">
        <f t="shared" si="51"/>
        <v>0</v>
      </c>
      <c r="P223" s="660"/>
      <c r="S223" s="465"/>
      <c r="T223" s="465"/>
    </row>
    <row r="224" spans="1:20">
      <c r="A224" s="858">
        <f t="shared" si="39"/>
        <v>209</v>
      </c>
      <c r="B224" s="389"/>
      <c r="C224" s="88"/>
      <c r="D224" s="1068"/>
      <c r="E224" s="1068"/>
      <c r="F224" s="1068"/>
    </row>
    <row r="225" spans="1:20" ht="15.75" thickBot="1">
      <c r="A225" s="858">
        <f t="shared" si="39"/>
        <v>210</v>
      </c>
      <c r="B225" s="389"/>
      <c r="C225" s="232" t="s">
        <v>1343</v>
      </c>
      <c r="D225" s="328">
        <f>SUM(D185:D223)</f>
        <v>106312468.59453219</v>
      </c>
      <c r="E225" s="328">
        <f>SUM(E185:E223)</f>
        <v>0</v>
      </c>
      <c r="F225" s="328">
        <f>SUM(F185:F223)</f>
        <v>102828605.0513967</v>
      </c>
      <c r="I225" s="328">
        <f>SUM(I185:I223)</f>
        <v>5251174.9783967929</v>
      </c>
      <c r="K225" s="328">
        <f>SUM(K185:K223)</f>
        <v>104694574.20532212</v>
      </c>
      <c r="N225" s="328">
        <f>SUM(N185:N223)</f>
        <v>5178573.7494217707</v>
      </c>
    </row>
    <row r="226" spans="1:20" ht="15.75" thickTop="1">
      <c r="A226" s="858">
        <f t="shared" si="39"/>
        <v>211</v>
      </c>
      <c r="B226" s="1045"/>
      <c r="D226" s="616"/>
    </row>
    <row r="227" spans="1:20" ht="15.75">
      <c r="A227" s="858">
        <f t="shared" si="39"/>
        <v>212</v>
      </c>
      <c r="B227" s="1050" t="s">
        <v>9</v>
      </c>
      <c r="D227" s="616"/>
    </row>
    <row r="228" spans="1:20">
      <c r="A228" s="858">
        <f t="shared" si="39"/>
        <v>213</v>
      </c>
      <c r="B228" s="1045"/>
      <c r="D228" s="616"/>
      <c r="P228" s="670"/>
    </row>
    <row r="229" spans="1:20">
      <c r="A229" s="858">
        <f t="shared" si="39"/>
        <v>214</v>
      </c>
      <c r="B229" s="389"/>
      <c r="C229" s="619" t="s">
        <v>305</v>
      </c>
      <c r="D229" s="616"/>
    </row>
    <row r="230" spans="1:20">
      <c r="A230" s="858">
        <f t="shared" si="39"/>
        <v>215</v>
      </c>
      <c r="B230" s="512">
        <v>38900</v>
      </c>
      <c r="C230" s="88" t="s">
        <v>1592</v>
      </c>
      <c r="D230" s="345">
        <f>[3]Reserve!$AF50</f>
        <v>0</v>
      </c>
      <c r="E230" s="345">
        <v>0</v>
      </c>
      <c r="F230" s="345">
        <f t="shared" ref="F230:F259" si="65">D230+E230</f>
        <v>0</v>
      </c>
      <c r="G230" s="465">
        <f>Allocation!$C$15</f>
        <v>0.10929999999999999</v>
      </c>
      <c r="H230" s="465">
        <f>Allocation!$D$15</f>
        <v>0.51883860656465508</v>
      </c>
      <c r="I230" s="345">
        <f t="shared" ref="I230:I259" si="66">F230*G230*H230</f>
        <v>0</v>
      </c>
      <c r="K230" s="345">
        <f>[3]Reserve!$D50</f>
        <v>0</v>
      </c>
      <c r="L230" s="323">
        <f>G230</f>
        <v>0.10929999999999999</v>
      </c>
      <c r="M230" s="323">
        <f>H230</f>
        <v>0.51883860656465508</v>
      </c>
      <c r="N230" s="359">
        <f>K230*L230*M230</f>
        <v>0</v>
      </c>
      <c r="P230" s="660"/>
      <c r="S230" s="465"/>
      <c r="T230" s="465"/>
    </row>
    <row r="231" spans="1:20">
      <c r="A231" s="858">
        <f t="shared" si="39"/>
        <v>216</v>
      </c>
      <c r="B231" s="512">
        <v>38910</v>
      </c>
      <c r="C231" s="88" t="s">
        <v>1593</v>
      </c>
      <c r="D231" s="345">
        <f>[3]Reserve!$AF51</f>
        <v>0</v>
      </c>
      <c r="E231" s="428">
        <v>0</v>
      </c>
      <c r="F231" s="428">
        <f t="shared" si="65"/>
        <v>0</v>
      </c>
      <c r="G231" s="465">
        <v>1</v>
      </c>
      <c r="H231" s="465">
        <f>Allocation!$E$21</f>
        <v>2.3324339999999999E-2</v>
      </c>
      <c r="I231" s="428">
        <f t="shared" si="66"/>
        <v>0</v>
      </c>
      <c r="K231" s="345">
        <f>[3]Reserve!$D51</f>
        <v>0</v>
      </c>
      <c r="L231" s="323">
        <f t="shared" ref="L231:L259" si="67">G231</f>
        <v>1</v>
      </c>
      <c r="M231" s="323">
        <f t="shared" ref="M231:M259" si="68">H231</f>
        <v>2.3324339999999999E-2</v>
      </c>
      <c r="N231" s="616">
        <f t="shared" ref="N231:N259" si="69">K231*L231*M231</f>
        <v>0</v>
      </c>
      <c r="P231" s="660"/>
      <c r="S231" s="465"/>
      <c r="T231" s="465"/>
    </row>
    <row r="232" spans="1:20">
      <c r="A232" s="858">
        <f t="shared" si="39"/>
        <v>217</v>
      </c>
      <c r="B232" s="512">
        <v>39000</v>
      </c>
      <c r="C232" s="88" t="s">
        <v>1558</v>
      </c>
      <c r="D232" s="345">
        <f>[3]Reserve!$AF52</f>
        <v>2084561.2525705013</v>
      </c>
      <c r="E232" s="428">
        <v>0</v>
      </c>
      <c r="F232" s="428">
        <f t="shared" si="65"/>
        <v>2084561.2525705013</v>
      </c>
      <c r="G232" s="465">
        <f>Allocation!$C$15</f>
        <v>0.10929999999999999</v>
      </c>
      <c r="H232" s="465">
        <f>Allocation!$D$15</f>
        <v>0.51883860656465508</v>
      </c>
      <c r="I232" s="428">
        <f t="shared" si="66"/>
        <v>118213.50851515096</v>
      </c>
      <c r="K232" s="345">
        <f>[3]Reserve!$D52</f>
        <v>1894620.2404075009</v>
      </c>
      <c r="L232" s="323">
        <f t="shared" si="67"/>
        <v>0.10929999999999999</v>
      </c>
      <c r="M232" s="323">
        <f t="shared" si="68"/>
        <v>0.51883860656465508</v>
      </c>
      <c r="N232" s="616">
        <f t="shared" si="69"/>
        <v>107442.13231739259</v>
      </c>
      <c r="P232" s="660"/>
      <c r="S232" s="465"/>
      <c r="T232" s="465"/>
    </row>
    <row r="233" spans="1:20">
      <c r="A233" s="858">
        <f t="shared" si="39"/>
        <v>218</v>
      </c>
      <c r="B233" s="512">
        <v>39009</v>
      </c>
      <c r="C233" s="88" t="s">
        <v>1562</v>
      </c>
      <c r="D233" s="345">
        <f>[3]Reserve!$AF53</f>
        <v>1705841.7356562498</v>
      </c>
      <c r="E233" s="428">
        <v>0</v>
      </c>
      <c r="F233" s="428">
        <f t="shared" si="65"/>
        <v>1705841.7356562498</v>
      </c>
      <c r="G233" s="465">
        <f>Allocation!$C$15</f>
        <v>0.10929999999999999</v>
      </c>
      <c r="H233" s="465">
        <f>Allocation!$D$15</f>
        <v>0.51883860656465508</v>
      </c>
      <c r="I233" s="428">
        <f t="shared" si="66"/>
        <v>96736.680821845948</v>
      </c>
      <c r="K233" s="345">
        <f>[3]Reserve!$D53</f>
        <v>1660006.7654687499</v>
      </c>
      <c r="L233" s="323">
        <f t="shared" si="67"/>
        <v>0.10929999999999999</v>
      </c>
      <c r="M233" s="323">
        <f t="shared" si="68"/>
        <v>0.51883860656465508</v>
      </c>
      <c r="N233" s="616">
        <f t="shared" si="69"/>
        <v>94137.422761249109</v>
      </c>
      <c r="P233" s="660"/>
      <c r="S233" s="465"/>
      <c r="T233" s="465"/>
    </row>
    <row r="234" spans="1:20">
      <c r="A234" s="858">
        <f t="shared" ref="A234:A247" si="70">A233+1</f>
        <v>219</v>
      </c>
      <c r="B234" s="512">
        <v>39010</v>
      </c>
      <c r="C234" s="88" t="s">
        <v>1594</v>
      </c>
      <c r="D234" s="345">
        <f>[3]Reserve!$AF54</f>
        <v>3318656.1903542946</v>
      </c>
      <c r="E234" s="428">
        <v>0</v>
      </c>
      <c r="F234" s="428">
        <f t="shared" si="65"/>
        <v>3318656.1903542946</v>
      </c>
      <c r="G234" s="465">
        <v>1</v>
      </c>
      <c r="H234" s="465">
        <f>Allocation!$E$21</f>
        <v>2.3324339999999999E-2</v>
      </c>
      <c r="I234" s="428">
        <f t="shared" si="66"/>
        <v>77405.465326928286</v>
      </c>
      <c r="K234" s="345">
        <f>[3]Reserve!$D54</f>
        <v>2982734.9956626217</v>
      </c>
      <c r="L234" s="323">
        <f t="shared" si="67"/>
        <v>1</v>
      </c>
      <c r="M234" s="323">
        <f t="shared" si="68"/>
        <v>2.3324339999999999E-2</v>
      </c>
      <c r="N234" s="616">
        <f t="shared" si="69"/>
        <v>69570.325168733514</v>
      </c>
      <c r="P234" s="660"/>
      <c r="S234" s="465"/>
      <c r="T234" s="465"/>
    </row>
    <row r="235" spans="1:20">
      <c r="A235" s="858">
        <f t="shared" si="70"/>
        <v>220</v>
      </c>
      <c r="B235" s="512">
        <v>39100</v>
      </c>
      <c r="C235" s="88" t="s">
        <v>1563</v>
      </c>
      <c r="D235" s="345">
        <f>[3]Reserve!$AF55</f>
        <v>896441.80512681208</v>
      </c>
      <c r="E235" s="428">
        <v>0</v>
      </c>
      <c r="F235" s="428">
        <f t="shared" si="65"/>
        <v>896441.80512681208</v>
      </c>
      <c r="G235" s="465">
        <f>Allocation!$C$15</f>
        <v>0.10929999999999999</v>
      </c>
      <c r="H235" s="465">
        <f>Allocation!$D$15</f>
        <v>0.51883860656465508</v>
      </c>
      <c r="I235" s="428">
        <f t="shared" si="66"/>
        <v>50836.371842286106</v>
      </c>
      <c r="K235" s="345">
        <f>[3]Reserve!$D55</f>
        <v>847930.27916942246</v>
      </c>
      <c r="L235" s="323">
        <f t="shared" si="67"/>
        <v>0.10929999999999999</v>
      </c>
      <c r="M235" s="323">
        <f t="shared" si="68"/>
        <v>0.51883860656465508</v>
      </c>
      <c r="N235" s="616">
        <f t="shared" si="69"/>
        <v>48085.328820750867</v>
      </c>
      <c r="P235" s="660"/>
      <c r="S235" s="465"/>
      <c r="T235" s="465"/>
    </row>
    <row r="236" spans="1:20">
      <c r="A236" s="858">
        <f t="shared" si="70"/>
        <v>221</v>
      </c>
      <c r="B236" s="512">
        <v>39101</v>
      </c>
      <c r="C236" s="88" t="s">
        <v>1533</v>
      </c>
      <c r="D236" s="345">
        <f>[3]Reserve!$AF56</f>
        <v>0</v>
      </c>
      <c r="E236" s="428">
        <v>0</v>
      </c>
      <c r="F236" s="428">
        <f t="shared" si="65"/>
        <v>0</v>
      </c>
      <c r="G236" s="465">
        <f>Allocation!$C$15</f>
        <v>0.10929999999999999</v>
      </c>
      <c r="H236" s="465">
        <f>Allocation!$D$15</f>
        <v>0.51883860656465508</v>
      </c>
      <c r="I236" s="428">
        <f t="shared" si="66"/>
        <v>0</v>
      </c>
      <c r="K236" s="345">
        <f>[3]Reserve!$D56</f>
        <v>0</v>
      </c>
      <c r="L236" s="323">
        <f t="shared" si="67"/>
        <v>0.10929999999999999</v>
      </c>
      <c r="M236" s="323">
        <f t="shared" si="68"/>
        <v>0.51883860656465508</v>
      </c>
      <c r="N236" s="616">
        <f t="shared" si="69"/>
        <v>0</v>
      </c>
      <c r="P236" s="660"/>
      <c r="S236" s="465"/>
      <c r="T236" s="465"/>
    </row>
    <row r="237" spans="1:20">
      <c r="A237" s="858">
        <f t="shared" si="70"/>
        <v>222</v>
      </c>
      <c r="B237" s="512">
        <v>39102</v>
      </c>
      <c r="C237" s="88" t="s">
        <v>1543</v>
      </c>
      <c r="D237" s="345">
        <f>[3]Reserve!$AF57</f>
        <v>0</v>
      </c>
      <c r="E237" s="428">
        <v>0</v>
      </c>
      <c r="F237" s="428">
        <f t="shared" si="65"/>
        <v>0</v>
      </c>
      <c r="G237" s="465">
        <f>Allocation!$C$15</f>
        <v>0.10929999999999999</v>
      </c>
      <c r="H237" s="465">
        <f>Allocation!$D$15</f>
        <v>0.51883860656465508</v>
      </c>
      <c r="I237" s="428">
        <f t="shared" si="66"/>
        <v>0</v>
      </c>
      <c r="K237" s="345">
        <f>[3]Reserve!$D57</f>
        <v>0</v>
      </c>
      <c r="L237" s="323">
        <f t="shared" si="67"/>
        <v>0.10929999999999999</v>
      </c>
      <c r="M237" s="323">
        <f t="shared" si="68"/>
        <v>0.51883860656465508</v>
      </c>
      <c r="N237" s="616">
        <f t="shared" si="69"/>
        <v>0</v>
      </c>
      <c r="P237" s="660"/>
      <c r="S237" s="465"/>
      <c r="T237" s="465"/>
    </row>
    <row r="238" spans="1:20">
      <c r="A238" s="858">
        <f t="shared" si="70"/>
        <v>223</v>
      </c>
      <c r="B238" s="512">
        <v>39103</v>
      </c>
      <c r="C238" s="88" t="s">
        <v>1341</v>
      </c>
      <c r="D238" s="345">
        <f>[3]Reserve!$AF58</f>
        <v>0</v>
      </c>
      <c r="E238" s="428">
        <v>0</v>
      </c>
      <c r="F238" s="428">
        <f t="shared" si="65"/>
        <v>0</v>
      </c>
      <c r="G238" s="465">
        <f>Allocation!$C$15</f>
        <v>0.10929999999999999</v>
      </c>
      <c r="H238" s="465">
        <f>Allocation!$D$15</f>
        <v>0.51883860656465508</v>
      </c>
      <c r="I238" s="428">
        <f t="shared" si="66"/>
        <v>0</v>
      </c>
      <c r="K238" s="345">
        <f>[3]Reserve!$D58</f>
        <v>0</v>
      </c>
      <c r="L238" s="323">
        <f t="shared" si="67"/>
        <v>0.10929999999999999</v>
      </c>
      <c r="M238" s="323">
        <f t="shared" si="68"/>
        <v>0.51883860656465508</v>
      </c>
      <c r="N238" s="616">
        <f t="shared" si="69"/>
        <v>0</v>
      </c>
      <c r="P238" s="660"/>
      <c r="S238" s="465"/>
      <c r="T238" s="465"/>
    </row>
    <row r="239" spans="1:20">
      <c r="A239" s="858">
        <f t="shared" si="70"/>
        <v>224</v>
      </c>
      <c r="B239" s="512">
        <v>39110</v>
      </c>
      <c r="C239" s="88" t="s">
        <v>1544</v>
      </c>
      <c r="D239" s="345">
        <f>[3]Reserve!$AF59</f>
        <v>127815.03619517521</v>
      </c>
      <c r="E239" s="428">
        <v>0</v>
      </c>
      <c r="F239" s="428">
        <f t="shared" si="65"/>
        <v>127815.03619517521</v>
      </c>
      <c r="G239" s="465">
        <v>1</v>
      </c>
      <c r="H239" s="465">
        <f>Allocation!$E$21</f>
        <v>2.3324339999999999E-2</v>
      </c>
      <c r="I239" s="428">
        <f t="shared" si="66"/>
        <v>2981.2013613285731</v>
      </c>
      <c r="K239" s="345">
        <f>[3]Reserve!$D59</f>
        <v>82371.93243963398</v>
      </c>
      <c r="L239" s="323">
        <f t="shared" si="67"/>
        <v>1</v>
      </c>
      <c r="M239" s="323">
        <f t="shared" si="68"/>
        <v>2.3324339999999999E-2</v>
      </c>
      <c r="N239" s="616">
        <f t="shared" si="69"/>
        <v>1921.2709586790522</v>
      </c>
      <c r="P239" s="660"/>
      <c r="S239" s="465"/>
      <c r="T239" s="465"/>
    </row>
    <row r="240" spans="1:20">
      <c r="A240" s="858">
        <f t="shared" si="70"/>
        <v>225</v>
      </c>
      <c r="B240" s="512">
        <v>39210</v>
      </c>
      <c r="C240" s="88" t="s">
        <v>1545</v>
      </c>
      <c r="D240" s="345">
        <f>[3]Reserve!$AF60</f>
        <v>96926.987319000094</v>
      </c>
      <c r="E240" s="428">
        <v>0</v>
      </c>
      <c r="F240" s="428">
        <f t="shared" si="65"/>
        <v>96926.987319000094</v>
      </c>
      <c r="G240" s="465">
        <v>1</v>
      </c>
      <c r="H240" s="465">
        <f>Allocation!$E$21</f>
        <v>2.3324339999999999E-2</v>
      </c>
      <c r="I240" s="428">
        <f t="shared" si="66"/>
        <v>2260.7580074040466</v>
      </c>
      <c r="K240" s="345">
        <f>[3]Reserve!$D60</f>
        <v>96772.552620000075</v>
      </c>
      <c r="L240" s="323">
        <f t="shared" si="67"/>
        <v>1</v>
      </c>
      <c r="M240" s="323">
        <f t="shared" si="68"/>
        <v>2.3324339999999999E-2</v>
      </c>
      <c r="N240" s="616">
        <f t="shared" si="69"/>
        <v>2257.1559199767726</v>
      </c>
      <c r="P240" s="660"/>
      <c r="S240" s="465"/>
      <c r="T240" s="465"/>
    </row>
    <row r="241" spans="1:20">
      <c r="A241" s="858">
        <f t="shared" si="70"/>
        <v>226</v>
      </c>
      <c r="B241" s="512">
        <v>39410</v>
      </c>
      <c r="C241" s="88" t="s">
        <v>1546</v>
      </c>
      <c r="D241" s="345">
        <f>[3]Reserve!$AF61</f>
        <v>136664.91988749997</v>
      </c>
      <c r="E241" s="428">
        <v>0</v>
      </c>
      <c r="F241" s="428">
        <f t="shared" si="65"/>
        <v>136664.91988749997</v>
      </c>
      <c r="G241" s="465">
        <v>1</v>
      </c>
      <c r="H241" s="465">
        <f>Allocation!$E$21</f>
        <v>2.3324339999999999E-2</v>
      </c>
      <c r="I241" s="428">
        <f t="shared" si="66"/>
        <v>3187.619057528811</v>
      </c>
      <c r="K241" s="345">
        <f>[3]Reserve!$D61</f>
        <v>122110.55706249994</v>
      </c>
      <c r="L241" s="323">
        <f t="shared" si="67"/>
        <v>1</v>
      </c>
      <c r="M241" s="323">
        <f t="shared" si="68"/>
        <v>2.3324339999999999E-2</v>
      </c>
      <c r="N241" s="616">
        <f t="shared" si="69"/>
        <v>2848.1481505151496</v>
      </c>
      <c r="P241" s="660"/>
      <c r="S241" s="465"/>
      <c r="T241" s="465"/>
    </row>
    <row r="242" spans="1:20">
      <c r="A242" s="858">
        <f t="shared" si="70"/>
        <v>227</v>
      </c>
      <c r="B242" s="512">
        <v>39510</v>
      </c>
      <c r="C242" s="88" t="s">
        <v>1547</v>
      </c>
      <c r="D242" s="345">
        <f>[3]Reserve!$AF62</f>
        <v>18123.260311250015</v>
      </c>
      <c r="E242" s="428">
        <v>0</v>
      </c>
      <c r="F242" s="428">
        <f t="shared" si="65"/>
        <v>18123.260311250015</v>
      </c>
      <c r="G242" s="465">
        <v>1</v>
      </c>
      <c r="H242" s="465">
        <f>Allocation!$E$21</f>
        <v>2.3324339999999999E-2</v>
      </c>
      <c r="I242" s="428">
        <f t="shared" si="66"/>
        <v>422.71308540810116</v>
      </c>
      <c r="K242" s="345">
        <f>[3]Reserve!$D62</f>
        <v>16935.748793750008</v>
      </c>
      <c r="L242" s="323">
        <f t="shared" si="67"/>
        <v>1</v>
      </c>
      <c r="M242" s="323">
        <f t="shared" si="68"/>
        <v>2.3324339999999999E-2</v>
      </c>
      <c r="N242" s="616">
        <f t="shared" si="69"/>
        <v>395.01516302001505</v>
      </c>
      <c r="P242" s="660"/>
      <c r="S242" s="465"/>
      <c r="T242" s="465"/>
    </row>
    <row r="243" spans="1:20">
      <c r="A243" s="858">
        <f t="shared" si="70"/>
        <v>228</v>
      </c>
      <c r="B243" s="512">
        <v>39700</v>
      </c>
      <c r="C243" s="88" t="s">
        <v>1570</v>
      </c>
      <c r="D243" s="345">
        <f>[3]Reserve!$AF63</f>
        <v>1121209.2541362504</v>
      </c>
      <c r="E243" s="428">
        <v>0</v>
      </c>
      <c r="F243" s="428">
        <f t="shared" si="65"/>
        <v>1121209.2541362504</v>
      </c>
      <c r="G243" s="465">
        <f>Allocation!$C$15</f>
        <v>0.10929999999999999</v>
      </c>
      <c r="H243" s="465">
        <f>Allocation!$D$15</f>
        <v>0.51883860656465508</v>
      </c>
      <c r="I243" s="428">
        <f t="shared" si="66"/>
        <v>63582.722526220903</v>
      </c>
      <c r="K243" s="345">
        <f>[3]Reserve!$D63</f>
        <v>1065250.5786687499</v>
      </c>
      <c r="L243" s="323">
        <f t="shared" si="67"/>
        <v>0.10929999999999999</v>
      </c>
      <c r="M243" s="323">
        <f t="shared" si="68"/>
        <v>0.51883860656465508</v>
      </c>
      <c r="N243" s="616">
        <f t="shared" si="69"/>
        <v>60409.358658540456</v>
      </c>
      <c r="P243" s="660"/>
      <c r="S243" s="465"/>
      <c r="T243" s="465"/>
    </row>
    <row r="244" spans="1:20">
      <c r="A244" s="858">
        <f t="shared" si="70"/>
        <v>229</v>
      </c>
      <c r="B244" s="512">
        <v>39710</v>
      </c>
      <c r="C244" s="88" t="s">
        <v>1595</v>
      </c>
      <c r="D244" s="345">
        <f>[3]Reserve!$AF64</f>
        <v>166250.07369375028</v>
      </c>
      <c r="E244" s="428">
        <v>0</v>
      </c>
      <c r="F244" s="428">
        <f t="shared" si="65"/>
        <v>166250.07369375028</v>
      </c>
      <c r="G244" s="465">
        <v>1</v>
      </c>
      <c r="H244" s="465">
        <f>Allocation!$E$21</f>
        <v>2.3324339999999999E-2</v>
      </c>
      <c r="I244" s="428">
        <f t="shared" si="66"/>
        <v>3877.6732438580871</v>
      </c>
      <c r="K244" s="345">
        <f>[3]Reserve!$D64</f>
        <v>157641.22978125021</v>
      </c>
      <c r="L244" s="323">
        <f t="shared" si="67"/>
        <v>1</v>
      </c>
      <c r="M244" s="323">
        <f t="shared" si="68"/>
        <v>2.3324339999999999E-2</v>
      </c>
      <c r="N244" s="616">
        <f t="shared" si="69"/>
        <v>3676.8776414360054</v>
      </c>
      <c r="P244" s="660"/>
      <c r="S244" s="465"/>
      <c r="T244" s="465"/>
    </row>
    <row r="245" spans="1:20">
      <c r="A245" s="858">
        <f t="shared" si="70"/>
        <v>230</v>
      </c>
      <c r="B245" s="512">
        <v>39800</v>
      </c>
      <c r="C245" s="88" t="s">
        <v>1572</v>
      </c>
      <c r="D245" s="345">
        <f>[3]Reserve!$AF65</f>
        <v>16465.299724500022</v>
      </c>
      <c r="E245" s="428">
        <v>0</v>
      </c>
      <c r="F245" s="428">
        <f t="shared" si="65"/>
        <v>16465.299724500022</v>
      </c>
      <c r="G245" s="465">
        <f>Allocation!$C$15</f>
        <v>0.10929999999999999</v>
      </c>
      <c r="H245" s="465">
        <f>Allocation!$D$15</f>
        <v>0.51883860656465508</v>
      </c>
      <c r="I245" s="428">
        <f t="shared" si="66"/>
        <v>933.7316650141787</v>
      </c>
      <c r="K245" s="345">
        <f>[3]Reserve!$D65</f>
        <v>14613.385517500019</v>
      </c>
      <c r="L245" s="323">
        <f t="shared" si="67"/>
        <v>0.10929999999999999</v>
      </c>
      <c r="M245" s="323">
        <f t="shared" si="68"/>
        <v>0.51883860656465508</v>
      </c>
      <c r="N245" s="616">
        <f t="shared" si="69"/>
        <v>828.71135169473598</v>
      </c>
      <c r="P245" s="660"/>
      <c r="S245" s="465"/>
      <c r="T245" s="465"/>
    </row>
    <row r="246" spans="1:20">
      <c r="A246" s="858">
        <f t="shared" si="70"/>
        <v>231</v>
      </c>
      <c r="B246" s="706">
        <v>39810</v>
      </c>
      <c r="C246" s="88" t="s">
        <v>1548</v>
      </c>
      <c r="D246" s="345">
        <f>[3]Reserve!$AF66</f>
        <v>171515.74983875008</v>
      </c>
      <c r="E246" s="428">
        <v>0</v>
      </c>
      <c r="F246" s="428">
        <f t="shared" si="65"/>
        <v>171515.74983875008</v>
      </c>
      <c r="G246" s="465">
        <v>1</v>
      </c>
      <c r="H246" s="465">
        <f>Allocation!$E$21</f>
        <v>2.3324339999999999E-2</v>
      </c>
      <c r="I246" s="428">
        <f t="shared" si="66"/>
        <v>4000.491664593952</v>
      </c>
      <c r="K246" s="345">
        <f>[3]Reserve!$D66</f>
        <v>158045.21845625006</v>
      </c>
      <c r="L246" s="323">
        <f t="shared" si="67"/>
        <v>1</v>
      </c>
      <c r="M246" s="323">
        <f t="shared" si="68"/>
        <v>2.3324339999999999E-2</v>
      </c>
      <c r="N246" s="616">
        <f t="shared" si="69"/>
        <v>3686.3004106478515</v>
      </c>
      <c r="P246" s="660"/>
      <c r="S246" s="465"/>
      <c r="T246" s="465"/>
    </row>
    <row r="247" spans="1:20">
      <c r="A247" s="858">
        <f t="shared" si="70"/>
        <v>232</v>
      </c>
      <c r="B247" s="706">
        <v>39900</v>
      </c>
      <c r="C247" s="88" t="s">
        <v>1580</v>
      </c>
      <c r="D247" s="345">
        <f>[3]Reserve!$AF67</f>
        <v>518954.32443299971</v>
      </c>
      <c r="E247" s="428">
        <v>0</v>
      </c>
      <c r="F247" s="428">
        <f t="shared" si="65"/>
        <v>518954.32443299971</v>
      </c>
      <c r="G247" s="465">
        <f>Allocation!$C$15</f>
        <v>0.10929999999999999</v>
      </c>
      <c r="H247" s="465">
        <f>Allocation!$D$15</f>
        <v>0.51883860656465508</v>
      </c>
      <c r="I247" s="428">
        <f t="shared" si="66"/>
        <v>29429.41176455548</v>
      </c>
      <c r="K247" s="345">
        <f>[3]Reserve!$D67</f>
        <v>477869.75459499977</v>
      </c>
      <c r="L247" s="323">
        <f t="shared" si="67"/>
        <v>0.10929999999999999</v>
      </c>
      <c r="M247" s="323">
        <f t="shared" si="68"/>
        <v>0.51883860656465508</v>
      </c>
      <c r="N247" s="616">
        <f t="shared" si="69"/>
        <v>27099.544440965543</v>
      </c>
      <c r="P247" s="660"/>
      <c r="S247" s="465"/>
      <c r="T247" s="465"/>
    </row>
    <row r="248" spans="1:20">
      <c r="A248" s="858">
        <f t="shared" ref="A248:A263" si="71">A247+1</f>
        <v>233</v>
      </c>
      <c r="B248" s="706">
        <v>39901</v>
      </c>
      <c r="C248" s="88" t="s">
        <v>1581</v>
      </c>
      <c r="D248" s="345">
        <f>[3]Reserve!$AF68</f>
        <v>5465022.0681487871</v>
      </c>
      <c r="E248" s="428">
        <v>0</v>
      </c>
      <c r="F248" s="428">
        <f t="shared" si="65"/>
        <v>5465022.0681487871</v>
      </c>
      <c r="G248" s="465">
        <f>Allocation!$C$15</f>
        <v>0.10929999999999999</v>
      </c>
      <c r="H248" s="465">
        <f>Allocation!$D$15</f>
        <v>0.51883860656465508</v>
      </c>
      <c r="I248" s="428">
        <f t="shared" si="66"/>
        <v>309916.26271089632</v>
      </c>
      <c r="K248" s="345">
        <f>[3]Reserve!$D68</f>
        <v>5023620.4878982436</v>
      </c>
      <c r="L248" s="323">
        <f t="shared" si="67"/>
        <v>0.10929999999999999</v>
      </c>
      <c r="M248" s="323">
        <f t="shared" si="68"/>
        <v>0.51883860656465508</v>
      </c>
      <c r="N248" s="616">
        <f t="shared" si="69"/>
        <v>284884.79414588993</v>
      </c>
      <c r="P248" s="660"/>
      <c r="S248" s="465"/>
      <c r="T248" s="465"/>
    </row>
    <row r="249" spans="1:20">
      <c r="A249" s="858">
        <f t="shared" si="71"/>
        <v>234</v>
      </c>
      <c r="B249" s="706">
        <v>39902</v>
      </c>
      <c r="C249" s="88" t="s">
        <v>1582</v>
      </c>
      <c r="D249" s="345">
        <f>[3]Reserve!$AF69</f>
        <v>1272255.6179925005</v>
      </c>
      <c r="E249" s="428">
        <v>0</v>
      </c>
      <c r="F249" s="428">
        <f t="shared" si="65"/>
        <v>1272255.6179925005</v>
      </c>
      <c r="G249" s="465">
        <f>Allocation!$C$15</f>
        <v>0.10929999999999999</v>
      </c>
      <c r="H249" s="465">
        <f>Allocation!$D$15</f>
        <v>0.51883860656465508</v>
      </c>
      <c r="I249" s="428">
        <f t="shared" si="66"/>
        <v>72148.419791237829</v>
      </c>
      <c r="K249" s="345">
        <f>[3]Reserve!$D69</f>
        <v>1187816.0071375002</v>
      </c>
      <c r="L249" s="323">
        <f t="shared" si="67"/>
        <v>0.10929999999999999</v>
      </c>
      <c r="M249" s="323">
        <f t="shared" si="68"/>
        <v>0.51883860656465508</v>
      </c>
      <c r="N249" s="616">
        <f t="shared" si="69"/>
        <v>67359.928858426545</v>
      </c>
      <c r="P249" s="660"/>
      <c r="S249" s="465"/>
      <c r="T249" s="465"/>
    </row>
    <row r="250" spans="1:20">
      <c r="A250" s="858">
        <f t="shared" si="71"/>
        <v>235</v>
      </c>
      <c r="B250" s="706">
        <v>39903</v>
      </c>
      <c r="C250" s="88" t="s">
        <v>1573</v>
      </c>
      <c r="D250" s="345">
        <f>[3]Reserve!$AF70</f>
        <v>377508.20396650006</v>
      </c>
      <c r="E250" s="428">
        <v>0</v>
      </c>
      <c r="F250" s="428">
        <f t="shared" si="65"/>
        <v>377508.20396650006</v>
      </c>
      <c r="G250" s="465">
        <f>Allocation!$C$15</f>
        <v>0.10929999999999999</v>
      </c>
      <c r="H250" s="465">
        <f>Allocation!$D$15</f>
        <v>0.51883860656465508</v>
      </c>
      <c r="I250" s="428">
        <f t="shared" si="66"/>
        <v>21408.1352750386</v>
      </c>
      <c r="K250" s="345">
        <f>[3]Reserve!$D70</f>
        <v>355516.76854750008</v>
      </c>
      <c r="L250" s="323">
        <f t="shared" si="67"/>
        <v>0.10929999999999999</v>
      </c>
      <c r="M250" s="323">
        <f t="shared" si="68"/>
        <v>0.51883860656465508</v>
      </c>
      <c r="N250" s="616">
        <f t="shared" si="69"/>
        <v>20161.021651028444</v>
      </c>
      <c r="P250" s="660"/>
      <c r="S250" s="465"/>
      <c r="T250" s="465"/>
    </row>
    <row r="251" spans="1:20">
      <c r="A251" s="858">
        <f t="shared" si="71"/>
        <v>236</v>
      </c>
      <c r="B251" s="706">
        <v>39906</v>
      </c>
      <c r="C251" s="88" t="s">
        <v>1574</v>
      </c>
      <c r="D251" s="345">
        <f>[3]Reserve!$AF71</f>
        <v>608918.78513097845</v>
      </c>
      <c r="E251" s="428">
        <v>0</v>
      </c>
      <c r="F251" s="428">
        <f t="shared" si="65"/>
        <v>608918.78513097845</v>
      </c>
      <c r="G251" s="465">
        <f>Allocation!$C$15</f>
        <v>0.10929999999999999</v>
      </c>
      <c r="H251" s="465">
        <f>Allocation!$D$15</f>
        <v>0.51883860656465508</v>
      </c>
      <c r="I251" s="428">
        <f t="shared" si="66"/>
        <v>34531.211736932062</v>
      </c>
      <c r="K251" s="345">
        <f>[3]Reserve!$D71</f>
        <v>559761.45274984674</v>
      </c>
      <c r="L251" s="323">
        <f t="shared" si="67"/>
        <v>0.10929999999999999</v>
      </c>
      <c r="M251" s="323">
        <f t="shared" si="68"/>
        <v>0.51883860656465508</v>
      </c>
      <c r="N251" s="616">
        <f t="shared" si="69"/>
        <v>31743.545640359785</v>
      </c>
      <c r="P251" s="660"/>
      <c r="S251" s="465"/>
      <c r="T251" s="465"/>
    </row>
    <row r="252" spans="1:20">
      <c r="A252" s="858">
        <f t="shared" si="71"/>
        <v>237</v>
      </c>
      <c r="B252" s="706">
        <v>39907</v>
      </c>
      <c r="C252" s="88" t="s">
        <v>1575</v>
      </c>
      <c r="D252" s="345">
        <f>[3]Reserve!$AF72</f>
        <v>140409.59469425</v>
      </c>
      <c r="E252" s="428">
        <v>0</v>
      </c>
      <c r="F252" s="428">
        <f t="shared" si="65"/>
        <v>140409.59469425</v>
      </c>
      <c r="G252" s="465">
        <f>Allocation!$C$15</f>
        <v>0.10929999999999999</v>
      </c>
      <c r="H252" s="465">
        <f>Allocation!$D$15</f>
        <v>0.51883860656465508</v>
      </c>
      <c r="I252" s="428">
        <f t="shared" si="66"/>
        <v>7962.4960876203613</v>
      </c>
      <c r="K252" s="345">
        <f>[3]Reserve!$D72</f>
        <v>134102.90763874995</v>
      </c>
      <c r="L252" s="323">
        <f t="shared" si="67"/>
        <v>0.10929999999999999</v>
      </c>
      <c r="M252" s="323">
        <f t="shared" si="68"/>
        <v>0.51883860656465508</v>
      </c>
      <c r="N252" s="616">
        <f t="shared" si="69"/>
        <v>7604.8497948964523</v>
      </c>
      <c r="P252" s="660"/>
      <c r="S252" s="465"/>
      <c r="T252" s="465"/>
    </row>
    <row r="253" spans="1:20">
      <c r="A253" s="858">
        <f t="shared" si="71"/>
        <v>238</v>
      </c>
      <c r="B253" s="706">
        <v>39908</v>
      </c>
      <c r="C253" s="88" t="s">
        <v>1576</v>
      </c>
      <c r="D253" s="345">
        <f>[3]Reserve!$AF73</f>
        <v>33301289.810551211</v>
      </c>
      <c r="E253" s="428">
        <v>0</v>
      </c>
      <c r="F253" s="428">
        <f t="shared" si="65"/>
        <v>33301289.810551211</v>
      </c>
      <c r="G253" s="465">
        <f>Allocation!$C$15</f>
        <v>0.10929999999999999</v>
      </c>
      <c r="H253" s="465">
        <f>Allocation!$D$15</f>
        <v>0.51883860656465508</v>
      </c>
      <c r="I253" s="428">
        <f t="shared" si="66"/>
        <v>1888484.8318708565</v>
      </c>
      <c r="K253" s="345">
        <f>[3]Reserve!$D73</f>
        <v>30357682.711901881</v>
      </c>
      <c r="L253" s="323">
        <f t="shared" si="67"/>
        <v>0.10929999999999999</v>
      </c>
      <c r="M253" s="323">
        <f t="shared" si="68"/>
        <v>0.51883860656465508</v>
      </c>
      <c r="N253" s="616">
        <f t="shared" si="69"/>
        <v>1721555.6411875174</v>
      </c>
      <c r="P253" s="660"/>
      <c r="S253" s="465"/>
      <c r="T253" s="465"/>
    </row>
    <row r="254" spans="1:20">
      <c r="A254" s="858">
        <f t="shared" si="71"/>
        <v>239</v>
      </c>
      <c r="B254" s="706">
        <v>39910</v>
      </c>
      <c r="C254" s="88" t="s">
        <v>1596</v>
      </c>
      <c r="D254" s="345">
        <f>[3]Reserve!$AF74</f>
        <v>149900.89651901685</v>
      </c>
      <c r="E254" s="428">
        <v>0</v>
      </c>
      <c r="F254" s="428">
        <f t="shared" si="65"/>
        <v>149900.89651901685</v>
      </c>
      <c r="G254" s="465">
        <v>1</v>
      </c>
      <c r="H254" s="465">
        <f>Allocation!$E$21</f>
        <v>2.3324339999999999E-2</v>
      </c>
      <c r="I254" s="428">
        <f t="shared" si="66"/>
        <v>3496.3394767143654</v>
      </c>
      <c r="K254" s="345">
        <f>[3]Reserve!$D74</f>
        <v>131374.3138465721</v>
      </c>
      <c r="L254" s="323">
        <f t="shared" si="67"/>
        <v>1</v>
      </c>
      <c r="M254" s="323">
        <f t="shared" si="68"/>
        <v>2.3324339999999999E-2</v>
      </c>
      <c r="N254" s="616">
        <f t="shared" si="69"/>
        <v>3064.2191634241553</v>
      </c>
      <c r="P254" s="660"/>
      <c r="S254" s="465"/>
      <c r="T254" s="465"/>
    </row>
    <row r="255" spans="1:20">
      <c r="A255" s="858">
        <f t="shared" si="71"/>
        <v>240</v>
      </c>
      <c r="B255" s="706">
        <v>39916</v>
      </c>
      <c r="C255" s="88" t="s">
        <v>1597</v>
      </c>
      <c r="D255" s="345">
        <f>[3]Reserve!$AF75</f>
        <v>264413.83513082197</v>
      </c>
      <c r="E255" s="428">
        <v>0</v>
      </c>
      <c r="F255" s="428">
        <f t="shared" si="65"/>
        <v>264413.83513082197</v>
      </c>
      <c r="G255" s="465">
        <v>1</v>
      </c>
      <c r="H255" s="465">
        <f>Allocation!$E$21</f>
        <v>2.3324339999999999E-2</v>
      </c>
      <c r="I255" s="428">
        <f t="shared" si="66"/>
        <v>6167.278191295236</v>
      </c>
      <c r="K255" s="345">
        <f>[3]Reserve!$D75</f>
        <v>248724.98238468025</v>
      </c>
      <c r="L255" s="323">
        <f t="shared" si="67"/>
        <v>1</v>
      </c>
      <c r="M255" s="323">
        <f t="shared" si="68"/>
        <v>2.3324339999999999E-2</v>
      </c>
      <c r="N255" s="616">
        <f t="shared" si="69"/>
        <v>5801.3460556342925</v>
      </c>
      <c r="P255" s="660"/>
      <c r="S255" s="465"/>
      <c r="T255" s="465"/>
    </row>
    <row r="256" spans="1:20">
      <c r="A256" s="858">
        <f t="shared" si="71"/>
        <v>241</v>
      </c>
      <c r="B256" s="706">
        <v>39917</v>
      </c>
      <c r="C256" s="88" t="s">
        <v>1598</v>
      </c>
      <c r="D256" s="345">
        <f>[3]Reserve!$AF76</f>
        <v>79729.613985825883</v>
      </c>
      <c r="E256" s="428">
        <v>0</v>
      </c>
      <c r="F256" s="428">
        <f t="shared" si="65"/>
        <v>79729.613985825883</v>
      </c>
      <c r="G256" s="465">
        <v>1</v>
      </c>
      <c r="H256" s="465">
        <f>Allocation!$E$21</f>
        <v>2.3324339999999999E-2</v>
      </c>
      <c r="I256" s="428">
        <f t="shared" si="66"/>
        <v>1859.6406246741581</v>
      </c>
      <c r="K256" s="345">
        <f>[3]Reserve!$D76</f>
        <v>75561.588721850596</v>
      </c>
      <c r="L256" s="323">
        <f t="shared" si="67"/>
        <v>1</v>
      </c>
      <c r="M256" s="323">
        <f t="shared" si="68"/>
        <v>2.3324339999999999E-2</v>
      </c>
      <c r="N256" s="616">
        <f t="shared" si="69"/>
        <v>1762.4241862886086</v>
      </c>
      <c r="P256" s="660"/>
      <c r="S256" s="465"/>
      <c r="T256" s="465"/>
    </row>
    <row r="257" spans="1:20">
      <c r="A257" s="858">
        <f t="shared" si="71"/>
        <v>242</v>
      </c>
      <c r="B257" s="706">
        <v>39918</v>
      </c>
      <c r="C257" s="88" t="s">
        <v>1549</v>
      </c>
      <c r="D257" s="345">
        <f>[3]Reserve!$AF77</f>
        <v>11374.814256000012</v>
      </c>
      <c r="E257" s="428">
        <v>0</v>
      </c>
      <c r="F257" s="428">
        <f t="shared" si="65"/>
        <v>11374.814256000012</v>
      </c>
      <c r="G257" s="465">
        <v>1</v>
      </c>
      <c r="H257" s="465">
        <f>Allocation!$E$21</f>
        <v>2.3324339999999999E-2</v>
      </c>
      <c r="I257" s="428">
        <f t="shared" si="66"/>
        <v>265.31003514379131</v>
      </c>
      <c r="K257" s="345">
        <f>[3]Reserve!$D77</f>
        <v>10704.55304000001</v>
      </c>
      <c r="L257" s="323">
        <f t="shared" si="67"/>
        <v>1</v>
      </c>
      <c r="M257" s="323">
        <f t="shared" si="68"/>
        <v>2.3324339999999999E-2</v>
      </c>
      <c r="N257" s="616">
        <f t="shared" si="69"/>
        <v>249.67663465299381</v>
      </c>
      <c r="P257" s="660"/>
      <c r="S257" s="465"/>
      <c r="T257" s="465"/>
    </row>
    <row r="258" spans="1:20">
      <c r="A258" s="858">
        <f t="shared" si="71"/>
        <v>243</v>
      </c>
      <c r="B258" s="706">
        <v>39924</v>
      </c>
      <c r="C258" s="88" t="s">
        <v>1550</v>
      </c>
      <c r="D258" s="345">
        <f>[3]Reserve!$AF78</f>
        <v>0</v>
      </c>
      <c r="E258" s="428">
        <v>0</v>
      </c>
      <c r="F258" s="428">
        <f t="shared" si="65"/>
        <v>0</v>
      </c>
      <c r="G258" s="465">
        <f>Allocation!$C$15</f>
        <v>0.10929999999999999</v>
      </c>
      <c r="H258" s="465">
        <f>Allocation!$D$15</f>
        <v>0.51883860656465508</v>
      </c>
      <c r="I258" s="428">
        <f t="shared" si="66"/>
        <v>0</v>
      </c>
      <c r="K258" s="345">
        <f>[3]Reserve!$D78</f>
        <v>0</v>
      </c>
      <c r="L258" s="323">
        <f t="shared" si="67"/>
        <v>0.10929999999999999</v>
      </c>
      <c r="M258" s="323">
        <f t="shared" si="68"/>
        <v>0.51883860656465508</v>
      </c>
      <c r="N258" s="616">
        <f t="shared" si="69"/>
        <v>0</v>
      </c>
      <c r="P258" s="660"/>
      <c r="S258" s="465"/>
      <c r="T258" s="465"/>
    </row>
    <row r="259" spans="1:20">
      <c r="A259" s="858">
        <f t="shared" si="71"/>
        <v>244</v>
      </c>
      <c r="B259" s="706"/>
      <c r="C259" s="88" t="s">
        <v>1153</v>
      </c>
      <c r="D259" s="345">
        <f>[3]Reserve!$AF79</f>
        <v>0</v>
      </c>
      <c r="E259" s="380">
        <v>0</v>
      </c>
      <c r="F259" s="428">
        <f t="shared" si="65"/>
        <v>0</v>
      </c>
      <c r="G259" s="465">
        <f>$G$230</f>
        <v>0.10929999999999999</v>
      </c>
      <c r="H259" s="465">
        <f>$H$230</f>
        <v>0.51883860656465508</v>
      </c>
      <c r="I259" s="1049">
        <f t="shared" si="66"/>
        <v>0</v>
      </c>
      <c r="K259" s="345">
        <f>[3]Reserve!$D79</f>
        <v>0</v>
      </c>
      <c r="L259" s="323">
        <f t="shared" si="67"/>
        <v>0.10929999999999999</v>
      </c>
      <c r="M259" s="323">
        <f t="shared" si="68"/>
        <v>0.51883860656465508</v>
      </c>
      <c r="N259" s="1052">
        <f t="shared" si="69"/>
        <v>0</v>
      </c>
      <c r="P259" s="660"/>
      <c r="S259" s="465"/>
      <c r="T259" s="465"/>
    </row>
    <row r="260" spans="1:20">
      <c r="A260" s="858">
        <f t="shared" si="71"/>
        <v>245</v>
      </c>
      <c r="B260" s="81"/>
      <c r="C260" s="88"/>
      <c r="D260" s="1067"/>
      <c r="E260" s="618"/>
      <c r="F260" s="618"/>
    </row>
    <row r="261" spans="1:20" ht="15.75" thickBot="1">
      <c r="A261" s="858">
        <f t="shared" si="71"/>
        <v>246</v>
      </c>
      <c r="B261" s="81"/>
      <c r="C261" s="232" t="s">
        <v>1344</v>
      </c>
      <c r="D261" s="510">
        <f>SUM(D230:D260)</f>
        <v>52050249.129622929</v>
      </c>
      <c r="E261" s="510">
        <f>SUM(E230:E260)</f>
        <v>0</v>
      </c>
      <c r="F261" s="510">
        <f>SUM(F230:F260)</f>
        <v>52050249.129622929</v>
      </c>
      <c r="I261" s="510">
        <f>SUM(I230:I260)</f>
        <v>2800108.2746825325</v>
      </c>
      <c r="K261" s="510">
        <f>SUM(K230:K260)</f>
        <v>47661769.012509756</v>
      </c>
      <c r="N261" s="510">
        <f>SUM(N230:N260)</f>
        <v>2566545.0390817202</v>
      </c>
    </row>
    <row r="262" spans="1:20" ht="15.75" thickTop="1">
      <c r="A262" s="858">
        <f t="shared" si="71"/>
        <v>247</v>
      </c>
    </row>
    <row r="263" spans="1:20" ht="30.75" thickBot="1">
      <c r="A263" s="858">
        <f t="shared" si="71"/>
        <v>248</v>
      </c>
      <c r="C263" s="614" t="s">
        <v>1155</v>
      </c>
      <c r="D263" s="510">
        <f>D261+D225+D180+D117</f>
        <v>351366738.52878886</v>
      </c>
      <c r="E263" s="510">
        <f>E261+E225+E180+E117</f>
        <v>0</v>
      </c>
      <c r="F263" s="510">
        <f>F261+F225+F180+F117</f>
        <v>347665558.89671677</v>
      </c>
      <c r="I263" s="510">
        <f>I261+I225+I180+I117</f>
        <v>199948564.40244839</v>
      </c>
      <c r="K263" s="510">
        <f>K261+K225+K180+K117</f>
        <v>337523341.43579942</v>
      </c>
      <c r="N263" s="510">
        <f>N261+N225+N180+N117</f>
        <v>191846139.2169258</v>
      </c>
    </row>
    <row r="264" spans="1:20" ht="15.75" thickTop="1"/>
  </sheetData>
  <mergeCells count="4">
    <mergeCell ref="A1:N1"/>
    <mergeCell ref="A2:N2"/>
    <mergeCell ref="A3:N3"/>
    <mergeCell ref="A4:N4"/>
  </mergeCells>
  <phoneticPr fontId="22" type="noConversion"/>
  <pageMargins left="0.75" right="0.66" top="1" bottom="0.94" header="0.5" footer="0.5"/>
  <pageSetup scale="55" orientation="landscape" r:id="rId1"/>
  <headerFooter alignWithMargins="0">
    <oddFooter>&amp;RSchedule &amp;A
Page &amp;P of &amp;N</oddFooter>
  </headerFooter>
  <rowBreaks count="6" manualBreakCount="6">
    <brk id="47" max="13" man="1"/>
    <brk id="83" max="13" man="1"/>
    <brk id="119" max="13" man="1"/>
    <brk id="152" max="13" man="1"/>
    <brk id="180" max="13" man="1"/>
    <brk id="225" max="1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O264"/>
  <sheetViews>
    <sheetView view="pageBreakPreview" zoomScale="60" zoomScaleNormal="70" workbookViewId="0">
      <pane ySplit="12" topLeftCell="A13" activePane="bottomLeft" state="frozen"/>
      <selection activeCell="F59" sqref="F59:F60"/>
      <selection pane="bottomLeft" activeCell="N61" sqref="N61"/>
    </sheetView>
  </sheetViews>
  <sheetFormatPr defaultRowHeight="15"/>
  <cols>
    <col min="1" max="1" width="4.77734375" style="80" customWidth="1"/>
    <col min="2" max="2" width="9.33203125" style="80" customWidth="1"/>
    <col min="3" max="3" width="34.33203125" style="80" customWidth="1"/>
    <col min="4" max="4" width="12.6640625" style="80" customWidth="1"/>
    <col min="5" max="5" width="11" style="857" customWidth="1"/>
    <col min="6" max="6" width="11.33203125" style="857" customWidth="1"/>
    <col min="7" max="7" width="11.109375" style="857" customWidth="1"/>
    <col min="8" max="8" width="12" style="80" bestFit="1" customWidth="1"/>
    <col min="9" max="9" width="3.21875" style="80" customWidth="1"/>
    <col min="10" max="10" width="4.33203125" style="80" customWidth="1"/>
    <col min="11" max="11" width="11.109375" style="80" customWidth="1"/>
    <col min="12" max="12" width="9.6640625" style="80" customWidth="1"/>
    <col min="13" max="13" width="13.88671875" style="80" customWidth="1"/>
    <col min="14" max="16384" width="8.88671875" style="80"/>
  </cols>
  <sheetData>
    <row r="1" spans="1:13">
      <c r="A1" s="1180" t="str">
        <f>'Table of Contents'!A1:C1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</row>
    <row r="2" spans="1:13">
      <c r="A2" s="1180" t="str">
        <f>'Table of Contents'!A2:C2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</row>
    <row r="3" spans="1:13">
      <c r="A3" s="1180" t="s">
        <v>92</v>
      </c>
      <c r="B3" s="1180"/>
      <c r="C3" s="1180"/>
      <c r="D3" s="1180"/>
      <c r="E3" s="1180"/>
      <c r="F3" s="1180"/>
      <c r="G3" s="1180"/>
      <c r="H3" s="1180"/>
      <c r="I3" s="1180"/>
    </row>
    <row r="4" spans="1:13">
      <c r="A4" s="1180" t="str">
        <f>'Table of Contents'!A4:C4</f>
        <v>Forecasted Test Period: Twelve Months Ended March 31, 2019</v>
      </c>
      <c r="B4" s="1180"/>
      <c r="C4" s="1180"/>
      <c r="D4" s="1180"/>
      <c r="E4" s="1180"/>
      <c r="F4" s="1180"/>
      <c r="G4" s="1180"/>
      <c r="H4" s="1180"/>
      <c r="I4" s="1180"/>
    </row>
    <row r="5" spans="1:13" ht="15.75">
      <c r="A5" s="150"/>
      <c r="B5" s="150"/>
      <c r="C5" s="150"/>
      <c r="D5" s="906"/>
      <c r="E5" s="731"/>
      <c r="F5" s="860"/>
      <c r="G5" s="860"/>
      <c r="H5" s="81"/>
      <c r="I5" s="81"/>
    </row>
    <row r="6" spans="1:13" ht="15.75">
      <c r="A6" s="88" t="str">
        <f>'B.1 F '!A6</f>
        <v>Data:______Base Period__X___Forecasted Period</v>
      </c>
      <c r="B6" s="81"/>
      <c r="C6" s="81"/>
      <c r="D6" s="81"/>
      <c r="E6" s="860"/>
      <c r="F6" s="860"/>
      <c r="H6" s="905" t="s">
        <v>1444</v>
      </c>
      <c r="M6" s="906"/>
    </row>
    <row r="7" spans="1:13">
      <c r="A7" s="88" t="str">
        <f>'B.1 F '!A7</f>
        <v>Type of Filing:___X____Original________Updated ________Revised</v>
      </c>
      <c r="B7" s="88"/>
      <c r="C7" s="81"/>
      <c r="D7" s="81"/>
      <c r="E7" s="860"/>
      <c r="F7" s="860"/>
      <c r="H7" s="1034" t="s">
        <v>705</v>
      </c>
      <c r="I7" s="88"/>
    </row>
    <row r="8" spans="1:13">
      <c r="A8" s="390" t="str">
        <f>'B.1 F '!A8</f>
        <v>Workpaper Reference No(s).</v>
      </c>
      <c r="B8" s="151"/>
      <c r="C8" s="151"/>
      <c r="D8" s="151"/>
      <c r="E8" s="1069"/>
      <c r="F8" s="1069"/>
      <c r="G8" s="933"/>
      <c r="H8" s="548" t="str">
        <f>'B.1 B'!F8</f>
        <v>Witness:   Waller</v>
      </c>
      <c r="I8" s="390"/>
    </row>
    <row r="9" spans="1:13">
      <c r="A9" s="1033"/>
      <c r="B9" s="74"/>
      <c r="C9" s="74"/>
      <c r="D9" s="74"/>
      <c r="E9" s="716"/>
      <c r="F9" s="76"/>
      <c r="G9" s="75"/>
      <c r="H9" s="1033"/>
      <c r="I9" s="1033"/>
    </row>
    <row r="10" spans="1:13">
      <c r="A10" s="1033"/>
      <c r="B10" s="74"/>
      <c r="C10" s="74"/>
      <c r="D10" s="860" t="s">
        <v>1347</v>
      </c>
      <c r="E10" s="76" t="s">
        <v>1288</v>
      </c>
      <c r="F10" s="76" t="s">
        <v>13</v>
      </c>
      <c r="G10" s="858" t="s">
        <v>11</v>
      </c>
      <c r="H10" s="1033"/>
      <c r="I10" s="1033"/>
    </row>
    <row r="11" spans="1:13">
      <c r="A11" s="88" t="s">
        <v>94</v>
      </c>
      <c r="B11" s="858" t="s">
        <v>269</v>
      </c>
      <c r="C11" s="858" t="s">
        <v>217</v>
      </c>
      <c r="D11" s="860" t="s">
        <v>1346</v>
      </c>
      <c r="E11" s="858" t="s">
        <v>271</v>
      </c>
      <c r="F11" s="858" t="s">
        <v>14</v>
      </c>
      <c r="G11" s="75" t="s">
        <v>600</v>
      </c>
      <c r="H11" s="858" t="s">
        <v>12</v>
      </c>
      <c r="I11" s="858"/>
    </row>
    <row r="12" spans="1:13">
      <c r="A12" s="186" t="s">
        <v>100</v>
      </c>
      <c r="B12" s="186" t="s">
        <v>100</v>
      </c>
      <c r="C12" s="186" t="s">
        <v>300</v>
      </c>
      <c r="D12" s="1070">
        <f>'B.2 F'!D10</f>
        <v>43555</v>
      </c>
      <c r="E12" s="186" t="s">
        <v>1010</v>
      </c>
      <c r="F12" s="186" t="s">
        <v>633</v>
      </c>
      <c r="G12" s="186" t="s">
        <v>633</v>
      </c>
      <c r="H12" s="186" t="s">
        <v>105</v>
      </c>
      <c r="I12" s="75"/>
      <c r="K12" s="427"/>
      <c r="L12" s="427"/>
    </row>
    <row r="13" spans="1:13">
      <c r="A13" s="75"/>
      <c r="B13" s="75"/>
      <c r="C13" s="75"/>
      <c r="D13" s="75"/>
      <c r="E13" s="75"/>
      <c r="F13" s="75"/>
      <c r="G13" s="75"/>
      <c r="H13" s="75"/>
      <c r="I13" s="75"/>
    </row>
    <row r="14" spans="1:13" ht="15.75">
      <c r="B14" s="946" t="s">
        <v>6</v>
      </c>
    </row>
    <row r="15" spans="1:13">
      <c r="A15" s="858">
        <v>1</v>
      </c>
      <c r="B15" s="81"/>
      <c r="C15" s="619" t="s">
        <v>301</v>
      </c>
    </row>
    <row r="16" spans="1:13">
      <c r="A16" s="858">
        <f>A15+1</f>
        <v>2</v>
      </c>
      <c r="B16" s="512">
        <v>30100</v>
      </c>
      <c r="C16" s="88" t="s">
        <v>295</v>
      </c>
      <c r="D16" s="345">
        <f>[3]Reserve!$BK112</f>
        <v>0</v>
      </c>
      <c r="E16" s="465">
        <v>1</v>
      </c>
      <c r="F16" s="464">
        <v>1</v>
      </c>
      <c r="G16" s="464">
        <f>$F$16</f>
        <v>1</v>
      </c>
      <c r="H16" s="345">
        <f>D16*E16*F16*G16</f>
        <v>0</v>
      </c>
      <c r="I16" s="920"/>
    </row>
    <row r="17" spans="1:8">
      <c r="A17" s="858">
        <f t="shared" ref="A17:A80" si="0">A16+1</f>
        <v>3</v>
      </c>
      <c r="B17" s="512">
        <v>30200</v>
      </c>
      <c r="C17" s="88" t="s">
        <v>154</v>
      </c>
      <c r="D17" s="345">
        <f>[3]Reserve!$BK113</f>
        <v>0</v>
      </c>
      <c r="E17" s="465">
        <v>1</v>
      </c>
      <c r="F17" s="464">
        <f>$F$16</f>
        <v>1</v>
      </c>
      <c r="G17" s="464">
        <f>$F$16</f>
        <v>1</v>
      </c>
      <c r="H17" s="428">
        <f>D17*E17*F17*G17</f>
        <v>0</v>
      </c>
    </row>
    <row r="18" spans="1:8">
      <c r="A18" s="858">
        <f t="shared" si="0"/>
        <v>4</v>
      </c>
      <c r="B18" s="512"/>
      <c r="C18" s="88"/>
      <c r="D18" s="1063"/>
      <c r="E18" s="465"/>
      <c r="F18" s="464"/>
      <c r="G18" s="464"/>
      <c r="H18" s="1063"/>
    </row>
    <row r="19" spans="1:8">
      <c r="A19" s="858">
        <f t="shared" si="0"/>
        <v>5</v>
      </c>
      <c r="B19" s="706"/>
      <c r="C19" s="88" t="s">
        <v>1358</v>
      </c>
      <c r="D19" s="345">
        <f>SUM(D16:D18)</f>
        <v>0</v>
      </c>
      <c r="E19" s="465"/>
      <c r="F19" s="464"/>
      <c r="G19" s="464"/>
      <c r="H19" s="345">
        <f>SUM(H16:H18)</f>
        <v>0</v>
      </c>
    </row>
    <row r="20" spans="1:8">
      <c r="A20" s="858">
        <f t="shared" si="0"/>
        <v>6</v>
      </c>
      <c r="B20" s="706"/>
      <c r="C20" s="81"/>
      <c r="D20" s="428"/>
      <c r="E20" s="465"/>
      <c r="F20" s="464"/>
      <c r="G20" s="464"/>
      <c r="H20" s="428"/>
    </row>
    <row r="21" spans="1:8">
      <c r="A21" s="858">
        <f t="shared" si="0"/>
        <v>7</v>
      </c>
      <c r="B21" s="706"/>
      <c r="C21" s="619" t="s">
        <v>155</v>
      </c>
      <c r="D21" s="428"/>
      <c r="E21" s="465"/>
      <c r="F21" s="464"/>
      <c r="G21" s="464"/>
      <c r="H21" s="428"/>
    </row>
    <row r="22" spans="1:8">
      <c r="A22" s="858">
        <f t="shared" si="0"/>
        <v>8</v>
      </c>
      <c r="B22" s="512">
        <v>32540</v>
      </c>
      <c r="C22" s="88" t="s">
        <v>162</v>
      </c>
      <c r="D22" s="345">
        <f>[3]Reserve!$BK114</f>
        <v>0</v>
      </c>
      <c r="E22" s="465">
        <v>1</v>
      </c>
      <c r="F22" s="464">
        <f t="shared" ref="F22:G24" si="1">$F$16</f>
        <v>1</v>
      </c>
      <c r="G22" s="464">
        <f t="shared" si="1"/>
        <v>1</v>
      </c>
      <c r="H22" s="428">
        <f t="shared" ref="H22:H24" si="2">D22*E22*F22*G22</f>
        <v>0</v>
      </c>
    </row>
    <row r="23" spans="1:8">
      <c r="A23" s="858">
        <f t="shared" si="0"/>
        <v>9</v>
      </c>
      <c r="B23" s="512">
        <v>33202</v>
      </c>
      <c r="C23" s="88" t="s">
        <v>602</v>
      </c>
      <c r="D23" s="345">
        <f>[3]Reserve!$BK115</f>
        <v>0</v>
      </c>
      <c r="E23" s="465">
        <v>1</v>
      </c>
      <c r="F23" s="464">
        <f t="shared" si="1"/>
        <v>1</v>
      </c>
      <c r="G23" s="464">
        <f t="shared" si="1"/>
        <v>1</v>
      </c>
      <c r="H23" s="428">
        <f t="shared" si="2"/>
        <v>0</v>
      </c>
    </row>
    <row r="24" spans="1:8">
      <c r="A24" s="858">
        <f t="shared" si="0"/>
        <v>10</v>
      </c>
      <c r="B24" s="512">
        <v>33400</v>
      </c>
      <c r="C24" s="88" t="s">
        <v>1129</v>
      </c>
      <c r="D24" s="345">
        <f>[3]Reserve!$BK116</f>
        <v>0</v>
      </c>
      <c r="E24" s="465">
        <v>1</v>
      </c>
      <c r="F24" s="464">
        <f t="shared" si="1"/>
        <v>1</v>
      </c>
      <c r="G24" s="464">
        <f t="shared" si="1"/>
        <v>1</v>
      </c>
      <c r="H24" s="428">
        <f t="shared" si="2"/>
        <v>0</v>
      </c>
    </row>
    <row r="25" spans="1:8">
      <c r="A25" s="858">
        <f t="shared" si="0"/>
        <v>11</v>
      </c>
      <c r="B25" s="512"/>
      <c r="C25" s="81"/>
      <c r="D25" s="1063"/>
      <c r="E25" s="465"/>
      <c r="F25" s="464"/>
      <c r="G25" s="464"/>
      <c r="H25" s="428"/>
    </row>
    <row r="26" spans="1:8">
      <c r="A26" s="858">
        <f t="shared" si="0"/>
        <v>12</v>
      </c>
      <c r="B26" s="512"/>
      <c r="C26" s="81" t="s">
        <v>1357</v>
      </c>
      <c r="D26" s="345">
        <f>SUM(D22:D25)</f>
        <v>0</v>
      </c>
      <c r="E26" s="465"/>
      <c r="F26" s="464"/>
      <c r="G26" s="464"/>
      <c r="H26" s="345">
        <f>SUM(H22:H25)</f>
        <v>0</v>
      </c>
    </row>
    <row r="27" spans="1:8">
      <c r="A27" s="858">
        <f t="shared" si="0"/>
        <v>13</v>
      </c>
      <c r="B27" s="512"/>
      <c r="C27" s="88"/>
      <c r="D27" s="428"/>
      <c r="E27" s="465"/>
      <c r="F27" s="464"/>
      <c r="G27" s="464"/>
      <c r="H27" s="428"/>
    </row>
    <row r="28" spans="1:8">
      <c r="A28" s="858">
        <f t="shared" si="0"/>
        <v>14</v>
      </c>
      <c r="B28" s="512"/>
      <c r="C28" s="619" t="s">
        <v>280</v>
      </c>
      <c r="D28" s="428"/>
      <c r="E28" s="465"/>
      <c r="F28" s="464"/>
      <c r="G28" s="464"/>
      <c r="H28" s="428"/>
    </row>
    <row r="29" spans="1:8">
      <c r="A29" s="858">
        <f t="shared" si="0"/>
        <v>15</v>
      </c>
      <c r="B29" s="512">
        <v>35010</v>
      </c>
      <c r="C29" s="88" t="s">
        <v>296</v>
      </c>
      <c r="D29" s="345">
        <f>[3]Reserve!$BK117</f>
        <v>0</v>
      </c>
      <c r="E29" s="465">
        <v>1</v>
      </c>
      <c r="F29" s="464">
        <f t="shared" ref="F29:G45" si="3">$F$16</f>
        <v>1</v>
      </c>
      <c r="G29" s="464">
        <f t="shared" si="3"/>
        <v>1</v>
      </c>
      <c r="H29" s="345">
        <f t="shared" ref="H29:H45" si="4">D29*E29*F29*G29</f>
        <v>0</v>
      </c>
    </row>
    <row r="30" spans="1:8">
      <c r="A30" s="858">
        <f t="shared" si="0"/>
        <v>16</v>
      </c>
      <c r="B30" s="512">
        <v>35020</v>
      </c>
      <c r="C30" s="88" t="s">
        <v>799</v>
      </c>
      <c r="D30" s="345">
        <f>[3]Reserve!$BK118</f>
        <v>11.703950000000001</v>
      </c>
      <c r="E30" s="465">
        <v>1</v>
      </c>
      <c r="F30" s="464">
        <f t="shared" si="3"/>
        <v>1</v>
      </c>
      <c r="G30" s="464">
        <f t="shared" si="3"/>
        <v>1</v>
      </c>
      <c r="H30" s="428">
        <f t="shared" si="4"/>
        <v>11.703950000000001</v>
      </c>
    </row>
    <row r="31" spans="1:8">
      <c r="A31" s="858">
        <f t="shared" si="0"/>
        <v>17</v>
      </c>
      <c r="B31" s="512">
        <v>35100</v>
      </c>
      <c r="C31" s="88" t="s">
        <v>977</v>
      </c>
      <c r="D31" s="345">
        <f>[3]Reserve!$BK119</f>
        <v>299.20037300000001</v>
      </c>
      <c r="E31" s="465">
        <v>1</v>
      </c>
      <c r="F31" s="464">
        <f t="shared" si="3"/>
        <v>1</v>
      </c>
      <c r="G31" s="464">
        <f t="shared" si="3"/>
        <v>1</v>
      </c>
      <c r="H31" s="428">
        <f t="shared" si="4"/>
        <v>299.20037300000001</v>
      </c>
    </row>
    <row r="32" spans="1:8">
      <c r="A32" s="858">
        <f t="shared" si="0"/>
        <v>18</v>
      </c>
      <c r="B32" s="512">
        <v>35102</v>
      </c>
      <c r="C32" s="88" t="s">
        <v>281</v>
      </c>
      <c r="D32" s="345">
        <f>[3]Reserve!$BK120</f>
        <v>1931.0923800000003</v>
      </c>
      <c r="E32" s="465">
        <v>1</v>
      </c>
      <c r="F32" s="464">
        <f t="shared" si="3"/>
        <v>1</v>
      </c>
      <c r="G32" s="464">
        <f t="shared" si="3"/>
        <v>1</v>
      </c>
      <c r="H32" s="428">
        <f t="shared" si="4"/>
        <v>1931.0923800000003</v>
      </c>
    </row>
    <row r="33" spans="1:8">
      <c r="A33" s="858">
        <f t="shared" si="0"/>
        <v>19</v>
      </c>
      <c r="B33" s="512">
        <v>35103</v>
      </c>
      <c r="C33" s="88" t="s">
        <v>591</v>
      </c>
      <c r="D33" s="345">
        <f>[3]Reserve!$BK121</f>
        <v>212.87309600000006</v>
      </c>
      <c r="E33" s="465">
        <v>1</v>
      </c>
      <c r="F33" s="464">
        <f t="shared" si="3"/>
        <v>1</v>
      </c>
      <c r="G33" s="464">
        <f t="shared" si="3"/>
        <v>1</v>
      </c>
      <c r="H33" s="428">
        <f t="shared" si="4"/>
        <v>212.87309600000006</v>
      </c>
    </row>
    <row r="34" spans="1:8">
      <c r="A34" s="858">
        <f t="shared" si="0"/>
        <v>20</v>
      </c>
      <c r="B34" s="512">
        <v>35104</v>
      </c>
      <c r="C34" s="88" t="s">
        <v>592</v>
      </c>
      <c r="D34" s="345">
        <f>[3]Reserve!$BK122</f>
        <v>1786.7528900000004</v>
      </c>
      <c r="E34" s="465">
        <v>1</v>
      </c>
      <c r="F34" s="464">
        <f t="shared" si="3"/>
        <v>1</v>
      </c>
      <c r="G34" s="464">
        <f t="shared" si="3"/>
        <v>1</v>
      </c>
      <c r="H34" s="428">
        <f t="shared" si="4"/>
        <v>1786.7528900000004</v>
      </c>
    </row>
    <row r="35" spans="1:8">
      <c r="A35" s="858">
        <f t="shared" si="0"/>
        <v>21</v>
      </c>
      <c r="B35" s="512">
        <v>35200</v>
      </c>
      <c r="C35" s="88" t="s">
        <v>446</v>
      </c>
      <c r="D35" s="345">
        <f>[3]Reserve!$BK123</f>
        <v>143405.44504200001</v>
      </c>
      <c r="E35" s="465">
        <v>1</v>
      </c>
      <c r="F35" s="464">
        <f t="shared" si="3"/>
        <v>1</v>
      </c>
      <c r="G35" s="464">
        <f t="shared" si="3"/>
        <v>1</v>
      </c>
      <c r="H35" s="428">
        <f t="shared" si="4"/>
        <v>143405.44504200001</v>
      </c>
    </row>
    <row r="36" spans="1:8">
      <c r="A36" s="858">
        <f t="shared" si="0"/>
        <v>22</v>
      </c>
      <c r="B36" s="512">
        <v>35201</v>
      </c>
      <c r="C36" s="88" t="s">
        <v>593</v>
      </c>
      <c r="D36" s="345">
        <f>[3]Reserve!$BK124</f>
        <v>25669.977954000005</v>
      </c>
      <c r="E36" s="465">
        <v>1</v>
      </c>
      <c r="F36" s="464">
        <f t="shared" si="3"/>
        <v>1</v>
      </c>
      <c r="G36" s="464">
        <f t="shared" si="3"/>
        <v>1</v>
      </c>
      <c r="H36" s="428">
        <f t="shared" si="4"/>
        <v>25669.977954000005</v>
      </c>
    </row>
    <row r="37" spans="1:8">
      <c r="A37" s="858">
        <f t="shared" si="0"/>
        <v>23</v>
      </c>
      <c r="B37" s="512">
        <v>35202</v>
      </c>
      <c r="C37" s="88" t="s">
        <v>594</v>
      </c>
      <c r="D37" s="345">
        <f>[3]Reserve!$BK125</f>
        <v>0</v>
      </c>
      <c r="E37" s="465">
        <v>1</v>
      </c>
      <c r="F37" s="464">
        <f t="shared" si="3"/>
        <v>1</v>
      </c>
      <c r="G37" s="464">
        <f t="shared" si="3"/>
        <v>1</v>
      </c>
      <c r="H37" s="428">
        <f t="shared" si="4"/>
        <v>0</v>
      </c>
    </row>
    <row r="38" spans="1:8">
      <c r="A38" s="858">
        <f t="shared" si="0"/>
        <v>24</v>
      </c>
      <c r="B38" s="512">
        <v>35203</v>
      </c>
      <c r="C38" s="88" t="s">
        <v>347</v>
      </c>
      <c r="D38" s="345">
        <f>[3]Reserve!$BK126</f>
        <v>30506.993279999999</v>
      </c>
      <c r="E38" s="465">
        <v>1</v>
      </c>
      <c r="F38" s="464">
        <f t="shared" si="3"/>
        <v>1</v>
      </c>
      <c r="G38" s="464">
        <f t="shared" si="3"/>
        <v>1</v>
      </c>
      <c r="H38" s="428">
        <f t="shared" si="4"/>
        <v>30506.993279999999</v>
      </c>
    </row>
    <row r="39" spans="1:8">
      <c r="A39" s="858">
        <f t="shared" si="0"/>
        <v>25</v>
      </c>
      <c r="B39" s="512">
        <v>35210</v>
      </c>
      <c r="C39" s="88" t="s">
        <v>595</v>
      </c>
      <c r="D39" s="345">
        <f>[3]Reserve!$BK127</f>
        <v>624.85531499999991</v>
      </c>
      <c r="E39" s="465">
        <v>1</v>
      </c>
      <c r="F39" s="464">
        <f t="shared" si="3"/>
        <v>1</v>
      </c>
      <c r="G39" s="464">
        <f t="shared" si="3"/>
        <v>1</v>
      </c>
      <c r="H39" s="428">
        <f t="shared" si="4"/>
        <v>624.85531499999991</v>
      </c>
    </row>
    <row r="40" spans="1:8">
      <c r="A40" s="858">
        <f t="shared" si="0"/>
        <v>26</v>
      </c>
      <c r="B40" s="512">
        <v>35211</v>
      </c>
      <c r="C40" s="88" t="s">
        <v>596</v>
      </c>
      <c r="D40" s="345">
        <f>[3]Reserve!$BK128</f>
        <v>480.60557599999987</v>
      </c>
      <c r="E40" s="465">
        <v>1</v>
      </c>
      <c r="F40" s="464">
        <f t="shared" si="3"/>
        <v>1</v>
      </c>
      <c r="G40" s="464">
        <f t="shared" si="3"/>
        <v>1</v>
      </c>
      <c r="H40" s="428">
        <f t="shared" si="4"/>
        <v>480.60557599999987</v>
      </c>
    </row>
    <row r="41" spans="1:8">
      <c r="A41" s="858">
        <f t="shared" si="0"/>
        <v>27</v>
      </c>
      <c r="B41" s="512">
        <v>35301</v>
      </c>
      <c r="C41" s="81" t="s">
        <v>163</v>
      </c>
      <c r="D41" s="345">
        <f>[3]Reserve!$BK129</f>
        <v>1445.8248900000001</v>
      </c>
      <c r="E41" s="465">
        <v>1</v>
      </c>
      <c r="F41" s="464">
        <f t="shared" si="3"/>
        <v>1</v>
      </c>
      <c r="G41" s="464">
        <f t="shared" si="3"/>
        <v>1</v>
      </c>
      <c r="H41" s="428">
        <f t="shared" si="4"/>
        <v>1445.8248900000001</v>
      </c>
    </row>
    <row r="42" spans="1:8">
      <c r="A42" s="858">
        <f t="shared" si="0"/>
        <v>28</v>
      </c>
      <c r="B42" s="512">
        <v>35302</v>
      </c>
      <c r="C42" s="88" t="s">
        <v>602</v>
      </c>
      <c r="D42" s="345">
        <f>[3]Reserve!$BK130</f>
        <v>1696.6115010000003</v>
      </c>
      <c r="E42" s="465">
        <v>1</v>
      </c>
      <c r="F42" s="464">
        <f t="shared" si="3"/>
        <v>1</v>
      </c>
      <c r="G42" s="464">
        <f t="shared" si="3"/>
        <v>1</v>
      </c>
      <c r="H42" s="428">
        <f t="shared" si="4"/>
        <v>1696.6115010000003</v>
      </c>
    </row>
    <row r="43" spans="1:8">
      <c r="A43" s="858">
        <f t="shared" si="0"/>
        <v>29</v>
      </c>
      <c r="B43" s="512">
        <v>35400</v>
      </c>
      <c r="C43" s="88" t="s">
        <v>597</v>
      </c>
      <c r="D43" s="345">
        <f>[3]Reserve!$BK131</f>
        <v>16622.028900000001</v>
      </c>
      <c r="E43" s="465">
        <v>1</v>
      </c>
      <c r="F43" s="464">
        <f t="shared" si="3"/>
        <v>1</v>
      </c>
      <c r="G43" s="464">
        <f t="shared" si="3"/>
        <v>1</v>
      </c>
      <c r="H43" s="428">
        <f t="shared" si="4"/>
        <v>16622.028900000001</v>
      </c>
    </row>
    <row r="44" spans="1:8">
      <c r="A44" s="858">
        <f t="shared" si="0"/>
        <v>30</v>
      </c>
      <c r="B44" s="512">
        <v>35500</v>
      </c>
      <c r="C44" s="88" t="s">
        <v>1000</v>
      </c>
      <c r="D44" s="345">
        <f>[3]Reserve!$BK132</f>
        <v>2268.3028316667373</v>
      </c>
      <c r="E44" s="465">
        <v>1</v>
      </c>
      <c r="F44" s="464">
        <f t="shared" si="3"/>
        <v>1</v>
      </c>
      <c r="G44" s="464">
        <f t="shared" si="3"/>
        <v>1</v>
      </c>
      <c r="H44" s="428">
        <f t="shared" si="4"/>
        <v>2268.3028316667373</v>
      </c>
    </row>
    <row r="45" spans="1:8">
      <c r="A45" s="858">
        <f t="shared" si="0"/>
        <v>31</v>
      </c>
      <c r="B45" s="512">
        <v>35600</v>
      </c>
      <c r="C45" s="88" t="s">
        <v>1049</v>
      </c>
      <c r="D45" s="345">
        <f>[3]Reserve!$BK133</f>
        <v>8500.6007250000021</v>
      </c>
      <c r="E45" s="465">
        <v>1</v>
      </c>
      <c r="F45" s="464">
        <f t="shared" si="3"/>
        <v>1</v>
      </c>
      <c r="G45" s="464">
        <f t="shared" si="3"/>
        <v>1</v>
      </c>
      <c r="H45" s="1049">
        <f t="shared" si="4"/>
        <v>8500.6007250000021</v>
      </c>
    </row>
    <row r="46" spans="1:8">
      <c r="A46" s="858">
        <f t="shared" si="0"/>
        <v>32</v>
      </c>
      <c r="B46" s="512"/>
      <c r="C46" s="88"/>
      <c r="D46" s="1063"/>
      <c r="E46" s="465"/>
      <c r="F46" s="464"/>
      <c r="G46" s="464"/>
      <c r="H46" s="428"/>
    </row>
    <row r="47" spans="1:8">
      <c r="A47" s="858">
        <f t="shared" si="0"/>
        <v>33</v>
      </c>
      <c r="B47" s="512"/>
      <c r="C47" s="88" t="s">
        <v>1355</v>
      </c>
      <c r="D47" s="345">
        <f>SUM(D29:D46)</f>
        <v>235462.86870366675</v>
      </c>
      <c r="E47" s="465"/>
      <c r="F47" s="464"/>
      <c r="G47" s="464"/>
      <c r="H47" s="345">
        <f>SUM(H29:H46)</f>
        <v>235462.86870366675</v>
      </c>
    </row>
    <row r="48" spans="1:8">
      <c r="A48" s="858">
        <f t="shared" si="0"/>
        <v>34</v>
      </c>
      <c r="B48" s="512"/>
      <c r="C48" s="88"/>
      <c r="D48" s="428"/>
      <c r="E48" s="465"/>
      <c r="F48" s="464"/>
      <c r="G48" s="464"/>
      <c r="H48" s="428"/>
    </row>
    <row r="49" spans="1:8">
      <c r="A49" s="858">
        <f t="shared" si="0"/>
        <v>35</v>
      </c>
      <c r="B49" s="512"/>
      <c r="C49" s="619" t="s">
        <v>1001</v>
      </c>
      <c r="D49" s="428"/>
      <c r="E49" s="465"/>
      <c r="F49" s="464"/>
      <c r="G49" s="464"/>
      <c r="H49" s="428"/>
    </row>
    <row r="50" spans="1:8">
      <c r="A50" s="858">
        <f t="shared" si="0"/>
        <v>36</v>
      </c>
      <c r="B50" s="512">
        <v>36510</v>
      </c>
      <c r="C50" s="88" t="s">
        <v>296</v>
      </c>
      <c r="D50" s="345">
        <f>[3]Reserve!$BK134</f>
        <v>0</v>
      </c>
      <c r="E50" s="465">
        <v>1</v>
      </c>
      <c r="F50" s="464">
        <f t="shared" ref="F50:G57" si="5">$F$16</f>
        <v>1</v>
      </c>
      <c r="G50" s="464">
        <f t="shared" si="5"/>
        <v>1</v>
      </c>
      <c r="H50" s="345">
        <f t="shared" ref="H50:H57" si="6">D50*E50*F50*G50</f>
        <v>0</v>
      </c>
    </row>
    <row r="51" spans="1:8">
      <c r="A51" s="858">
        <f t="shared" si="0"/>
        <v>37</v>
      </c>
      <c r="B51" s="512">
        <v>36520</v>
      </c>
      <c r="C51" s="88" t="s">
        <v>799</v>
      </c>
      <c r="D51" s="345">
        <f>[3]Reserve!$BK135</f>
        <v>11541.367600000003</v>
      </c>
      <c r="E51" s="465">
        <v>1</v>
      </c>
      <c r="F51" s="464">
        <f t="shared" si="5"/>
        <v>1</v>
      </c>
      <c r="G51" s="464">
        <f t="shared" si="5"/>
        <v>1</v>
      </c>
      <c r="H51" s="428">
        <f t="shared" si="6"/>
        <v>11541.367600000003</v>
      </c>
    </row>
    <row r="52" spans="1:8">
      <c r="A52" s="858">
        <f t="shared" si="0"/>
        <v>38</v>
      </c>
      <c r="B52" s="512">
        <v>36602</v>
      </c>
      <c r="C52" s="88" t="s">
        <v>863</v>
      </c>
      <c r="D52" s="345">
        <f>[3]Reserve!$BK136</f>
        <v>872.23061599999994</v>
      </c>
      <c r="E52" s="465">
        <v>1</v>
      </c>
      <c r="F52" s="464">
        <f t="shared" si="5"/>
        <v>1</v>
      </c>
      <c r="G52" s="464">
        <f t="shared" si="5"/>
        <v>1</v>
      </c>
      <c r="H52" s="428">
        <f t="shared" si="6"/>
        <v>872.23061599999994</v>
      </c>
    </row>
    <row r="53" spans="1:8">
      <c r="A53" s="858">
        <f t="shared" si="0"/>
        <v>39</v>
      </c>
      <c r="B53" s="512">
        <v>36603</v>
      </c>
      <c r="C53" s="88" t="s">
        <v>1002</v>
      </c>
      <c r="D53" s="345">
        <f>[3]Reserve!$BK137</f>
        <v>1082.707962</v>
      </c>
      <c r="E53" s="465">
        <v>1</v>
      </c>
      <c r="F53" s="464">
        <f t="shared" si="5"/>
        <v>1</v>
      </c>
      <c r="G53" s="464">
        <f t="shared" si="5"/>
        <v>1</v>
      </c>
      <c r="H53" s="428">
        <f t="shared" si="6"/>
        <v>1082.707962</v>
      </c>
    </row>
    <row r="54" spans="1:8">
      <c r="A54" s="858">
        <f t="shared" si="0"/>
        <v>40</v>
      </c>
      <c r="B54" s="512">
        <v>36700</v>
      </c>
      <c r="C54" s="88" t="s">
        <v>851</v>
      </c>
      <c r="D54" s="345">
        <f>[3]Reserve!$BK138</f>
        <v>7946.2720000000018</v>
      </c>
      <c r="E54" s="465">
        <v>1</v>
      </c>
      <c r="F54" s="464">
        <f t="shared" si="5"/>
        <v>1</v>
      </c>
      <c r="G54" s="464">
        <f t="shared" si="5"/>
        <v>1</v>
      </c>
      <c r="H54" s="428">
        <f t="shared" si="6"/>
        <v>7946.2720000000018</v>
      </c>
    </row>
    <row r="55" spans="1:8">
      <c r="A55" s="858">
        <f t="shared" si="0"/>
        <v>41</v>
      </c>
      <c r="B55" s="512">
        <v>36701</v>
      </c>
      <c r="C55" s="88" t="s">
        <v>16</v>
      </c>
      <c r="D55" s="345">
        <f>[3]Reserve!$BK139</f>
        <v>522461.04680700001</v>
      </c>
      <c r="E55" s="465">
        <v>1</v>
      </c>
      <c r="F55" s="464">
        <f t="shared" si="5"/>
        <v>1</v>
      </c>
      <c r="G55" s="464">
        <f t="shared" si="5"/>
        <v>1</v>
      </c>
      <c r="H55" s="428">
        <f t="shared" si="6"/>
        <v>522461.04680700001</v>
      </c>
    </row>
    <row r="56" spans="1:8">
      <c r="A56" s="858">
        <f t="shared" si="0"/>
        <v>42</v>
      </c>
      <c r="B56" s="512">
        <v>36900</v>
      </c>
      <c r="C56" s="88" t="s">
        <v>1003</v>
      </c>
      <c r="D56" s="345">
        <f>[3]Reserve!$BK140</f>
        <v>15653.386096</v>
      </c>
      <c r="E56" s="465">
        <v>1</v>
      </c>
      <c r="F56" s="464">
        <f t="shared" si="5"/>
        <v>1</v>
      </c>
      <c r="G56" s="464">
        <f t="shared" si="5"/>
        <v>1</v>
      </c>
      <c r="H56" s="428">
        <f t="shared" si="6"/>
        <v>15653.386096</v>
      </c>
    </row>
    <row r="57" spans="1:8">
      <c r="A57" s="858">
        <f t="shared" si="0"/>
        <v>43</v>
      </c>
      <c r="B57" s="512">
        <v>36901</v>
      </c>
      <c r="C57" s="88" t="s">
        <v>1003</v>
      </c>
      <c r="D57" s="345">
        <f>[3]Reserve!$BK141</f>
        <v>48568.496473999992</v>
      </c>
      <c r="E57" s="465">
        <v>1</v>
      </c>
      <c r="F57" s="464">
        <f t="shared" si="5"/>
        <v>1</v>
      </c>
      <c r="G57" s="464">
        <f t="shared" si="5"/>
        <v>1</v>
      </c>
      <c r="H57" s="1049">
        <f t="shared" si="6"/>
        <v>48568.496473999992</v>
      </c>
    </row>
    <row r="58" spans="1:8">
      <c r="A58" s="858">
        <f t="shared" si="0"/>
        <v>44</v>
      </c>
      <c r="B58" s="512"/>
      <c r="C58" s="88"/>
      <c r="D58" s="1063"/>
      <c r="E58" s="465"/>
      <c r="F58" s="464"/>
      <c r="G58" s="464"/>
      <c r="H58" s="428"/>
    </row>
    <row r="59" spans="1:8">
      <c r="A59" s="858">
        <f t="shared" si="0"/>
        <v>45</v>
      </c>
      <c r="B59" s="706"/>
      <c r="C59" s="88" t="s">
        <v>1356</v>
      </c>
      <c r="D59" s="345">
        <f>SUM(D50:D58)</f>
        <v>608125.50755500002</v>
      </c>
      <c r="E59" s="465"/>
      <c r="F59" s="464"/>
      <c r="G59" s="464"/>
      <c r="H59" s="345">
        <f>SUM(H50:H58)</f>
        <v>608125.50755500002</v>
      </c>
    </row>
    <row r="60" spans="1:8">
      <c r="A60" s="858">
        <f t="shared" si="0"/>
        <v>46</v>
      </c>
      <c r="B60" s="706"/>
      <c r="C60" s="81"/>
      <c r="D60" s="428"/>
      <c r="E60" s="465"/>
      <c r="F60" s="464"/>
      <c r="G60" s="464"/>
      <c r="H60" s="428"/>
    </row>
    <row r="61" spans="1:8">
      <c r="A61" s="858">
        <f t="shared" si="0"/>
        <v>47</v>
      </c>
      <c r="B61" s="706"/>
      <c r="C61" s="619" t="s">
        <v>303</v>
      </c>
      <c r="D61" s="428"/>
      <c r="E61" s="465"/>
      <c r="F61" s="464"/>
      <c r="G61" s="464"/>
      <c r="H61" s="428"/>
    </row>
    <row r="62" spans="1:8">
      <c r="A62" s="858">
        <f t="shared" si="0"/>
        <v>48</v>
      </c>
      <c r="B62" s="512">
        <v>37400</v>
      </c>
      <c r="C62" s="88" t="s">
        <v>1157</v>
      </c>
      <c r="D62" s="345">
        <f>[3]Reserve!$BK142</f>
        <v>0</v>
      </c>
      <c r="E62" s="465">
        <v>1</v>
      </c>
      <c r="F62" s="464">
        <f t="shared" ref="F62:G81" si="7">$F$16</f>
        <v>1</v>
      </c>
      <c r="G62" s="464">
        <f t="shared" si="7"/>
        <v>1</v>
      </c>
      <c r="H62" s="345">
        <f t="shared" ref="H62:H81" si="8">D62*E62*F62*G62</f>
        <v>0</v>
      </c>
    </row>
    <row r="63" spans="1:8">
      <c r="A63" s="858">
        <f t="shared" si="0"/>
        <v>49</v>
      </c>
      <c r="B63" s="512">
        <v>37401</v>
      </c>
      <c r="C63" s="88" t="s">
        <v>296</v>
      </c>
      <c r="D63" s="345">
        <f>[3]Reserve!$BK143</f>
        <v>0</v>
      </c>
      <c r="E63" s="465">
        <v>1</v>
      </c>
      <c r="F63" s="464">
        <f t="shared" si="7"/>
        <v>1</v>
      </c>
      <c r="G63" s="464">
        <f t="shared" si="7"/>
        <v>1</v>
      </c>
      <c r="H63" s="428">
        <f t="shared" si="8"/>
        <v>0</v>
      </c>
    </row>
    <row r="64" spans="1:8">
      <c r="A64" s="858">
        <f t="shared" si="0"/>
        <v>50</v>
      </c>
      <c r="B64" s="512">
        <v>37402</v>
      </c>
      <c r="C64" s="88" t="s">
        <v>1007</v>
      </c>
      <c r="D64" s="345">
        <f>[3]Reserve!$BK144</f>
        <v>47619.270708477139</v>
      </c>
      <c r="E64" s="465">
        <v>1</v>
      </c>
      <c r="F64" s="464">
        <f t="shared" si="7"/>
        <v>1</v>
      </c>
      <c r="G64" s="464">
        <f t="shared" si="7"/>
        <v>1</v>
      </c>
      <c r="H64" s="428">
        <f t="shared" si="8"/>
        <v>47619.270708477139</v>
      </c>
    </row>
    <row r="65" spans="1:8">
      <c r="A65" s="858">
        <f t="shared" si="0"/>
        <v>51</v>
      </c>
      <c r="B65" s="512">
        <v>37403</v>
      </c>
      <c r="C65" s="88" t="s">
        <v>1004</v>
      </c>
      <c r="D65" s="345">
        <f>[3]Reserve!$BK145</f>
        <v>0</v>
      </c>
      <c r="E65" s="465">
        <v>1</v>
      </c>
      <c r="F65" s="464">
        <f t="shared" si="7"/>
        <v>1</v>
      </c>
      <c r="G65" s="464">
        <f t="shared" si="7"/>
        <v>1</v>
      </c>
      <c r="H65" s="428">
        <f t="shared" si="8"/>
        <v>0</v>
      </c>
    </row>
    <row r="66" spans="1:8">
      <c r="A66" s="858">
        <f t="shared" si="0"/>
        <v>52</v>
      </c>
      <c r="B66" s="512">
        <v>37500</v>
      </c>
      <c r="C66" s="88" t="s">
        <v>863</v>
      </c>
      <c r="D66" s="345">
        <f>[3]Reserve!$BK146</f>
        <v>6925.0513239999991</v>
      </c>
      <c r="E66" s="465">
        <v>1</v>
      </c>
      <c r="F66" s="464">
        <f t="shared" si="7"/>
        <v>1</v>
      </c>
      <c r="G66" s="464">
        <f t="shared" si="7"/>
        <v>1</v>
      </c>
      <c r="H66" s="428">
        <f t="shared" si="8"/>
        <v>6925.0513239999991</v>
      </c>
    </row>
    <row r="67" spans="1:8">
      <c r="A67" s="858">
        <f t="shared" si="0"/>
        <v>53</v>
      </c>
      <c r="B67" s="512">
        <v>37501</v>
      </c>
      <c r="C67" s="88" t="s">
        <v>1005</v>
      </c>
      <c r="D67" s="345">
        <f>[3]Reserve!$BK147</f>
        <v>2056.2534780000001</v>
      </c>
      <c r="E67" s="465">
        <v>1</v>
      </c>
      <c r="F67" s="464">
        <f t="shared" si="7"/>
        <v>1</v>
      </c>
      <c r="G67" s="464">
        <f t="shared" si="7"/>
        <v>1</v>
      </c>
      <c r="H67" s="428">
        <f t="shared" si="8"/>
        <v>2056.2534780000001</v>
      </c>
    </row>
    <row r="68" spans="1:8">
      <c r="A68" s="858">
        <f t="shared" si="0"/>
        <v>54</v>
      </c>
      <c r="B68" s="512">
        <v>37502</v>
      </c>
      <c r="C68" s="88" t="s">
        <v>1007</v>
      </c>
      <c r="D68" s="345">
        <f>[3]Reserve!$BK148</f>
        <v>953.04231399999992</v>
      </c>
      <c r="E68" s="465">
        <v>1</v>
      </c>
      <c r="F68" s="464">
        <f t="shared" si="7"/>
        <v>1</v>
      </c>
      <c r="G68" s="464">
        <f t="shared" si="7"/>
        <v>1</v>
      </c>
      <c r="H68" s="428">
        <f t="shared" si="8"/>
        <v>953.04231399999992</v>
      </c>
    </row>
    <row r="69" spans="1:8">
      <c r="A69" s="858">
        <f t="shared" si="0"/>
        <v>55</v>
      </c>
      <c r="B69" s="512">
        <v>37503</v>
      </c>
      <c r="C69" s="88" t="s">
        <v>1006</v>
      </c>
      <c r="D69" s="345">
        <f>[3]Reserve!$BK149</f>
        <v>82.504648000000017</v>
      </c>
      <c r="E69" s="465">
        <v>1</v>
      </c>
      <c r="F69" s="464">
        <f t="shared" si="7"/>
        <v>1</v>
      </c>
      <c r="G69" s="464">
        <f t="shared" si="7"/>
        <v>1</v>
      </c>
      <c r="H69" s="428">
        <f t="shared" si="8"/>
        <v>82.504648000000017</v>
      </c>
    </row>
    <row r="70" spans="1:8">
      <c r="A70" s="858">
        <f t="shared" si="0"/>
        <v>56</v>
      </c>
      <c r="B70" s="512">
        <v>37600</v>
      </c>
      <c r="C70" s="88" t="s">
        <v>851</v>
      </c>
      <c r="D70" s="345">
        <f>[3]Reserve!$BK150</f>
        <v>1035250.3239195559</v>
      </c>
      <c r="E70" s="465">
        <v>1</v>
      </c>
      <c r="F70" s="464">
        <f t="shared" si="7"/>
        <v>1</v>
      </c>
      <c r="G70" s="464">
        <f t="shared" si="7"/>
        <v>1</v>
      </c>
      <c r="H70" s="428">
        <f t="shared" si="8"/>
        <v>1035250.3239195559</v>
      </c>
    </row>
    <row r="71" spans="1:8">
      <c r="A71" s="858">
        <f t="shared" si="0"/>
        <v>57</v>
      </c>
      <c r="B71" s="512">
        <v>37601</v>
      </c>
      <c r="C71" s="88" t="s">
        <v>16</v>
      </c>
      <c r="D71" s="345">
        <f>[3]Reserve!$BK151</f>
        <v>2937274.7864633435</v>
      </c>
      <c r="E71" s="465">
        <v>1</v>
      </c>
      <c r="F71" s="464">
        <f t="shared" si="7"/>
        <v>1</v>
      </c>
      <c r="G71" s="464">
        <f t="shared" si="7"/>
        <v>1</v>
      </c>
      <c r="H71" s="428">
        <f t="shared" si="8"/>
        <v>2937274.7864633435</v>
      </c>
    </row>
    <row r="72" spans="1:8">
      <c r="A72" s="858">
        <f t="shared" si="0"/>
        <v>58</v>
      </c>
      <c r="B72" s="512">
        <v>37602</v>
      </c>
      <c r="C72" s="88" t="s">
        <v>852</v>
      </c>
      <c r="D72" s="345">
        <f>[3]Reserve!$BK152</f>
        <v>2634236.5547177293</v>
      </c>
      <c r="E72" s="465">
        <v>1</v>
      </c>
      <c r="F72" s="464">
        <f t="shared" si="7"/>
        <v>1</v>
      </c>
      <c r="G72" s="464">
        <f t="shared" si="7"/>
        <v>1</v>
      </c>
      <c r="H72" s="428">
        <f t="shared" si="8"/>
        <v>2634236.5547177293</v>
      </c>
    </row>
    <row r="73" spans="1:8">
      <c r="A73" s="858">
        <f t="shared" si="0"/>
        <v>59</v>
      </c>
      <c r="B73" s="512">
        <v>37800</v>
      </c>
      <c r="C73" s="88" t="s">
        <v>230</v>
      </c>
      <c r="D73" s="345">
        <f>[3]Reserve!$BK153</f>
        <v>397763.51553833036</v>
      </c>
      <c r="E73" s="465">
        <v>1</v>
      </c>
      <c r="F73" s="464">
        <f t="shared" si="7"/>
        <v>1</v>
      </c>
      <c r="G73" s="464">
        <f t="shared" si="7"/>
        <v>1</v>
      </c>
      <c r="H73" s="428">
        <f t="shared" si="8"/>
        <v>397763.51553833036</v>
      </c>
    </row>
    <row r="74" spans="1:8">
      <c r="A74" s="858">
        <f t="shared" si="0"/>
        <v>60</v>
      </c>
      <c r="B74" s="512">
        <v>37900</v>
      </c>
      <c r="C74" s="88" t="s">
        <v>1200</v>
      </c>
      <c r="D74" s="345">
        <f>[3]Reserve!$BK154</f>
        <v>144583.61554025693</v>
      </c>
      <c r="E74" s="465">
        <v>1</v>
      </c>
      <c r="F74" s="464">
        <f t="shared" si="7"/>
        <v>1</v>
      </c>
      <c r="G74" s="464">
        <f t="shared" si="7"/>
        <v>1</v>
      </c>
      <c r="H74" s="428">
        <f t="shared" si="8"/>
        <v>144583.61554025693</v>
      </c>
    </row>
    <row r="75" spans="1:8">
      <c r="A75" s="858">
        <f t="shared" si="0"/>
        <v>61</v>
      </c>
      <c r="B75" s="512">
        <v>37905</v>
      </c>
      <c r="C75" s="88" t="s">
        <v>732</v>
      </c>
      <c r="D75" s="345">
        <f>[3]Reserve!$BK155</f>
        <v>81543.758417949182</v>
      </c>
      <c r="E75" s="465">
        <v>1</v>
      </c>
      <c r="F75" s="464">
        <f t="shared" si="7"/>
        <v>1</v>
      </c>
      <c r="G75" s="464">
        <f t="shared" si="7"/>
        <v>1</v>
      </c>
      <c r="H75" s="428">
        <f t="shared" si="8"/>
        <v>81543.758417949182</v>
      </c>
    </row>
    <row r="76" spans="1:8">
      <c r="A76" s="858">
        <f t="shared" si="0"/>
        <v>62</v>
      </c>
      <c r="B76" s="512">
        <v>38000</v>
      </c>
      <c r="C76" s="88" t="s">
        <v>1061</v>
      </c>
      <c r="D76" s="345">
        <f>[3]Reserve!$BK156</f>
        <v>4883872.2684313403</v>
      </c>
      <c r="E76" s="465">
        <v>1</v>
      </c>
      <c r="F76" s="464">
        <f t="shared" si="7"/>
        <v>1</v>
      </c>
      <c r="G76" s="464">
        <f t="shared" si="7"/>
        <v>1</v>
      </c>
      <c r="H76" s="428">
        <f t="shared" si="8"/>
        <v>4883872.2684313403</v>
      </c>
    </row>
    <row r="77" spans="1:8">
      <c r="A77" s="858">
        <f t="shared" si="0"/>
        <v>63</v>
      </c>
      <c r="B77" s="512">
        <v>38100</v>
      </c>
      <c r="C77" s="88" t="s">
        <v>853</v>
      </c>
      <c r="D77" s="345">
        <f>[3]Reserve!$BK157</f>
        <v>3498398.3735321122</v>
      </c>
      <c r="E77" s="465">
        <v>1</v>
      </c>
      <c r="F77" s="464">
        <f t="shared" si="7"/>
        <v>1</v>
      </c>
      <c r="G77" s="464">
        <f t="shared" si="7"/>
        <v>1</v>
      </c>
      <c r="H77" s="428">
        <f t="shared" si="8"/>
        <v>3498398.3735321122</v>
      </c>
    </row>
    <row r="78" spans="1:8">
      <c r="A78" s="858">
        <f t="shared" si="0"/>
        <v>64</v>
      </c>
      <c r="B78" s="512">
        <v>38200</v>
      </c>
      <c r="C78" s="88" t="s">
        <v>447</v>
      </c>
      <c r="D78" s="345">
        <f>[3]Reserve!$BK158</f>
        <v>2355879.7243234329</v>
      </c>
      <c r="E78" s="465">
        <v>1</v>
      </c>
      <c r="F78" s="464">
        <f t="shared" si="7"/>
        <v>1</v>
      </c>
      <c r="G78" s="464">
        <f t="shared" si="7"/>
        <v>1</v>
      </c>
      <c r="H78" s="428">
        <f t="shared" si="8"/>
        <v>2355879.7243234329</v>
      </c>
    </row>
    <row r="79" spans="1:8">
      <c r="A79" s="858">
        <f t="shared" si="0"/>
        <v>65</v>
      </c>
      <c r="B79" s="512">
        <v>38300</v>
      </c>
      <c r="C79" s="88" t="s">
        <v>1062</v>
      </c>
      <c r="D79" s="345">
        <f>[3]Reserve!$BK159</f>
        <v>369152.70178807154</v>
      </c>
      <c r="E79" s="465">
        <v>1</v>
      </c>
      <c r="F79" s="464">
        <f t="shared" si="7"/>
        <v>1</v>
      </c>
      <c r="G79" s="464">
        <f t="shared" si="7"/>
        <v>1</v>
      </c>
      <c r="H79" s="428">
        <f t="shared" si="8"/>
        <v>369152.70178807154</v>
      </c>
    </row>
    <row r="80" spans="1:8">
      <c r="A80" s="858">
        <f t="shared" si="0"/>
        <v>66</v>
      </c>
      <c r="B80" s="512">
        <v>38400</v>
      </c>
      <c r="C80" s="88" t="s">
        <v>448</v>
      </c>
      <c r="D80" s="345">
        <f>[3]Reserve!$BK160</f>
        <v>5908.0504593552996</v>
      </c>
      <c r="E80" s="465">
        <v>1</v>
      </c>
      <c r="F80" s="464">
        <f t="shared" si="7"/>
        <v>1</v>
      </c>
      <c r="G80" s="464">
        <f t="shared" si="7"/>
        <v>1</v>
      </c>
      <c r="H80" s="428">
        <f t="shared" si="8"/>
        <v>5908.0504593552996</v>
      </c>
    </row>
    <row r="81" spans="1:13">
      <c r="A81" s="858">
        <f t="shared" ref="A81:A149" si="9">A80+1</f>
        <v>67</v>
      </c>
      <c r="B81" s="512">
        <v>38500</v>
      </c>
      <c r="C81" s="88" t="s">
        <v>449</v>
      </c>
      <c r="D81" s="345">
        <f>[3]Reserve!$BK161</f>
        <v>142017.01404071556</v>
      </c>
      <c r="E81" s="465">
        <v>1</v>
      </c>
      <c r="F81" s="464">
        <f t="shared" si="7"/>
        <v>1</v>
      </c>
      <c r="G81" s="464">
        <f t="shared" si="7"/>
        <v>1</v>
      </c>
      <c r="H81" s="428">
        <f t="shared" si="8"/>
        <v>142017.01404071556</v>
      </c>
      <c r="M81" s="712"/>
    </row>
    <row r="82" spans="1:13">
      <c r="A82" s="858">
        <f t="shared" si="9"/>
        <v>68</v>
      </c>
      <c r="B82" s="512"/>
      <c r="C82" s="88"/>
      <c r="D82" s="1063"/>
      <c r="E82" s="465"/>
      <c r="F82" s="464"/>
      <c r="G82" s="464"/>
      <c r="H82" s="1063"/>
    </row>
    <row r="83" spans="1:13">
      <c r="A83" s="858">
        <f t="shared" si="9"/>
        <v>69</v>
      </c>
      <c r="B83" s="512"/>
      <c r="C83" s="88" t="s">
        <v>1353</v>
      </c>
      <c r="D83" s="345">
        <f>SUM(D62:D82)</f>
        <v>18543516.809644673</v>
      </c>
      <c r="E83" s="465"/>
      <c r="F83" s="464"/>
      <c r="G83" s="464"/>
      <c r="H83" s="345">
        <f>SUM(H62:H82)</f>
        <v>18543516.809644673</v>
      </c>
    </row>
    <row r="84" spans="1:13">
      <c r="A84" s="858">
        <f t="shared" si="9"/>
        <v>70</v>
      </c>
      <c r="B84" s="512"/>
      <c r="C84" s="88"/>
      <c r="D84" s="428"/>
      <c r="E84" s="465"/>
      <c r="F84" s="464"/>
      <c r="G84" s="464"/>
      <c r="H84" s="428"/>
    </row>
    <row r="85" spans="1:13">
      <c r="A85" s="858">
        <f t="shared" si="9"/>
        <v>71</v>
      </c>
      <c r="B85" s="706"/>
      <c r="C85" s="619" t="s">
        <v>305</v>
      </c>
      <c r="D85" s="428"/>
      <c r="E85" s="465"/>
      <c r="F85" s="464"/>
      <c r="G85" s="464"/>
      <c r="H85" s="428"/>
    </row>
    <row r="86" spans="1:13">
      <c r="A86" s="858">
        <f t="shared" si="9"/>
        <v>72</v>
      </c>
      <c r="B86" s="512">
        <v>38900</v>
      </c>
      <c r="C86" s="88" t="s">
        <v>1557</v>
      </c>
      <c r="D86" s="345">
        <f>[3]Reserve!$BK162</f>
        <v>0</v>
      </c>
      <c r="E86" s="465">
        <v>1</v>
      </c>
      <c r="F86" s="464">
        <f t="shared" ref="F86:G104" si="10">$F$16</f>
        <v>1</v>
      </c>
      <c r="G86" s="464">
        <f t="shared" si="10"/>
        <v>1</v>
      </c>
      <c r="H86" s="345">
        <f t="shared" ref="H86:H111" si="11">D86*E86*F86*G86</f>
        <v>0</v>
      </c>
    </row>
    <row r="87" spans="1:13">
      <c r="A87" s="858">
        <f t="shared" si="9"/>
        <v>73</v>
      </c>
      <c r="B87" s="512">
        <v>39000</v>
      </c>
      <c r="C87" s="88" t="s">
        <v>1558</v>
      </c>
      <c r="D87" s="345">
        <f>[3]Reserve!$BK163</f>
        <v>268780.86544112815</v>
      </c>
      <c r="E87" s="465">
        <v>1</v>
      </c>
      <c r="F87" s="464">
        <f t="shared" si="10"/>
        <v>1</v>
      </c>
      <c r="G87" s="464">
        <f t="shared" si="10"/>
        <v>1</v>
      </c>
      <c r="H87" s="428">
        <f t="shared" si="11"/>
        <v>268780.86544112815</v>
      </c>
    </row>
    <row r="88" spans="1:13">
      <c r="A88" s="858">
        <f t="shared" si="9"/>
        <v>74</v>
      </c>
      <c r="B88" s="512">
        <v>39002</v>
      </c>
      <c r="C88" s="88" t="s">
        <v>1559</v>
      </c>
      <c r="D88" s="345">
        <f>[3]Reserve!$BK164</f>
        <v>6509.1183599999995</v>
      </c>
      <c r="E88" s="465">
        <v>1</v>
      </c>
      <c r="F88" s="464">
        <f t="shared" si="10"/>
        <v>1</v>
      </c>
      <c r="G88" s="464">
        <f t="shared" si="10"/>
        <v>1</v>
      </c>
      <c r="H88" s="428">
        <f t="shared" si="11"/>
        <v>6509.1183599999995</v>
      </c>
    </row>
    <row r="89" spans="1:13">
      <c r="A89" s="858">
        <f t="shared" si="9"/>
        <v>75</v>
      </c>
      <c r="B89" s="512">
        <v>39003</v>
      </c>
      <c r="C89" s="88" t="s">
        <v>1560</v>
      </c>
      <c r="D89" s="345">
        <f>[3]Reserve!$BK165</f>
        <v>26665.889167999998</v>
      </c>
      <c r="E89" s="465">
        <v>1</v>
      </c>
      <c r="F89" s="464">
        <f t="shared" si="10"/>
        <v>1</v>
      </c>
      <c r="G89" s="464">
        <f t="shared" si="10"/>
        <v>1</v>
      </c>
      <c r="H89" s="428">
        <f t="shared" si="11"/>
        <v>26665.889167999998</v>
      </c>
    </row>
    <row r="90" spans="1:13">
      <c r="A90" s="858">
        <f t="shared" si="9"/>
        <v>76</v>
      </c>
      <c r="B90" s="512">
        <v>39004</v>
      </c>
      <c r="C90" s="88" t="s">
        <v>1561</v>
      </c>
      <c r="D90" s="345">
        <f>[3]Reserve!$BK166</f>
        <v>487.09822400000002</v>
      </c>
      <c r="E90" s="465">
        <v>1</v>
      </c>
      <c r="F90" s="464">
        <f t="shared" si="10"/>
        <v>1</v>
      </c>
      <c r="G90" s="464">
        <f t="shared" si="10"/>
        <v>1</v>
      </c>
      <c r="H90" s="428">
        <f t="shared" si="11"/>
        <v>487.09822400000002</v>
      </c>
    </row>
    <row r="91" spans="1:13">
      <c r="A91" s="858">
        <f t="shared" si="9"/>
        <v>77</v>
      </c>
      <c r="B91" s="512">
        <v>39009</v>
      </c>
      <c r="C91" s="88" t="s">
        <v>1562</v>
      </c>
      <c r="D91" s="345">
        <f>[3]Reserve!$BK167</f>
        <v>97151.221282499988</v>
      </c>
      <c r="E91" s="465">
        <v>1</v>
      </c>
      <c r="F91" s="464">
        <f t="shared" si="10"/>
        <v>1</v>
      </c>
      <c r="G91" s="464">
        <f t="shared" si="10"/>
        <v>1</v>
      </c>
      <c r="H91" s="428">
        <f t="shared" si="11"/>
        <v>97151.221282499988</v>
      </c>
    </row>
    <row r="92" spans="1:13">
      <c r="A92" s="858">
        <f t="shared" si="9"/>
        <v>78</v>
      </c>
      <c r="B92" s="512">
        <v>39100</v>
      </c>
      <c r="C92" s="88" t="s">
        <v>1563</v>
      </c>
      <c r="D92" s="345">
        <f>[3]Reserve!$BK168</f>
        <v>119701.09396999997</v>
      </c>
      <c r="E92" s="465">
        <v>1</v>
      </c>
      <c r="F92" s="464">
        <f t="shared" si="10"/>
        <v>1</v>
      </c>
      <c r="G92" s="464">
        <f t="shared" si="10"/>
        <v>1</v>
      </c>
      <c r="H92" s="428">
        <f t="shared" si="11"/>
        <v>119701.09396999997</v>
      </c>
    </row>
    <row r="93" spans="1:13">
      <c r="A93" s="858">
        <f t="shared" si="9"/>
        <v>79</v>
      </c>
      <c r="B93" s="512">
        <v>39103</v>
      </c>
      <c r="C93" s="88" t="s">
        <v>787</v>
      </c>
      <c r="D93" s="345">
        <f>[3]Reserve!$BK169</f>
        <v>0</v>
      </c>
      <c r="E93" s="465">
        <v>1</v>
      </c>
      <c r="F93" s="464">
        <f t="shared" si="10"/>
        <v>1</v>
      </c>
      <c r="G93" s="464">
        <f t="shared" si="10"/>
        <v>1</v>
      </c>
      <c r="H93" s="428">
        <f t="shared" si="11"/>
        <v>0</v>
      </c>
    </row>
    <row r="94" spans="1:13">
      <c r="A94" s="858">
        <f t="shared" si="9"/>
        <v>80</v>
      </c>
      <c r="B94" s="512">
        <v>39200</v>
      </c>
      <c r="C94" s="88" t="s">
        <v>1564</v>
      </c>
      <c r="D94" s="345">
        <f>[3]Reserve!$BK170</f>
        <v>33457.416659999995</v>
      </c>
      <c r="E94" s="465">
        <v>1</v>
      </c>
      <c r="F94" s="464">
        <f t="shared" si="10"/>
        <v>1</v>
      </c>
      <c r="G94" s="464">
        <f t="shared" si="10"/>
        <v>1</v>
      </c>
      <c r="H94" s="428">
        <f t="shared" si="11"/>
        <v>33457.416659999995</v>
      </c>
    </row>
    <row r="95" spans="1:13">
      <c r="A95" s="858">
        <f t="shared" si="9"/>
        <v>81</v>
      </c>
      <c r="B95" s="512">
        <v>39202</v>
      </c>
      <c r="C95" s="88" t="s">
        <v>1565</v>
      </c>
      <c r="D95" s="345">
        <f>[3]Reserve!$BK171</f>
        <v>0</v>
      </c>
      <c r="E95" s="465">
        <v>1</v>
      </c>
      <c r="F95" s="464">
        <f t="shared" si="10"/>
        <v>1</v>
      </c>
      <c r="G95" s="464">
        <f t="shared" si="10"/>
        <v>1</v>
      </c>
      <c r="H95" s="428">
        <f t="shared" si="11"/>
        <v>0</v>
      </c>
    </row>
    <row r="96" spans="1:13">
      <c r="A96" s="858">
        <f t="shared" si="9"/>
        <v>82</v>
      </c>
      <c r="B96" s="512">
        <v>39400</v>
      </c>
      <c r="C96" s="88" t="s">
        <v>1566</v>
      </c>
      <c r="D96" s="345">
        <f>[3]Reserve!$BK172</f>
        <v>345697.5226118596</v>
      </c>
      <c r="E96" s="465">
        <v>1</v>
      </c>
      <c r="F96" s="464">
        <f t="shared" si="10"/>
        <v>1</v>
      </c>
      <c r="G96" s="464">
        <f t="shared" si="10"/>
        <v>1</v>
      </c>
      <c r="H96" s="428">
        <f t="shared" si="11"/>
        <v>345697.5226118596</v>
      </c>
    </row>
    <row r="97" spans="1:11">
      <c r="A97" s="858">
        <f t="shared" si="9"/>
        <v>83</v>
      </c>
      <c r="B97" s="512">
        <v>39603</v>
      </c>
      <c r="C97" s="88" t="s">
        <v>1567</v>
      </c>
      <c r="D97" s="345">
        <f>[3]Reserve!$BK173</f>
        <v>3213.3677400000006</v>
      </c>
      <c r="E97" s="465">
        <v>1</v>
      </c>
      <c r="F97" s="464">
        <f t="shared" si="10"/>
        <v>1</v>
      </c>
      <c r="G97" s="464">
        <f t="shared" si="10"/>
        <v>1</v>
      </c>
      <c r="H97" s="428">
        <f t="shared" si="11"/>
        <v>3213.3677400000006</v>
      </c>
    </row>
    <row r="98" spans="1:11">
      <c r="A98" s="858">
        <f t="shared" si="9"/>
        <v>84</v>
      </c>
      <c r="B98" s="512">
        <v>39604</v>
      </c>
      <c r="C98" s="88" t="s">
        <v>1568</v>
      </c>
      <c r="D98" s="345">
        <f>[3]Reserve!$BK174</f>
        <v>5090.37390125</v>
      </c>
      <c r="E98" s="1071">
        <f>'[4]Base period Actuals'!$L$36</f>
        <v>0.45708609533023048</v>
      </c>
      <c r="F98" s="464">
        <f t="shared" si="10"/>
        <v>1</v>
      </c>
      <c r="G98" s="464">
        <f t="shared" si="10"/>
        <v>1</v>
      </c>
      <c r="H98" s="428">
        <f t="shared" si="11"/>
        <v>2326.7391302932747</v>
      </c>
      <c r="K98" s="690"/>
    </row>
    <row r="99" spans="1:11">
      <c r="A99" s="858">
        <f t="shared" si="9"/>
        <v>85</v>
      </c>
      <c r="B99" s="512">
        <v>39605</v>
      </c>
      <c r="C99" s="88" t="s">
        <v>1569</v>
      </c>
      <c r="D99" s="345">
        <f>[3]Reserve!$BK175</f>
        <v>3152.0680674999999</v>
      </c>
      <c r="E99" s="1071">
        <f>'[4]Base period Actuals'!$L$36</f>
        <v>0.45708609533023048</v>
      </c>
      <c r="F99" s="464">
        <f t="shared" si="10"/>
        <v>1</v>
      </c>
      <c r="G99" s="464">
        <f t="shared" si="10"/>
        <v>1</v>
      </c>
      <c r="H99" s="428">
        <f t="shared" si="11"/>
        <v>1440.7664851886802</v>
      </c>
      <c r="K99" s="690"/>
    </row>
    <row r="100" spans="1:11">
      <c r="A100" s="858">
        <f t="shared" si="9"/>
        <v>86</v>
      </c>
      <c r="B100" s="512">
        <v>39700</v>
      </c>
      <c r="C100" s="88" t="s">
        <v>1570</v>
      </c>
      <c r="D100" s="345">
        <f>[3]Reserve!$BK176</f>
        <v>23942.933484000005</v>
      </c>
      <c r="E100" s="1071">
        <f>'[4]Base period Actuals'!$L$42</f>
        <v>0.45665536834919274</v>
      </c>
      <c r="F100" s="464">
        <f t="shared" si="10"/>
        <v>1</v>
      </c>
      <c r="G100" s="464">
        <f t="shared" si="10"/>
        <v>1</v>
      </c>
      <c r="H100" s="428">
        <f t="shared" si="11"/>
        <v>10933.669109496243</v>
      </c>
      <c r="K100" s="690"/>
    </row>
    <row r="101" spans="1:11">
      <c r="A101" s="858">
        <f t="shared" si="9"/>
        <v>87</v>
      </c>
      <c r="B101" s="706">
        <v>39701</v>
      </c>
      <c r="C101" s="88" t="s">
        <v>1530</v>
      </c>
      <c r="D101" s="345">
        <f>[3]Reserve!$BK177</f>
        <v>0</v>
      </c>
      <c r="E101" s="1071">
        <f>'[4]Base period Actuals'!$L$38</f>
        <v>2.0000506085680381E-2</v>
      </c>
      <c r="F101" s="464">
        <f t="shared" si="10"/>
        <v>1</v>
      </c>
      <c r="G101" s="464">
        <f t="shared" si="10"/>
        <v>1</v>
      </c>
      <c r="H101" s="428">
        <f t="shared" si="11"/>
        <v>0</v>
      </c>
      <c r="K101" s="690"/>
    </row>
    <row r="102" spans="1:11">
      <c r="A102" s="858">
        <f t="shared" si="9"/>
        <v>88</v>
      </c>
      <c r="B102" s="706">
        <v>39702</v>
      </c>
      <c r="C102" s="81" t="s">
        <v>1530</v>
      </c>
      <c r="D102" s="345">
        <f>[3]Reserve!$BK178</f>
        <v>0</v>
      </c>
      <c r="E102" s="1071">
        <f>'[4]Base period Actuals'!$L$38</f>
        <v>2.0000506085680381E-2</v>
      </c>
      <c r="F102" s="464">
        <f t="shared" si="10"/>
        <v>1</v>
      </c>
      <c r="G102" s="464">
        <f t="shared" si="10"/>
        <v>1</v>
      </c>
      <c r="H102" s="428">
        <f t="shared" si="11"/>
        <v>0</v>
      </c>
      <c r="K102" s="690"/>
    </row>
    <row r="103" spans="1:11">
      <c r="A103" s="858">
        <f t="shared" si="9"/>
        <v>89</v>
      </c>
      <c r="B103" s="706">
        <v>39705</v>
      </c>
      <c r="C103" s="88" t="s">
        <v>1571</v>
      </c>
      <c r="D103" s="345">
        <f>[3]Reserve!$BK179</f>
        <v>0</v>
      </c>
      <c r="E103" s="465">
        <v>1</v>
      </c>
      <c r="F103" s="464">
        <f t="shared" si="10"/>
        <v>1</v>
      </c>
      <c r="G103" s="464">
        <f t="shared" si="10"/>
        <v>1</v>
      </c>
      <c r="H103" s="428">
        <f t="shared" si="11"/>
        <v>0</v>
      </c>
    </row>
    <row r="104" spans="1:11">
      <c r="A104" s="858">
        <f t="shared" si="9"/>
        <v>90</v>
      </c>
      <c r="B104" s="706">
        <v>39800</v>
      </c>
      <c r="C104" s="88" t="s">
        <v>1572</v>
      </c>
      <c r="D104" s="345">
        <f>[3]Reserve!$BK180</f>
        <v>189434.17572625176</v>
      </c>
      <c r="E104" s="465">
        <v>1</v>
      </c>
      <c r="F104" s="464">
        <f t="shared" si="10"/>
        <v>1</v>
      </c>
      <c r="G104" s="464">
        <f t="shared" si="10"/>
        <v>1</v>
      </c>
      <c r="H104" s="428">
        <f t="shared" si="11"/>
        <v>189434.17572625176</v>
      </c>
    </row>
    <row r="105" spans="1:11">
      <c r="A105" s="858">
        <f t="shared" si="9"/>
        <v>91</v>
      </c>
      <c r="B105" s="706">
        <v>39901</v>
      </c>
      <c r="C105" s="88" t="s">
        <v>1531</v>
      </c>
      <c r="D105" s="345">
        <f>[3]Reserve!$BK181</f>
        <v>1438.9759999999997</v>
      </c>
      <c r="E105" s="465">
        <v>1</v>
      </c>
      <c r="F105" s="464">
        <f t="shared" ref="F105:G111" si="12">$F$16</f>
        <v>1</v>
      </c>
      <c r="G105" s="464">
        <f t="shared" si="12"/>
        <v>1</v>
      </c>
      <c r="H105" s="428">
        <f t="shared" si="11"/>
        <v>1438.9759999999997</v>
      </c>
    </row>
    <row r="106" spans="1:11">
      <c r="A106" s="858">
        <f t="shared" si="9"/>
        <v>92</v>
      </c>
      <c r="B106" s="706">
        <v>39902</v>
      </c>
      <c r="C106" s="88" t="s">
        <v>1532</v>
      </c>
      <c r="D106" s="345">
        <f>[3]Reserve!$BK182</f>
        <v>0</v>
      </c>
      <c r="E106" s="465">
        <v>1</v>
      </c>
      <c r="F106" s="464">
        <f t="shared" si="12"/>
        <v>1</v>
      </c>
      <c r="G106" s="464">
        <f t="shared" si="12"/>
        <v>1</v>
      </c>
      <c r="H106" s="428">
        <f t="shared" si="11"/>
        <v>0</v>
      </c>
    </row>
    <row r="107" spans="1:11">
      <c r="A107" s="858">
        <f t="shared" si="9"/>
        <v>93</v>
      </c>
      <c r="B107" s="706">
        <v>39903</v>
      </c>
      <c r="C107" s="88" t="s">
        <v>1573</v>
      </c>
      <c r="D107" s="345">
        <f>[3]Reserve!$BK183</f>
        <v>13459.885999999997</v>
      </c>
      <c r="E107" s="465">
        <v>1</v>
      </c>
      <c r="F107" s="464">
        <f t="shared" si="12"/>
        <v>1</v>
      </c>
      <c r="G107" s="464">
        <f t="shared" si="12"/>
        <v>1</v>
      </c>
      <c r="H107" s="428">
        <f t="shared" si="11"/>
        <v>13459.885999999997</v>
      </c>
    </row>
    <row r="108" spans="1:11">
      <c r="A108" s="858">
        <f t="shared" si="9"/>
        <v>94</v>
      </c>
      <c r="B108" s="706">
        <v>39906</v>
      </c>
      <c r="C108" s="88" t="s">
        <v>1574</v>
      </c>
      <c r="D108" s="345">
        <f>[3]Reserve!$BK184</f>
        <v>357344.44602401124</v>
      </c>
      <c r="E108" s="465">
        <v>1</v>
      </c>
      <c r="F108" s="464">
        <f t="shared" si="12"/>
        <v>1</v>
      </c>
      <c r="G108" s="464">
        <f t="shared" si="12"/>
        <v>1</v>
      </c>
      <c r="H108" s="428">
        <f t="shared" si="11"/>
        <v>357344.44602401124</v>
      </c>
    </row>
    <row r="109" spans="1:11">
      <c r="A109" s="858">
        <f t="shared" si="9"/>
        <v>95</v>
      </c>
      <c r="B109" s="706">
        <v>39907</v>
      </c>
      <c r="C109" s="88" t="s">
        <v>1575</v>
      </c>
      <c r="D109" s="345">
        <f>[3]Reserve!$BK185</f>
        <v>0</v>
      </c>
      <c r="E109" s="465">
        <v>1</v>
      </c>
      <c r="F109" s="464">
        <f t="shared" si="12"/>
        <v>1</v>
      </c>
      <c r="G109" s="464">
        <f t="shared" si="12"/>
        <v>1</v>
      </c>
      <c r="H109" s="428">
        <f t="shared" si="11"/>
        <v>0</v>
      </c>
    </row>
    <row r="110" spans="1:11">
      <c r="A110" s="858">
        <f t="shared" si="9"/>
        <v>96</v>
      </c>
      <c r="B110" s="706">
        <v>39908</v>
      </c>
      <c r="C110" s="88" t="s">
        <v>1576</v>
      </c>
      <c r="D110" s="345">
        <f>[3]Reserve!$BK186</f>
        <v>2059.6097902500001</v>
      </c>
      <c r="E110" s="465">
        <v>1</v>
      </c>
      <c r="F110" s="464">
        <f t="shared" si="12"/>
        <v>1</v>
      </c>
      <c r="G110" s="464">
        <f t="shared" si="12"/>
        <v>1</v>
      </c>
      <c r="H110" s="428">
        <f t="shared" si="11"/>
        <v>2059.6097902500001</v>
      </c>
    </row>
    <row r="111" spans="1:11" ht="15.75">
      <c r="A111" s="858">
        <f t="shared" si="9"/>
        <v>97</v>
      </c>
      <c r="B111" s="706"/>
      <c r="C111" s="88" t="s">
        <v>1276</v>
      </c>
      <c r="D111" s="345">
        <f>[3]Reserve!$BK$189</f>
        <v>0</v>
      </c>
      <c r="E111" s="465">
        <v>1</v>
      </c>
      <c r="F111" s="464">
        <f t="shared" si="12"/>
        <v>1</v>
      </c>
      <c r="G111" s="464">
        <f t="shared" si="12"/>
        <v>1</v>
      </c>
      <c r="H111" s="428">
        <f t="shared" si="11"/>
        <v>0</v>
      </c>
      <c r="J111" s="906"/>
      <c r="K111" s="690"/>
    </row>
    <row r="112" spans="1:11">
      <c r="A112" s="858">
        <f t="shared" si="9"/>
        <v>98</v>
      </c>
      <c r="B112" s="706"/>
      <c r="C112" s="88"/>
      <c r="D112" s="1063"/>
      <c r="E112" s="711"/>
      <c r="H112" s="1063"/>
    </row>
    <row r="113" spans="1:14">
      <c r="A113" s="858">
        <f t="shared" si="9"/>
        <v>99</v>
      </c>
      <c r="B113" s="389"/>
      <c r="C113" s="88" t="s">
        <v>1352</v>
      </c>
      <c r="D113" s="345">
        <f>SUM(D86:D112)</f>
        <v>1497586.062450751</v>
      </c>
      <c r="E113" s="710"/>
      <c r="H113" s="345">
        <f>SUM(H86:H112)</f>
        <v>1480101.861722979</v>
      </c>
    </row>
    <row r="114" spans="1:14">
      <c r="A114" s="858">
        <f t="shared" si="9"/>
        <v>100</v>
      </c>
      <c r="B114" s="389"/>
      <c r="C114" s="88"/>
      <c r="D114" s="428"/>
      <c r="E114" s="711"/>
      <c r="H114" s="428"/>
    </row>
    <row r="115" spans="1:14">
      <c r="A115" s="858">
        <f t="shared" si="9"/>
        <v>101</v>
      </c>
      <c r="B115" s="389"/>
      <c r="C115" s="88" t="s">
        <v>1349</v>
      </c>
      <c r="D115" s="345">
        <f>D113+D83+D59+D47+D26+D19</f>
        <v>20884691.248354092</v>
      </c>
      <c r="E115" s="710"/>
      <c r="H115" s="345">
        <f>H113+H83+H59+H47+H26+H19</f>
        <v>20867207.04762632</v>
      </c>
      <c r="M115" s="670"/>
      <c r="N115" s="670"/>
    </row>
    <row r="116" spans="1:14">
      <c r="A116" s="858">
        <f t="shared" si="9"/>
        <v>102</v>
      </c>
      <c r="B116" s="389"/>
      <c r="C116" s="88"/>
      <c r="D116" s="428"/>
    </row>
    <row r="117" spans="1:14">
      <c r="A117" s="858">
        <f t="shared" si="9"/>
        <v>103</v>
      </c>
      <c r="B117" s="389"/>
      <c r="C117" s="81"/>
      <c r="D117" s="428"/>
    </row>
    <row r="118" spans="1:14">
      <c r="A118" s="858">
        <f t="shared" si="9"/>
        <v>104</v>
      </c>
      <c r="B118" s="1045"/>
      <c r="D118" s="428"/>
    </row>
    <row r="119" spans="1:14" ht="15.75">
      <c r="A119" s="858">
        <f t="shared" si="9"/>
        <v>105</v>
      </c>
      <c r="B119" s="1050" t="s">
        <v>7</v>
      </c>
      <c r="D119" s="428"/>
    </row>
    <row r="120" spans="1:14">
      <c r="A120" s="858">
        <f t="shared" si="9"/>
        <v>106</v>
      </c>
      <c r="B120" s="1045"/>
      <c r="D120" s="428"/>
    </row>
    <row r="121" spans="1:14">
      <c r="A121" s="858">
        <f t="shared" si="9"/>
        <v>107</v>
      </c>
      <c r="B121" s="389"/>
      <c r="C121" s="619" t="s">
        <v>301</v>
      </c>
      <c r="D121" s="428"/>
    </row>
    <row r="122" spans="1:14">
      <c r="A122" s="858">
        <f t="shared" si="9"/>
        <v>108</v>
      </c>
      <c r="B122" s="512">
        <v>30100</v>
      </c>
      <c r="C122" s="88" t="s">
        <v>295</v>
      </c>
      <c r="D122" s="345">
        <f>[3]Reserve!$BK84</f>
        <v>0</v>
      </c>
      <c r="E122" s="465">
        <v>1</v>
      </c>
      <c r="F122" s="464">
        <f>$F$16</f>
        <v>1</v>
      </c>
      <c r="G122" s="465">
        <f>Allocation!$D$17</f>
        <v>0.5025136071712456</v>
      </c>
      <c r="H122" s="345">
        <f>D122*E122*F122*G122</f>
        <v>0</v>
      </c>
    </row>
    <row r="123" spans="1:14">
      <c r="A123" s="858">
        <f t="shared" si="9"/>
        <v>109</v>
      </c>
      <c r="B123" s="512">
        <v>30300</v>
      </c>
      <c r="C123" s="88" t="s">
        <v>548</v>
      </c>
      <c r="D123" s="345">
        <f>[3]Reserve!$BK85</f>
        <v>0</v>
      </c>
      <c r="E123" s="465">
        <v>1</v>
      </c>
      <c r="F123" s="464">
        <f>$F$16</f>
        <v>1</v>
      </c>
      <c r="G123" s="465">
        <f>$G$122</f>
        <v>0.5025136071712456</v>
      </c>
      <c r="H123" s="1049">
        <f>D123*E123*F123*G123</f>
        <v>0</v>
      </c>
    </row>
    <row r="124" spans="1:14">
      <c r="A124" s="858">
        <f t="shared" si="9"/>
        <v>110</v>
      </c>
      <c r="B124" s="512"/>
      <c r="C124" s="88"/>
    </row>
    <row r="125" spans="1:14">
      <c r="A125" s="858">
        <f t="shared" si="9"/>
        <v>111</v>
      </c>
      <c r="B125" s="706"/>
      <c r="C125" s="88" t="s">
        <v>1354</v>
      </c>
      <c r="D125" s="345">
        <f>SUM(D122:D124)</f>
        <v>0</v>
      </c>
      <c r="E125" s="710"/>
      <c r="F125" s="464"/>
      <c r="G125" s="464"/>
      <c r="H125" s="345">
        <f>SUM(H122:H124)</f>
        <v>0</v>
      </c>
    </row>
    <row r="126" spans="1:14">
      <c r="A126" s="858">
        <f t="shared" si="9"/>
        <v>112</v>
      </c>
      <c r="B126" s="1065"/>
    </row>
    <row r="127" spans="1:14">
      <c r="A127" s="858">
        <f t="shared" si="9"/>
        <v>113</v>
      </c>
      <c r="B127" s="706"/>
      <c r="C127" s="619" t="s">
        <v>303</v>
      </c>
    </row>
    <row r="128" spans="1:14">
      <c r="A128" s="858">
        <f t="shared" si="9"/>
        <v>114</v>
      </c>
      <c r="B128" s="512">
        <v>37400</v>
      </c>
      <c r="C128" s="88" t="s">
        <v>1157</v>
      </c>
      <c r="D128" s="345">
        <v>0</v>
      </c>
      <c r="E128" s="465">
        <v>1</v>
      </c>
      <c r="F128" s="464">
        <f t="shared" ref="F128:F148" si="13">$F$16</f>
        <v>1</v>
      </c>
      <c r="G128" s="465">
        <f t="shared" ref="G128:G148" si="14">$G$122</f>
        <v>0.5025136071712456</v>
      </c>
      <c r="H128" s="345">
        <f>D128*E128*F128*G128</f>
        <v>0</v>
      </c>
    </row>
    <row r="129" spans="1:15">
      <c r="A129" s="858">
        <f t="shared" si="9"/>
        <v>115</v>
      </c>
      <c r="B129" s="512">
        <v>35010</v>
      </c>
      <c r="C129" s="88" t="s">
        <v>296</v>
      </c>
      <c r="D129" s="428">
        <v>0</v>
      </c>
      <c r="E129" s="465">
        <v>1</v>
      </c>
      <c r="F129" s="464">
        <f t="shared" si="13"/>
        <v>1</v>
      </c>
      <c r="G129" s="465">
        <f t="shared" si="14"/>
        <v>0.5025136071712456</v>
      </c>
      <c r="H129" s="428">
        <f t="shared" ref="H129:H148" si="15">D129*E129*F129*G129</f>
        <v>0</v>
      </c>
    </row>
    <row r="130" spans="1:15">
      <c r="A130" s="858">
        <f t="shared" si="9"/>
        <v>116</v>
      </c>
      <c r="B130" s="512">
        <v>37402</v>
      </c>
      <c r="C130" s="88" t="s">
        <v>1007</v>
      </c>
      <c r="D130" s="428">
        <v>0</v>
      </c>
      <c r="E130" s="465">
        <v>1</v>
      </c>
      <c r="F130" s="464">
        <f t="shared" si="13"/>
        <v>1</v>
      </c>
      <c r="G130" s="465">
        <f t="shared" si="14"/>
        <v>0.5025136071712456</v>
      </c>
      <c r="H130" s="428">
        <f t="shared" si="15"/>
        <v>0</v>
      </c>
    </row>
    <row r="131" spans="1:15">
      <c r="A131" s="858">
        <f t="shared" si="9"/>
        <v>117</v>
      </c>
      <c r="B131" s="512">
        <v>37403</v>
      </c>
      <c r="C131" s="88" t="s">
        <v>1004</v>
      </c>
      <c r="D131" s="428">
        <v>0</v>
      </c>
      <c r="E131" s="465">
        <v>1</v>
      </c>
      <c r="F131" s="464">
        <f t="shared" si="13"/>
        <v>1</v>
      </c>
      <c r="G131" s="465">
        <f t="shared" si="14"/>
        <v>0.5025136071712456</v>
      </c>
      <c r="H131" s="428">
        <f t="shared" si="15"/>
        <v>0</v>
      </c>
      <c r="O131" s="88"/>
    </row>
    <row r="132" spans="1:15">
      <c r="A132" s="858">
        <f t="shared" si="9"/>
        <v>118</v>
      </c>
      <c r="B132" s="512">
        <v>36602</v>
      </c>
      <c r="C132" s="88" t="s">
        <v>863</v>
      </c>
      <c r="D132" s="428">
        <v>0</v>
      </c>
      <c r="E132" s="465">
        <v>1</v>
      </c>
      <c r="F132" s="464">
        <f t="shared" si="13"/>
        <v>1</v>
      </c>
      <c r="G132" s="465">
        <f t="shared" si="14"/>
        <v>0.5025136071712456</v>
      </c>
      <c r="H132" s="428">
        <f t="shared" si="15"/>
        <v>0</v>
      </c>
    </row>
    <row r="133" spans="1:15">
      <c r="A133" s="858">
        <f t="shared" si="9"/>
        <v>119</v>
      </c>
      <c r="B133" s="512">
        <v>37501</v>
      </c>
      <c r="C133" s="88" t="s">
        <v>1005</v>
      </c>
      <c r="D133" s="428">
        <v>0</v>
      </c>
      <c r="E133" s="465">
        <v>1</v>
      </c>
      <c r="F133" s="464">
        <f t="shared" si="13"/>
        <v>1</v>
      </c>
      <c r="G133" s="465">
        <f t="shared" si="14"/>
        <v>0.5025136071712456</v>
      </c>
      <c r="H133" s="428">
        <f t="shared" si="15"/>
        <v>0</v>
      </c>
      <c r="O133" s="512"/>
    </row>
    <row r="134" spans="1:15">
      <c r="A134" s="858">
        <f t="shared" si="9"/>
        <v>120</v>
      </c>
      <c r="B134" s="512">
        <v>37402</v>
      </c>
      <c r="C134" s="88" t="s">
        <v>1007</v>
      </c>
      <c r="D134" s="428">
        <v>0</v>
      </c>
      <c r="E134" s="465">
        <v>1</v>
      </c>
      <c r="F134" s="464">
        <f t="shared" si="13"/>
        <v>1</v>
      </c>
      <c r="G134" s="465">
        <f t="shared" si="14"/>
        <v>0.5025136071712456</v>
      </c>
      <c r="H134" s="428">
        <f t="shared" si="15"/>
        <v>0</v>
      </c>
    </row>
    <row r="135" spans="1:15">
      <c r="A135" s="858">
        <f t="shared" si="9"/>
        <v>121</v>
      </c>
      <c r="B135" s="512">
        <v>37503</v>
      </c>
      <c r="C135" s="88" t="s">
        <v>1006</v>
      </c>
      <c r="D135" s="428">
        <v>0</v>
      </c>
      <c r="E135" s="465">
        <v>1</v>
      </c>
      <c r="F135" s="464">
        <f t="shared" si="13"/>
        <v>1</v>
      </c>
      <c r="G135" s="465">
        <f t="shared" si="14"/>
        <v>0.5025136071712456</v>
      </c>
      <c r="H135" s="428">
        <f t="shared" si="15"/>
        <v>0</v>
      </c>
      <c r="O135" s="512"/>
    </row>
    <row r="136" spans="1:15">
      <c r="A136" s="858">
        <f t="shared" si="9"/>
        <v>122</v>
      </c>
      <c r="B136" s="512">
        <v>36700</v>
      </c>
      <c r="C136" s="88" t="s">
        <v>851</v>
      </c>
      <c r="D136" s="428">
        <v>0</v>
      </c>
      <c r="E136" s="465">
        <v>1</v>
      </c>
      <c r="F136" s="464">
        <f t="shared" si="13"/>
        <v>1</v>
      </c>
      <c r="G136" s="465">
        <f t="shared" si="14"/>
        <v>0.5025136071712456</v>
      </c>
      <c r="H136" s="428">
        <f t="shared" si="15"/>
        <v>0</v>
      </c>
    </row>
    <row r="137" spans="1:15">
      <c r="A137" s="858">
        <f t="shared" si="9"/>
        <v>123</v>
      </c>
      <c r="B137" s="512">
        <v>36701</v>
      </c>
      <c r="C137" s="88" t="s">
        <v>16</v>
      </c>
      <c r="D137" s="428">
        <v>0</v>
      </c>
      <c r="E137" s="465">
        <v>1</v>
      </c>
      <c r="F137" s="464">
        <f t="shared" si="13"/>
        <v>1</v>
      </c>
      <c r="G137" s="465">
        <f t="shared" si="14"/>
        <v>0.5025136071712456</v>
      </c>
      <c r="H137" s="428">
        <f t="shared" si="15"/>
        <v>0</v>
      </c>
    </row>
    <row r="138" spans="1:15">
      <c r="A138" s="858">
        <f t="shared" si="9"/>
        <v>124</v>
      </c>
      <c r="B138" s="512">
        <v>37602</v>
      </c>
      <c r="C138" s="88" t="s">
        <v>852</v>
      </c>
      <c r="D138" s="428">
        <v>0</v>
      </c>
      <c r="E138" s="465">
        <v>1</v>
      </c>
      <c r="F138" s="464">
        <f t="shared" si="13"/>
        <v>1</v>
      </c>
      <c r="G138" s="465">
        <f t="shared" si="14"/>
        <v>0.5025136071712456</v>
      </c>
      <c r="H138" s="428">
        <f t="shared" si="15"/>
        <v>0</v>
      </c>
    </row>
    <row r="139" spans="1:15">
      <c r="A139" s="858">
        <f t="shared" si="9"/>
        <v>125</v>
      </c>
      <c r="B139" s="512">
        <v>37800</v>
      </c>
      <c r="C139" s="88" t="s">
        <v>230</v>
      </c>
      <c r="D139" s="428">
        <v>0</v>
      </c>
      <c r="E139" s="465">
        <v>1</v>
      </c>
      <c r="F139" s="464">
        <f t="shared" si="13"/>
        <v>1</v>
      </c>
      <c r="G139" s="465">
        <f t="shared" si="14"/>
        <v>0.5025136071712456</v>
      </c>
      <c r="H139" s="428">
        <f t="shared" si="15"/>
        <v>0</v>
      </c>
      <c r="M139" s="715"/>
      <c r="N139" s="713"/>
    </row>
    <row r="140" spans="1:15">
      <c r="A140" s="858">
        <f t="shared" si="9"/>
        <v>126</v>
      </c>
      <c r="B140" s="512">
        <v>37900</v>
      </c>
      <c r="C140" s="88" t="s">
        <v>1200</v>
      </c>
      <c r="D140" s="428">
        <v>0</v>
      </c>
      <c r="E140" s="465">
        <v>1</v>
      </c>
      <c r="F140" s="464">
        <f t="shared" si="13"/>
        <v>1</v>
      </c>
      <c r="G140" s="465">
        <f t="shared" si="14"/>
        <v>0.5025136071712456</v>
      </c>
      <c r="H140" s="428">
        <f t="shared" si="15"/>
        <v>0</v>
      </c>
    </row>
    <row r="141" spans="1:15">
      <c r="A141" s="858">
        <f t="shared" si="9"/>
        <v>127</v>
      </c>
      <c r="B141" s="512">
        <v>37905</v>
      </c>
      <c r="C141" s="88" t="s">
        <v>732</v>
      </c>
      <c r="D141" s="428">
        <v>0</v>
      </c>
      <c r="E141" s="465">
        <v>1</v>
      </c>
      <c r="F141" s="464">
        <f t="shared" si="13"/>
        <v>1</v>
      </c>
      <c r="G141" s="465">
        <f t="shared" si="14"/>
        <v>0.5025136071712456</v>
      </c>
      <c r="H141" s="428">
        <f t="shared" si="15"/>
        <v>0</v>
      </c>
      <c r="M141" s="712"/>
      <c r="N141" s="714"/>
    </row>
    <row r="142" spans="1:15">
      <c r="A142" s="858">
        <f t="shared" si="9"/>
        <v>128</v>
      </c>
      <c r="B142" s="512">
        <v>38000</v>
      </c>
      <c r="C142" s="88" t="s">
        <v>1061</v>
      </c>
      <c r="D142" s="428">
        <v>0</v>
      </c>
      <c r="E142" s="465">
        <v>1</v>
      </c>
      <c r="F142" s="464">
        <f t="shared" si="13"/>
        <v>1</v>
      </c>
      <c r="G142" s="465">
        <f t="shared" si="14"/>
        <v>0.5025136071712456</v>
      </c>
      <c r="H142" s="428">
        <f t="shared" si="15"/>
        <v>0</v>
      </c>
    </row>
    <row r="143" spans="1:15">
      <c r="A143" s="858">
        <f t="shared" si="9"/>
        <v>129</v>
      </c>
      <c r="B143" s="512">
        <v>38100</v>
      </c>
      <c r="C143" s="88" t="s">
        <v>853</v>
      </c>
      <c r="D143" s="428">
        <v>0</v>
      </c>
      <c r="E143" s="465">
        <v>1</v>
      </c>
      <c r="F143" s="464">
        <f t="shared" si="13"/>
        <v>1</v>
      </c>
      <c r="G143" s="465">
        <f t="shared" si="14"/>
        <v>0.5025136071712456</v>
      </c>
      <c r="H143" s="428">
        <f t="shared" si="15"/>
        <v>0</v>
      </c>
      <c r="M143" s="712"/>
      <c r="N143" s="713"/>
    </row>
    <row r="144" spans="1:15">
      <c r="A144" s="858">
        <f t="shared" si="9"/>
        <v>130</v>
      </c>
      <c r="B144" s="512">
        <v>38200</v>
      </c>
      <c r="C144" s="88" t="s">
        <v>447</v>
      </c>
      <c r="D144" s="428">
        <v>0</v>
      </c>
      <c r="E144" s="465">
        <v>1</v>
      </c>
      <c r="F144" s="464">
        <f t="shared" si="13"/>
        <v>1</v>
      </c>
      <c r="G144" s="465">
        <f t="shared" si="14"/>
        <v>0.5025136071712456</v>
      </c>
      <c r="H144" s="428">
        <f t="shared" si="15"/>
        <v>0</v>
      </c>
    </row>
    <row r="145" spans="1:14">
      <c r="A145" s="858">
        <f t="shared" si="9"/>
        <v>131</v>
      </c>
      <c r="B145" s="512">
        <v>38300</v>
      </c>
      <c r="C145" s="88" t="s">
        <v>1062</v>
      </c>
      <c r="D145" s="428">
        <v>0</v>
      </c>
      <c r="E145" s="465">
        <v>1</v>
      </c>
      <c r="F145" s="464">
        <f t="shared" si="13"/>
        <v>1</v>
      </c>
      <c r="G145" s="465">
        <f t="shared" si="14"/>
        <v>0.5025136071712456</v>
      </c>
      <c r="H145" s="428">
        <f t="shared" si="15"/>
        <v>0</v>
      </c>
      <c r="M145" s="712"/>
      <c r="N145" s="713"/>
    </row>
    <row r="146" spans="1:14">
      <c r="A146" s="858">
        <f t="shared" si="9"/>
        <v>132</v>
      </c>
      <c r="B146" s="512">
        <v>38400</v>
      </c>
      <c r="C146" s="88" t="s">
        <v>448</v>
      </c>
      <c r="D146" s="428">
        <v>0</v>
      </c>
      <c r="E146" s="465">
        <v>1</v>
      </c>
      <c r="F146" s="464">
        <f t="shared" si="13"/>
        <v>1</v>
      </c>
      <c r="G146" s="465">
        <f t="shared" si="14"/>
        <v>0.5025136071712456</v>
      </c>
      <c r="H146" s="428">
        <f t="shared" si="15"/>
        <v>0</v>
      </c>
    </row>
    <row r="147" spans="1:14">
      <c r="A147" s="858">
        <f t="shared" si="9"/>
        <v>133</v>
      </c>
      <c r="B147" s="512">
        <v>38500</v>
      </c>
      <c r="C147" s="88" t="s">
        <v>449</v>
      </c>
      <c r="D147" s="428">
        <v>0</v>
      </c>
      <c r="E147" s="465">
        <v>1</v>
      </c>
      <c r="F147" s="464">
        <f t="shared" si="13"/>
        <v>1</v>
      </c>
      <c r="G147" s="465">
        <f t="shared" si="14"/>
        <v>0.5025136071712456</v>
      </c>
      <c r="H147" s="428">
        <f t="shared" si="15"/>
        <v>0</v>
      </c>
    </row>
    <row r="148" spans="1:14">
      <c r="A148" s="858">
        <f t="shared" si="9"/>
        <v>134</v>
      </c>
      <c r="B148" s="512">
        <v>38600</v>
      </c>
      <c r="C148" s="88" t="s">
        <v>107</v>
      </c>
      <c r="D148" s="1049">
        <v>0</v>
      </c>
      <c r="E148" s="465">
        <v>1</v>
      </c>
      <c r="F148" s="464">
        <f t="shared" si="13"/>
        <v>1</v>
      </c>
      <c r="G148" s="465">
        <f t="shared" si="14"/>
        <v>0.5025136071712456</v>
      </c>
      <c r="H148" s="1049">
        <f t="shared" si="15"/>
        <v>0</v>
      </c>
    </row>
    <row r="149" spans="1:14">
      <c r="A149" s="858">
        <f t="shared" si="9"/>
        <v>135</v>
      </c>
      <c r="B149" s="512"/>
      <c r="C149" s="88"/>
    </row>
    <row r="150" spans="1:14">
      <c r="A150" s="858">
        <f t="shared" ref="A150:A241" si="16">A149+1</f>
        <v>136</v>
      </c>
      <c r="B150" s="512"/>
      <c r="C150" s="88" t="s">
        <v>1353</v>
      </c>
      <c r="D150" s="345">
        <f>SUM(D128:D149)</f>
        <v>0</v>
      </c>
      <c r="E150" s="710"/>
      <c r="H150" s="345">
        <f>SUM(H128:H149)</f>
        <v>0</v>
      </c>
    </row>
    <row r="151" spans="1:14">
      <c r="A151" s="858">
        <f t="shared" si="16"/>
        <v>137</v>
      </c>
      <c r="B151" s="512"/>
      <c r="C151" s="88"/>
    </row>
    <row r="152" spans="1:14">
      <c r="A152" s="858">
        <f t="shared" si="16"/>
        <v>138</v>
      </c>
      <c r="B152" s="706"/>
      <c r="C152" s="619" t="s">
        <v>305</v>
      </c>
    </row>
    <row r="153" spans="1:14">
      <c r="A153" s="858">
        <f t="shared" si="16"/>
        <v>139</v>
      </c>
      <c r="B153" s="512">
        <v>39001</v>
      </c>
      <c r="C153" s="88" t="s">
        <v>1577</v>
      </c>
      <c r="D153" s="345">
        <f>[3]Reserve!$BK86</f>
        <v>4806.2723359999991</v>
      </c>
      <c r="E153" s="465">
        <v>1</v>
      </c>
      <c r="F153" s="464">
        <f t="shared" ref="F153:F173" si="17">$F$16</f>
        <v>1</v>
      </c>
      <c r="G153" s="465">
        <f t="shared" ref="G153:G173" si="18">$G$122</f>
        <v>0.5025136071712456</v>
      </c>
      <c r="H153" s="345">
        <f t="shared" ref="H153:H173" si="19">D153*E153*F153*G153</f>
        <v>2415.2172486107283</v>
      </c>
      <c r="N153" s="465"/>
    </row>
    <row r="154" spans="1:14">
      <c r="A154" s="858">
        <f t="shared" si="16"/>
        <v>140</v>
      </c>
      <c r="B154" s="512">
        <v>39004</v>
      </c>
      <c r="C154" s="88" t="s">
        <v>1561</v>
      </c>
      <c r="D154" s="345">
        <f>[3]Reserve!$BK87</f>
        <v>1127.6406030000001</v>
      </c>
      <c r="E154" s="465">
        <v>1</v>
      </c>
      <c r="F154" s="464">
        <f t="shared" si="17"/>
        <v>1</v>
      </c>
      <c r="G154" s="465">
        <f t="shared" si="18"/>
        <v>0.5025136071712456</v>
      </c>
      <c r="H154" s="428">
        <f t="shared" si="19"/>
        <v>566.65474700628852</v>
      </c>
      <c r="N154" s="465"/>
    </row>
    <row r="155" spans="1:14">
      <c r="A155" s="858">
        <f t="shared" si="16"/>
        <v>141</v>
      </c>
      <c r="B155" s="512">
        <v>39009</v>
      </c>
      <c r="C155" s="88" t="s">
        <v>1562</v>
      </c>
      <c r="D155" s="345">
        <f>[3]Reserve!$BK88</f>
        <v>0</v>
      </c>
      <c r="E155" s="465">
        <v>1</v>
      </c>
      <c r="F155" s="464">
        <f t="shared" si="17"/>
        <v>1</v>
      </c>
      <c r="G155" s="465">
        <f t="shared" si="18"/>
        <v>0.5025136071712456</v>
      </c>
      <c r="H155" s="428">
        <f t="shared" si="19"/>
        <v>0</v>
      </c>
      <c r="N155" s="465"/>
    </row>
    <row r="156" spans="1:14">
      <c r="A156" s="858">
        <f t="shared" si="16"/>
        <v>142</v>
      </c>
      <c r="B156" s="512">
        <v>39100</v>
      </c>
      <c r="C156" s="88" t="s">
        <v>1563</v>
      </c>
      <c r="D156" s="345">
        <f>[3]Reserve!$BK89</f>
        <v>0</v>
      </c>
      <c r="E156" s="465">
        <v>1</v>
      </c>
      <c r="F156" s="464">
        <f t="shared" si="17"/>
        <v>1</v>
      </c>
      <c r="G156" s="465">
        <f t="shared" si="18"/>
        <v>0.5025136071712456</v>
      </c>
      <c r="H156" s="428">
        <f t="shared" si="19"/>
        <v>0</v>
      </c>
      <c r="N156" s="465"/>
    </row>
    <row r="157" spans="1:14">
      <c r="A157" s="858">
        <f t="shared" si="16"/>
        <v>143</v>
      </c>
      <c r="B157" s="512">
        <v>39101</v>
      </c>
      <c r="C157" s="88" t="s">
        <v>1533</v>
      </c>
      <c r="D157" s="345">
        <f>[3]Reserve!$BK90</f>
        <v>0</v>
      </c>
      <c r="E157" s="465">
        <v>1</v>
      </c>
      <c r="F157" s="464">
        <f t="shared" si="17"/>
        <v>1</v>
      </c>
      <c r="G157" s="465">
        <f t="shared" si="18"/>
        <v>0.5025136071712456</v>
      </c>
      <c r="H157" s="428">
        <f t="shared" si="19"/>
        <v>0</v>
      </c>
      <c r="K157" s="690"/>
      <c r="N157" s="465"/>
    </row>
    <row r="158" spans="1:14">
      <c r="A158" s="858">
        <f t="shared" si="16"/>
        <v>144</v>
      </c>
      <c r="B158" s="512">
        <v>39103</v>
      </c>
      <c r="C158" s="88" t="s">
        <v>787</v>
      </c>
      <c r="D158" s="345">
        <f>[3]Reserve!$BK91</f>
        <v>0</v>
      </c>
      <c r="E158" s="465">
        <v>1</v>
      </c>
      <c r="F158" s="464">
        <f t="shared" si="17"/>
        <v>1</v>
      </c>
      <c r="G158" s="465">
        <f t="shared" si="18"/>
        <v>0.5025136071712456</v>
      </c>
      <c r="H158" s="428">
        <f t="shared" si="19"/>
        <v>0</v>
      </c>
      <c r="K158" s="690"/>
      <c r="N158" s="465"/>
    </row>
    <row r="159" spans="1:14">
      <c r="A159" s="858">
        <f t="shared" si="16"/>
        <v>145</v>
      </c>
      <c r="B159" s="512">
        <v>39200</v>
      </c>
      <c r="C159" s="88" t="s">
        <v>1578</v>
      </c>
      <c r="D159" s="345">
        <f>[3]Reserve!$BK92</f>
        <v>1819.888823</v>
      </c>
      <c r="E159" s="1071">
        <f>'[4]Base period Actuals'!$L$15</f>
        <v>0.45672337245593209</v>
      </c>
      <c r="F159" s="464">
        <f t="shared" si="17"/>
        <v>1</v>
      </c>
      <c r="G159" s="465">
        <f t="shared" si="18"/>
        <v>0.5025136071712456</v>
      </c>
      <c r="H159" s="428">
        <f t="shared" si="19"/>
        <v>417.68215485653025</v>
      </c>
      <c r="K159" s="690"/>
      <c r="N159" s="465"/>
    </row>
    <row r="160" spans="1:14">
      <c r="A160" s="858">
        <f t="shared" si="16"/>
        <v>146</v>
      </c>
      <c r="B160" s="512">
        <v>39300</v>
      </c>
      <c r="C160" s="88" t="s">
        <v>655</v>
      </c>
      <c r="D160" s="345">
        <f>[3]Reserve!$BK93</f>
        <v>0</v>
      </c>
      <c r="E160" s="465">
        <v>1</v>
      </c>
      <c r="F160" s="464">
        <f t="shared" si="17"/>
        <v>1</v>
      </c>
      <c r="G160" s="465">
        <f t="shared" si="18"/>
        <v>0.5025136071712456</v>
      </c>
      <c r="H160" s="428">
        <f t="shared" si="19"/>
        <v>0</v>
      </c>
      <c r="K160" s="690"/>
      <c r="N160" s="465"/>
    </row>
    <row r="161" spans="1:14">
      <c r="A161" s="858">
        <f t="shared" si="16"/>
        <v>147</v>
      </c>
      <c r="B161" s="512">
        <v>39400</v>
      </c>
      <c r="C161" s="88" t="s">
        <v>1566</v>
      </c>
      <c r="D161" s="345">
        <f>[3]Reserve!$BK94</f>
        <v>6183.9150513847453</v>
      </c>
      <c r="E161" s="1071">
        <f>'[4]Base period Actuals'!$L$21</f>
        <v>0.456653713716759</v>
      </c>
      <c r="F161" s="464">
        <f t="shared" si="17"/>
        <v>1</v>
      </c>
      <c r="G161" s="465">
        <f t="shared" si="18"/>
        <v>0.5025136071712456</v>
      </c>
      <c r="H161" s="428">
        <f t="shared" si="19"/>
        <v>1419.0520815923689</v>
      </c>
      <c r="K161" s="690"/>
      <c r="N161" s="465"/>
    </row>
    <row r="162" spans="1:14">
      <c r="A162" s="858">
        <f t="shared" si="16"/>
        <v>148</v>
      </c>
      <c r="B162" s="512">
        <v>39600</v>
      </c>
      <c r="C162" s="88" t="s">
        <v>1579</v>
      </c>
      <c r="D162" s="345">
        <f>[3]Reserve!$BK95</f>
        <v>894.48408400000005</v>
      </c>
      <c r="E162" s="1071">
        <f>'[4]Base period Actuals'!$L$17</f>
        <v>1.9989267507378727E-2</v>
      </c>
      <c r="F162" s="464">
        <f t="shared" si="17"/>
        <v>1</v>
      </c>
      <c r="G162" s="465">
        <f t="shared" si="18"/>
        <v>0.5025136071712456</v>
      </c>
      <c r="H162" s="428">
        <f t="shared" si="19"/>
        <v>8.9849843195074435</v>
      </c>
      <c r="K162" s="690"/>
      <c r="N162" s="465"/>
    </row>
    <row r="163" spans="1:14">
      <c r="A163" s="858">
        <f t="shared" si="16"/>
        <v>149</v>
      </c>
      <c r="B163" s="512">
        <v>39700</v>
      </c>
      <c r="C163" s="88" t="s">
        <v>1570</v>
      </c>
      <c r="D163" s="345">
        <f>[3]Reserve!$BK96</f>
        <v>1704.3723963036516</v>
      </c>
      <c r="E163" s="465">
        <v>1</v>
      </c>
      <c r="F163" s="464">
        <f t="shared" si="17"/>
        <v>1</v>
      </c>
      <c r="G163" s="465">
        <f t="shared" si="18"/>
        <v>0.5025136071712456</v>
      </c>
      <c r="H163" s="428">
        <f t="shared" si="19"/>
        <v>856.47032082964768</v>
      </c>
      <c r="K163" s="690"/>
      <c r="N163" s="465"/>
    </row>
    <row r="164" spans="1:14">
      <c r="A164" s="858">
        <f t="shared" si="16"/>
        <v>150</v>
      </c>
      <c r="B164" s="512">
        <v>39701</v>
      </c>
      <c r="C164" s="88" t="s">
        <v>1530</v>
      </c>
      <c r="D164" s="345">
        <f>[3]Reserve!$BK97</f>
        <v>0</v>
      </c>
      <c r="E164" s="465">
        <v>1</v>
      </c>
      <c r="F164" s="464">
        <f t="shared" si="17"/>
        <v>1</v>
      </c>
      <c r="G164" s="465">
        <f t="shared" si="18"/>
        <v>0.5025136071712456</v>
      </c>
      <c r="H164" s="428">
        <f t="shared" si="19"/>
        <v>0</v>
      </c>
      <c r="K164" s="690"/>
      <c r="N164" s="465"/>
    </row>
    <row r="165" spans="1:14">
      <c r="A165" s="858">
        <f t="shared" si="16"/>
        <v>151</v>
      </c>
      <c r="B165" s="706">
        <v>39702</v>
      </c>
      <c r="C165" s="88" t="s">
        <v>1530</v>
      </c>
      <c r="D165" s="345">
        <f>[3]Reserve!$BK98</f>
        <v>0</v>
      </c>
      <c r="E165" s="465">
        <v>1</v>
      </c>
      <c r="F165" s="464">
        <f t="shared" si="17"/>
        <v>1</v>
      </c>
      <c r="G165" s="465">
        <f t="shared" si="18"/>
        <v>0.5025136071712456</v>
      </c>
      <c r="H165" s="428">
        <f t="shared" si="19"/>
        <v>0</v>
      </c>
      <c r="N165" s="465"/>
    </row>
    <row r="166" spans="1:14">
      <c r="A166" s="858">
        <f t="shared" si="16"/>
        <v>152</v>
      </c>
      <c r="B166" s="706">
        <v>39800</v>
      </c>
      <c r="C166" s="88" t="s">
        <v>1572</v>
      </c>
      <c r="D166" s="345">
        <f>[3]Reserve!$BK99</f>
        <v>28251.590736000002</v>
      </c>
      <c r="E166" s="465">
        <v>1</v>
      </c>
      <c r="F166" s="464">
        <f t="shared" si="17"/>
        <v>1</v>
      </c>
      <c r="G166" s="465">
        <f t="shared" si="18"/>
        <v>0.5025136071712456</v>
      </c>
      <c r="H166" s="428">
        <f t="shared" si="19"/>
        <v>14196.808769073106</v>
      </c>
      <c r="N166" s="465"/>
    </row>
    <row r="167" spans="1:14">
      <c r="A167" s="858">
        <f t="shared" si="16"/>
        <v>153</v>
      </c>
      <c r="B167" s="706">
        <v>39900</v>
      </c>
      <c r="C167" s="88" t="s">
        <v>1580</v>
      </c>
      <c r="D167" s="345">
        <f>[3]Reserve!$BK100</f>
        <v>0</v>
      </c>
      <c r="E167" s="465">
        <v>1</v>
      </c>
      <c r="F167" s="464">
        <f t="shared" si="17"/>
        <v>1</v>
      </c>
      <c r="G167" s="465">
        <f t="shared" si="18"/>
        <v>0.5025136071712456</v>
      </c>
      <c r="H167" s="428">
        <f t="shared" si="19"/>
        <v>0</v>
      </c>
      <c r="N167" s="465"/>
    </row>
    <row r="168" spans="1:14">
      <c r="A168" s="858">
        <f t="shared" si="16"/>
        <v>154</v>
      </c>
      <c r="B168" s="706">
        <v>39901</v>
      </c>
      <c r="C168" s="88" t="s">
        <v>1581</v>
      </c>
      <c r="D168" s="345">
        <f>[3]Reserve!$BK101</f>
        <v>0</v>
      </c>
      <c r="E168" s="465">
        <v>1</v>
      </c>
      <c r="F168" s="464">
        <f t="shared" si="17"/>
        <v>1</v>
      </c>
      <c r="G168" s="465">
        <f t="shared" si="18"/>
        <v>0.5025136071712456</v>
      </c>
      <c r="H168" s="428">
        <f t="shared" si="19"/>
        <v>0</v>
      </c>
      <c r="N168" s="465"/>
    </row>
    <row r="169" spans="1:14">
      <c r="A169" s="858">
        <f t="shared" si="16"/>
        <v>155</v>
      </c>
      <c r="B169" s="706">
        <v>39902</v>
      </c>
      <c r="C169" s="88" t="s">
        <v>1582</v>
      </c>
      <c r="D169" s="345">
        <f>[3]Reserve!$BK102</f>
        <v>0</v>
      </c>
      <c r="E169" s="465">
        <v>1</v>
      </c>
      <c r="F169" s="464">
        <f t="shared" si="17"/>
        <v>1</v>
      </c>
      <c r="G169" s="465">
        <f t="shared" si="18"/>
        <v>0.5025136071712456</v>
      </c>
      <c r="H169" s="428">
        <f t="shared" si="19"/>
        <v>0</v>
      </c>
      <c r="N169" s="465"/>
    </row>
    <row r="170" spans="1:14">
      <c r="A170" s="858">
        <f t="shared" si="16"/>
        <v>156</v>
      </c>
      <c r="B170" s="706">
        <v>39903</v>
      </c>
      <c r="C170" s="88" t="s">
        <v>1573</v>
      </c>
      <c r="D170" s="345">
        <f>[3]Reserve!$BK103</f>
        <v>0</v>
      </c>
      <c r="E170" s="465">
        <v>1</v>
      </c>
      <c r="F170" s="464">
        <f t="shared" si="17"/>
        <v>1</v>
      </c>
      <c r="G170" s="465">
        <f t="shared" si="18"/>
        <v>0.5025136071712456</v>
      </c>
      <c r="H170" s="428">
        <f t="shared" si="19"/>
        <v>0</v>
      </c>
      <c r="N170" s="465"/>
    </row>
    <row r="171" spans="1:14">
      <c r="A171" s="858">
        <f t="shared" si="16"/>
        <v>157</v>
      </c>
      <c r="B171" s="706">
        <v>39906</v>
      </c>
      <c r="C171" s="88" t="s">
        <v>1574</v>
      </c>
      <c r="D171" s="345">
        <f>[3]Reserve!$BK104</f>
        <v>0</v>
      </c>
      <c r="E171" s="465">
        <v>1</v>
      </c>
      <c r="F171" s="464">
        <f t="shared" si="17"/>
        <v>1</v>
      </c>
      <c r="G171" s="465">
        <f t="shared" si="18"/>
        <v>0.5025136071712456</v>
      </c>
      <c r="H171" s="428">
        <f t="shared" si="19"/>
        <v>0</v>
      </c>
      <c r="N171" s="465"/>
    </row>
    <row r="172" spans="1:14">
      <c r="A172" s="858">
        <f t="shared" si="16"/>
        <v>158</v>
      </c>
      <c r="B172" s="706">
        <v>39907</v>
      </c>
      <c r="C172" s="88" t="s">
        <v>1575</v>
      </c>
      <c r="D172" s="345">
        <f>[3]Reserve!$BK105</f>
        <v>3895.5848469999987</v>
      </c>
      <c r="E172" s="465">
        <v>1</v>
      </c>
      <c r="F172" s="464">
        <f t="shared" si="17"/>
        <v>1</v>
      </c>
      <c r="G172" s="465">
        <f t="shared" si="18"/>
        <v>0.5025136071712456</v>
      </c>
      <c r="H172" s="428">
        <f t="shared" si="19"/>
        <v>1957.5843935076143</v>
      </c>
      <c r="N172" s="465"/>
    </row>
    <row r="173" spans="1:14">
      <c r="A173" s="858">
        <f t="shared" si="16"/>
        <v>159</v>
      </c>
      <c r="B173" s="706">
        <v>39908</v>
      </c>
      <c r="C173" s="88" t="s">
        <v>1576</v>
      </c>
      <c r="D173" s="345">
        <f>[3]Reserve!$BK106</f>
        <v>0</v>
      </c>
      <c r="E173" s="465">
        <v>1</v>
      </c>
      <c r="F173" s="464">
        <f t="shared" si="17"/>
        <v>1</v>
      </c>
      <c r="G173" s="465">
        <f t="shared" si="18"/>
        <v>0.5025136071712456</v>
      </c>
      <c r="H173" s="428">
        <f t="shared" si="19"/>
        <v>0</v>
      </c>
      <c r="N173" s="465"/>
    </row>
    <row r="174" spans="1:14">
      <c r="A174" s="858">
        <f t="shared" si="16"/>
        <v>160</v>
      </c>
      <c r="B174" s="706"/>
      <c r="C174" s="88"/>
      <c r="D174" s="428"/>
      <c r="E174" s="465"/>
      <c r="F174" s="464"/>
      <c r="G174" s="465"/>
      <c r="H174" s="428"/>
    </row>
    <row r="175" spans="1:14">
      <c r="A175" s="858">
        <f t="shared" si="16"/>
        <v>161</v>
      </c>
      <c r="B175" s="389"/>
      <c r="C175" s="88"/>
      <c r="D175" s="618"/>
      <c r="E175" s="1032"/>
      <c r="H175" s="618"/>
    </row>
    <row r="176" spans="1:14">
      <c r="A176" s="858">
        <f t="shared" si="16"/>
        <v>162</v>
      </c>
      <c r="B176" s="389"/>
      <c r="C176" s="88" t="s">
        <v>1352</v>
      </c>
      <c r="D176" s="345">
        <f>SUM(D153:D174)</f>
        <v>48683.748876688398</v>
      </c>
      <c r="E176" s="1072"/>
      <c r="H176" s="345">
        <f>SUM(H153:H174)</f>
        <v>21838.454699795791</v>
      </c>
    </row>
    <row r="177" spans="1:14">
      <c r="A177" s="858">
        <f t="shared" si="16"/>
        <v>163</v>
      </c>
      <c r="B177" s="389"/>
      <c r="C177" s="88"/>
      <c r="E177" s="1032"/>
    </row>
    <row r="178" spans="1:14" ht="15.75" thickBot="1">
      <c r="A178" s="858">
        <f t="shared" si="16"/>
        <v>164</v>
      </c>
      <c r="B178" s="389"/>
      <c r="C178" s="88" t="s">
        <v>1348</v>
      </c>
      <c r="D178" s="328">
        <f>D125+D150+D176</f>
        <v>48683.748876688398</v>
      </c>
      <c r="E178" s="1072"/>
      <c r="H178" s="328">
        <f>H125+H150+H176</f>
        <v>21838.454699795791</v>
      </c>
    </row>
    <row r="179" spans="1:14" ht="15.75" thickTop="1">
      <c r="A179" s="858">
        <f t="shared" si="16"/>
        <v>165</v>
      </c>
      <c r="B179" s="1045"/>
      <c r="D179" s="428"/>
      <c r="E179" s="1032"/>
    </row>
    <row r="180" spans="1:14" ht="15.75">
      <c r="A180" s="858">
        <f t="shared" si="16"/>
        <v>166</v>
      </c>
      <c r="B180" s="1050" t="s">
        <v>8</v>
      </c>
      <c r="D180" s="428"/>
    </row>
    <row r="181" spans="1:14">
      <c r="A181" s="858">
        <f t="shared" si="16"/>
        <v>167</v>
      </c>
      <c r="D181" s="428"/>
    </row>
    <row r="182" spans="1:14">
      <c r="A182" s="858">
        <f t="shared" si="16"/>
        <v>168</v>
      </c>
      <c r="B182" s="389"/>
      <c r="C182" s="619" t="s">
        <v>305</v>
      </c>
      <c r="D182" s="428"/>
    </row>
    <row r="183" spans="1:14">
      <c r="A183" s="858">
        <f t="shared" si="16"/>
        <v>169</v>
      </c>
      <c r="B183" s="512">
        <v>39000</v>
      </c>
      <c r="C183" s="88" t="s">
        <v>1558</v>
      </c>
      <c r="D183" s="345">
        <f>[3]Reserve!$BK7</f>
        <v>42485.43138220167</v>
      </c>
      <c r="E183" s="464">
        <v>1</v>
      </c>
      <c r="F183" s="465">
        <f>Allocation!$C$14</f>
        <v>0.10349999999999999</v>
      </c>
      <c r="G183" s="465">
        <f>Allocation!$D$14</f>
        <v>0.5025136071712456</v>
      </c>
      <c r="H183" s="345">
        <f>D183*E183*F183*G183</f>
        <v>2209.6740134259981</v>
      </c>
      <c r="N183" s="465"/>
    </row>
    <row r="184" spans="1:14">
      <c r="A184" s="858">
        <f t="shared" si="16"/>
        <v>170</v>
      </c>
      <c r="B184" s="512">
        <v>39005</v>
      </c>
      <c r="C184" s="88" t="s">
        <v>1583</v>
      </c>
      <c r="D184" s="345">
        <f>[3]Reserve!$BK8</f>
        <v>274903.73915899993</v>
      </c>
      <c r="E184" s="464">
        <v>1</v>
      </c>
      <c r="F184" s="465">
        <v>1</v>
      </c>
      <c r="G184" s="465">
        <f>Allocation!$I$20</f>
        <v>1.550753E-2</v>
      </c>
      <c r="H184" s="428">
        <f t="shared" ref="H184:H218" si="20">D184*E184*F184*G184</f>
        <v>4263.077982120366</v>
      </c>
      <c r="N184" s="465"/>
    </row>
    <row r="185" spans="1:14">
      <c r="A185" s="858">
        <f t="shared" si="16"/>
        <v>171</v>
      </c>
      <c r="B185" s="512">
        <v>39009</v>
      </c>
      <c r="C185" s="88" t="s">
        <v>1562</v>
      </c>
      <c r="D185" s="345">
        <f>[3]Reserve!$BK9</f>
        <v>318539.92345479981</v>
      </c>
      <c r="E185" s="464">
        <v>1</v>
      </c>
      <c r="F185" s="465">
        <f t="shared" ref="F185:F198" si="21">$F$183</f>
        <v>0.10349999999999999</v>
      </c>
      <c r="G185" s="465">
        <f t="shared" ref="G185:G198" si="22">$G$183</f>
        <v>0.5025136071712456</v>
      </c>
      <c r="H185" s="428">
        <f t="shared" si="20"/>
        <v>16567.311857204022</v>
      </c>
      <c r="N185" s="465"/>
    </row>
    <row r="186" spans="1:14">
      <c r="A186" s="858">
        <f t="shared" si="16"/>
        <v>172</v>
      </c>
      <c r="B186" s="512">
        <v>39020</v>
      </c>
      <c r="C186" s="88" t="s">
        <v>1534</v>
      </c>
      <c r="D186" s="345">
        <f>[3]Reserve!$BK10</f>
        <v>0</v>
      </c>
      <c r="E186" s="464">
        <v>1</v>
      </c>
      <c r="F186" s="465">
        <v>1</v>
      </c>
      <c r="G186" s="465">
        <f>Allocation!$E$22</f>
        <v>6.437198999999999E-2</v>
      </c>
      <c r="H186" s="428">
        <f t="shared" si="20"/>
        <v>0</v>
      </c>
      <c r="N186" s="465"/>
    </row>
    <row r="187" spans="1:14">
      <c r="A187" s="858">
        <f t="shared" si="16"/>
        <v>173</v>
      </c>
      <c r="B187" s="512">
        <v>39029</v>
      </c>
      <c r="C187" s="88" t="s">
        <v>1535</v>
      </c>
      <c r="D187" s="345">
        <f>[3]Reserve!$BK11</f>
        <v>0</v>
      </c>
      <c r="E187" s="464">
        <v>1</v>
      </c>
      <c r="F187" s="465">
        <v>1</v>
      </c>
      <c r="G187" s="465">
        <f>Allocation!$E$22</f>
        <v>6.437198999999999E-2</v>
      </c>
      <c r="H187" s="428">
        <f t="shared" si="20"/>
        <v>0</v>
      </c>
      <c r="N187" s="465"/>
    </row>
    <row r="188" spans="1:14">
      <c r="A188" s="858">
        <f t="shared" si="16"/>
        <v>174</v>
      </c>
      <c r="B188" s="512">
        <v>39100</v>
      </c>
      <c r="C188" s="88" t="s">
        <v>1563</v>
      </c>
      <c r="D188" s="345">
        <f>[3]Reserve!$BK12</f>
        <v>203100.32636179886</v>
      </c>
      <c r="E188" s="464">
        <v>1</v>
      </c>
      <c r="F188" s="465">
        <f t="shared" si="21"/>
        <v>0.10349999999999999</v>
      </c>
      <c r="G188" s="465">
        <f t="shared" si="22"/>
        <v>0.5025136071712456</v>
      </c>
      <c r="H188" s="428">
        <f t="shared" si="20"/>
        <v>10563.280133434513</v>
      </c>
      <c r="N188" s="465"/>
    </row>
    <row r="189" spans="1:14">
      <c r="A189" s="858">
        <f t="shared" si="16"/>
        <v>175</v>
      </c>
      <c r="B189" s="512">
        <v>39102</v>
      </c>
      <c r="C189" s="88" t="s">
        <v>1584</v>
      </c>
      <c r="D189" s="345">
        <f>[3]Reserve!$BK13</f>
        <v>0</v>
      </c>
      <c r="E189" s="464">
        <v>1</v>
      </c>
      <c r="F189" s="465">
        <f t="shared" si="21"/>
        <v>0.10349999999999999</v>
      </c>
      <c r="G189" s="465">
        <f t="shared" si="22"/>
        <v>0.5025136071712456</v>
      </c>
      <c r="H189" s="428">
        <f t="shared" si="20"/>
        <v>0</v>
      </c>
      <c r="N189" s="465"/>
    </row>
    <row r="190" spans="1:14">
      <c r="A190" s="858">
        <f t="shared" si="16"/>
        <v>176</v>
      </c>
      <c r="B190" s="512">
        <v>39103</v>
      </c>
      <c r="C190" s="88" t="s">
        <v>1341</v>
      </c>
      <c r="D190" s="345">
        <f>[3]Reserve!$BK14</f>
        <v>0</v>
      </c>
      <c r="E190" s="464">
        <v>1</v>
      </c>
      <c r="F190" s="465">
        <f t="shared" si="21"/>
        <v>0.10349999999999999</v>
      </c>
      <c r="G190" s="465">
        <f t="shared" si="22"/>
        <v>0.5025136071712456</v>
      </c>
      <c r="H190" s="428">
        <f t="shared" si="20"/>
        <v>0</v>
      </c>
      <c r="N190" s="465"/>
    </row>
    <row r="191" spans="1:14">
      <c r="A191" s="858">
        <f t="shared" si="16"/>
        <v>177</v>
      </c>
      <c r="B191" s="512">
        <v>39104</v>
      </c>
      <c r="C191" s="88" t="s">
        <v>1585</v>
      </c>
      <c r="D191" s="345">
        <f>[3]Reserve!$BK15</f>
        <v>10428.180444000001</v>
      </c>
      <c r="E191" s="464">
        <v>1</v>
      </c>
      <c r="F191" s="465">
        <v>1</v>
      </c>
      <c r="G191" s="465">
        <f>Allocation!$I$20</f>
        <v>1.550753E-2</v>
      </c>
      <c r="H191" s="428">
        <f t="shared" si="20"/>
        <v>161.71532108074334</v>
      </c>
      <c r="N191" s="465"/>
    </row>
    <row r="192" spans="1:14">
      <c r="A192" s="858">
        <f t="shared" si="16"/>
        <v>178</v>
      </c>
      <c r="B192" s="512">
        <v>39120</v>
      </c>
      <c r="C192" s="88" t="s">
        <v>1536</v>
      </c>
      <c r="D192" s="345">
        <f>[3]Reserve!$BK16</f>
        <v>282.16623600000003</v>
      </c>
      <c r="E192" s="464">
        <v>1</v>
      </c>
      <c r="F192" s="465">
        <v>1</v>
      </c>
      <c r="G192" s="465">
        <f>Allocation!$E$22</f>
        <v>6.437198999999999E-2</v>
      </c>
      <c r="H192" s="428">
        <f t="shared" si="20"/>
        <v>18.163602122129639</v>
      </c>
      <c r="N192" s="465"/>
    </row>
    <row r="193" spans="1:14">
      <c r="A193" s="858">
        <f t="shared" si="16"/>
        <v>179</v>
      </c>
      <c r="B193" s="512">
        <v>39200</v>
      </c>
      <c r="C193" s="88" t="s">
        <v>1564</v>
      </c>
      <c r="D193" s="345">
        <f>[3]Reserve!$BK17</f>
        <v>0</v>
      </c>
      <c r="E193" s="464">
        <v>1</v>
      </c>
      <c r="F193" s="465">
        <f t="shared" si="21"/>
        <v>0.10349999999999999</v>
      </c>
      <c r="G193" s="465">
        <f t="shared" si="22"/>
        <v>0.5025136071712456</v>
      </c>
      <c r="H193" s="428">
        <f t="shared" si="20"/>
        <v>0</v>
      </c>
      <c r="N193" s="465"/>
    </row>
    <row r="194" spans="1:14">
      <c r="A194" s="858">
        <f t="shared" si="16"/>
        <v>180</v>
      </c>
      <c r="B194" s="512">
        <v>39300</v>
      </c>
      <c r="C194" s="88" t="s">
        <v>1586</v>
      </c>
      <c r="D194" s="345">
        <f>[3]Reserve!$BK18</f>
        <v>0</v>
      </c>
      <c r="E194" s="464">
        <v>1</v>
      </c>
      <c r="F194" s="465">
        <f t="shared" si="21"/>
        <v>0.10349999999999999</v>
      </c>
      <c r="G194" s="465">
        <f t="shared" si="22"/>
        <v>0.5025136071712456</v>
      </c>
      <c r="H194" s="428">
        <f t="shared" si="20"/>
        <v>0</v>
      </c>
      <c r="N194" s="465"/>
    </row>
    <row r="195" spans="1:14">
      <c r="A195" s="858">
        <f t="shared" si="16"/>
        <v>181</v>
      </c>
      <c r="B195" s="512">
        <v>39400</v>
      </c>
      <c r="C195" s="88" t="s">
        <v>1566</v>
      </c>
      <c r="D195" s="345">
        <f>[3]Reserve!$BK19</f>
        <v>33858.632992884741</v>
      </c>
      <c r="E195" s="464">
        <v>1</v>
      </c>
      <c r="F195" s="465">
        <f t="shared" si="21"/>
        <v>0.10349999999999999</v>
      </c>
      <c r="G195" s="465">
        <f t="shared" si="22"/>
        <v>0.5025136071712456</v>
      </c>
      <c r="H195" s="428">
        <f t="shared" si="20"/>
        <v>1760.9928632111823</v>
      </c>
      <c r="N195" s="465"/>
    </row>
    <row r="196" spans="1:14">
      <c r="A196" s="858">
        <f t="shared" si="16"/>
        <v>182</v>
      </c>
      <c r="B196" s="512">
        <v>39420</v>
      </c>
      <c r="C196" s="88" t="s">
        <v>1537</v>
      </c>
      <c r="D196" s="345">
        <f>[3]Reserve!$BK20</f>
        <v>0</v>
      </c>
      <c r="E196" s="464">
        <v>1</v>
      </c>
      <c r="F196" s="465">
        <v>1</v>
      </c>
      <c r="G196" s="465">
        <f>Allocation!$E$22</f>
        <v>6.437198999999999E-2</v>
      </c>
      <c r="H196" s="428">
        <f t="shared" si="20"/>
        <v>0</v>
      </c>
      <c r="N196" s="465"/>
    </row>
    <row r="197" spans="1:14">
      <c r="A197" s="858">
        <f t="shared" si="16"/>
        <v>183</v>
      </c>
      <c r="B197" s="512">
        <v>39500</v>
      </c>
      <c r="C197" s="88" t="s">
        <v>1587</v>
      </c>
      <c r="D197" s="345">
        <f>[3]Reserve!$BK21</f>
        <v>0</v>
      </c>
      <c r="E197" s="464">
        <v>1</v>
      </c>
      <c r="F197" s="465">
        <f t="shared" si="21"/>
        <v>0.10349999999999999</v>
      </c>
      <c r="G197" s="465">
        <f t="shared" si="22"/>
        <v>0.5025136071712456</v>
      </c>
      <c r="H197" s="428">
        <f t="shared" si="20"/>
        <v>0</v>
      </c>
      <c r="N197" s="465"/>
    </row>
    <row r="198" spans="1:14">
      <c r="A198" s="858">
        <f t="shared" si="16"/>
        <v>184</v>
      </c>
      <c r="B198" s="512">
        <v>39700</v>
      </c>
      <c r="C198" s="88" t="s">
        <v>1570</v>
      </c>
      <c r="D198" s="345">
        <f>[3]Reserve!$BK22</f>
        <v>516.2238900000001</v>
      </c>
      <c r="E198" s="464">
        <v>1</v>
      </c>
      <c r="F198" s="465">
        <f t="shared" si="21"/>
        <v>0.10349999999999999</v>
      </c>
      <c r="G198" s="465">
        <f t="shared" si="22"/>
        <v>0.5025136071712456</v>
      </c>
      <c r="H198" s="428">
        <f t="shared" si="20"/>
        <v>26.848886258938787</v>
      </c>
      <c r="N198" s="465"/>
    </row>
    <row r="199" spans="1:14">
      <c r="A199" s="858">
        <f t="shared" si="16"/>
        <v>185</v>
      </c>
      <c r="B199" s="512">
        <v>39720</v>
      </c>
      <c r="C199" s="88" t="s">
        <v>1538</v>
      </c>
      <c r="D199" s="345">
        <f>[3]Reserve!$BK23</f>
        <v>0</v>
      </c>
      <c r="E199" s="464">
        <v>1</v>
      </c>
      <c r="F199" s="465">
        <v>1</v>
      </c>
      <c r="G199" s="465">
        <f>Allocation!$E$22</f>
        <v>6.437198999999999E-2</v>
      </c>
      <c r="H199" s="428">
        <f t="shared" si="20"/>
        <v>0</v>
      </c>
      <c r="N199" s="465"/>
    </row>
    <row r="200" spans="1:14">
      <c r="A200" s="858">
        <f t="shared" si="16"/>
        <v>186</v>
      </c>
      <c r="B200" s="512">
        <v>39800</v>
      </c>
      <c r="C200" s="88" t="s">
        <v>1572</v>
      </c>
      <c r="D200" s="345">
        <f>[3]Reserve!$BK24</f>
        <v>390.84583099999992</v>
      </c>
      <c r="E200" s="464">
        <v>1</v>
      </c>
      <c r="F200" s="465">
        <f t="shared" ref="F200:F215" si="23">$F$183</f>
        <v>0.10349999999999999</v>
      </c>
      <c r="G200" s="465">
        <f t="shared" ref="G200:G215" si="24">$G$183</f>
        <v>0.5025136071712456</v>
      </c>
      <c r="H200" s="428">
        <f t="shared" si="20"/>
        <v>20.327953557708085</v>
      </c>
      <c r="N200" s="465"/>
    </row>
    <row r="201" spans="1:14">
      <c r="A201" s="858">
        <f t="shared" si="16"/>
        <v>187</v>
      </c>
      <c r="B201" s="512">
        <v>39820</v>
      </c>
      <c r="C201" s="88" t="s">
        <v>1539</v>
      </c>
      <c r="D201" s="345">
        <f>[3]Reserve!$BK25</f>
        <v>715.33130108333341</v>
      </c>
      <c r="E201" s="464">
        <v>1</v>
      </c>
      <c r="F201" s="465">
        <v>1</v>
      </c>
      <c r="G201" s="465">
        <f>Allocation!$E$22</f>
        <v>6.437198999999999E-2</v>
      </c>
      <c r="H201" s="428">
        <f t="shared" si="20"/>
        <v>46.047299360023324</v>
      </c>
      <c r="N201" s="465"/>
    </row>
    <row r="202" spans="1:14">
      <c r="A202" s="858">
        <f t="shared" si="16"/>
        <v>188</v>
      </c>
      <c r="B202" s="512">
        <v>39900</v>
      </c>
      <c r="C202" s="88" t="s">
        <v>1588</v>
      </c>
      <c r="D202" s="345">
        <f>[3]Reserve!$BK26</f>
        <v>0</v>
      </c>
      <c r="E202" s="464">
        <v>1</v>
      </c>
      <c r="F202" s="465">
        <f t="shared" si="23"/>
        <v>0.10349999999999999</v>
      </c>
      <c r="G202" s="465">
        <f t="shared" si="24"/>
        <v>0.5025136071712456</v>
      </c>
      <c r="H202" s="428">
        <f t="shared" si="20"/>
        <v>0</v>
      </c>
      <c r="N202" s="465"/>
    </row>
    <row r="203" spans="1:14">
      <c r="A203" s="858">
        <f t="shared" si="16"/>
        <v>189</v>
      </c>
      <c r="B203" s="512">
        <v>39901</v>
      </c>
      <c r="C203" s="80" t="s">
        <v>1581</v>
      </c>
      <c r="D203" s="345">
        <f>[3]Reserve!$BK27</f>
        <v>1801728.2654160003</v>
      </c>
      <c r="E203" s="464">
        <v>1</v>
      </c>
      <c r="F203" s="465">
        <f t="shared" si="23"/>
        <v>0.10349999999999999</v>
      </c>
      <c r="G203" s="465">
        <f t="shared" si="24"/>
        <v>0.5025136071712456</v>
      </c>
      <c r="H203" s="428">
        <f t="shared" si="20"/>
        <v>93708.172373946625</v>
      </c>
      <c r="N203" s="465"/>
    </row>
    <row r="204" spans="1:14">
      <c r="A204" s="858">
        <f t="shared" si="16"/>
        <v>190</v>
      </c>
      <c r="B204" s="512">
        <v>39902</v>
      </c>
      <c r="C204" s="88" t="s">
        <v>1582</v>
      </c>
      <c r="D204" s="345">
        <f>[3]Reserve!$BK28</f>
        <v>316921.52343900001</v>
      </c>
      <c r="E204" s="464">
        <v>1</v>
      </c>
      <c r="F204" s="465">
        <f t="shared" si="23"/>
        <v>0.10349999999999999</v>
      </c>
      <c r="G204" s="465">
        <f t="shared" si="24"/>
        <v>0.5025136071712456</v>
      </c>
      <c r="H204" s="428">
        <f t="shared" si="20"/>
        <v>16483.138616121218</v>
      </c>
      <c r="N204" s="465"/>
    </row>
    <row r="205" spans="1:14">
      <c r="A205" s="858">
        <f t="shared" si="16"/>
        <v>191</v>
      </c>
      <c r="B205" s="512">
        <v>39903</v>
      </c>
      <c r="C205" s="88" t="s">
        <v>1573</v>
      </c>
      <c r="D205" s="345">
        <f>[3]Reserve!$BK29</f>
        <v>0</v>
      </c>
      <c r="E205" s="464">
        <v>1</v>
      </c>
      <c r="F205" s="465">
        <f t="shared" si="23"/>
        <v>0.10349999999999999</v>
      </c>
      <c r="G205" s="465">
        <f t="shared" si="24"/>
        <v>0.5025136071712456</v>
      </c>
      <c r="H205" s="428">
        <f t="shared" si="20"/>
        <v>0</v>
      </c>
      <c r="N205" s="465"/>
    </row>
    <row r="206" spans="1:14">
      <c r="A206" s="858">
        <f t="shared" si="16"/>
        <v>192</v>
      </c>
      <c r="B206" s="512">
        <v>39904</v>
      </c>
      <c r="C206" s="88" t="s">
        <v>1589</v>
      </c>
      <c r="D206" s="345">
        <f>[3]Reserve!$BK30</f>
        <v>0</v>
      </c>
      <c r="E206" s="464">
        <v>1</v>
      </c>
      <c r="F206" s="465">
        <f t="shared" si="23"/>
        <v>0.10349999999999999</v>
      </c>
      <c r="G206" s="465">
        <f t="shared" si="24"/>
        <v>0.5025136071712456</v>
      </c>
      <c r="H206" s="428">
        <f t="shared" si="20"/>
        <v>0</v>
      </c>
      <c r="N206" s="465"/>
    </row>
    <row r="207" spans="1:14">
      <c r="A207" s="858">
        <f t="shared" si="16"/>
        <v>193</v>
      </c>
      <c r="B207" s="512">
        <v>39905</v>
      </c>
      <c r="C207" s="88" t="s">
        <v>1590</v>
      </c>
      <c r="D207" s="345">
        <f>[3]Reserve!$BK31</f>
        <v>0</v>
      </c>
      <c r="E207" s="464">
        <v>1</v>
      </c>
      <c r="F207" s="465">
        <f t="shared" si="23"/>
        <v>0.10349999999999999</v>
      </c>
      <c r="G207" s="465">
        <f t="shared" si="24"/>
        <v>0.5025136071712456</v>
      </c>
      <c r="H207" s="428">
        <f t="shared" si="20"/>
        <v>0</v>
      </c>
      <c r="N207" s="465"/>
    </row>
    <row r="208" spans="1:14">
      <c r="A208" s="858">
        <f t="shared" si="16"/>
        <v>194</v>
      </c>
      <c r="B208" s="706">
        <v>39906</v>
      </c>
      <c r="C208" s="88" t="s">
        <v>1574</v>
      </c>
      <c r="D208" s="345">
        <f>[3]Reserve!$BK32</f>
        <v>95919.791029699685</v>
      </c>
      <c r="E208" s="464">
        <v>1</v>
      </c>
      <c r="F208" s="465">
        <f t="shared" si="23"/>
        <v>0.10349999999999999</v>
      </c>
      <c r="G208" s="465">
        <f t="shared" si="24"/>
        <v>0.5025136071712456</v>
      </c>
      <c r="H208" s="428">
        <f t="shared" si="20"/>
        <v>4988.8035196077099</v>
      </c>
      <c r="N208" s="465"/>
    </row>
    <row r="209" spans="1:14">
      <c r="A209" s="858">
        <f t="shared" si="16"/>
        <v>195</v>
      </c>
      <c r="B209" s="706">
        <v>39907</v>
      </c>
      <c r="C209" s="88" t="s">
        <v>1575</v>
      </c>
      <c r="D209" s="345">
        <f>[3]Reserve!$BK33</f>
        <v>0</v>
      </c>
      <c r="E209" s="464">
        <v>1</v>
      </c>
      <c r="F209" s="465">
        <f t="shared" si="23"/>
        <v>0.10349999999999999</v>
      </c>
      <c r="G209" s="465">
        <f t="shared" si="24"/>
        <v>0.5025136071712456</v>
      </c>
      <c r="H209" s="428">
        <f t="shared" si="20"/>
        <v>0</v>
      </c>
      <c r="N209" s="465"/>
    </row>
    <row r="210" spans="1:14">
      <c r="A210" s="858">
        <f t="shared" si="16"/>
        <v>196</v>
      </c>
      <c r="B210" s="706">
        <v>39908</v>
      </c>
      <c r="C210" s="88" t="s">
        <v>1576</v>
      </c>
      <c r="D210" s="345">
        <f>[3]Reserve!$BK34</f>
        <v>3721.0535760000002</v>
      </c>
      <c r="E210" s="464">
        <v>1</v>
      </c>
      <c r="F210" s="465">
        <f t="shared" si="23"/>
        <v>0.10349999999999999</v>
      </c>
      <c r="G210" s="465">
        <f t="shared" si="24"/>
        <v>0.5025136071712456</v>
      </c>
      <c r="H210" s="428">
        <f t="shared" si="20"/>
        <v>193.53258568765855</v>
      </c>
      <c r="N210" s="465"/>
    </row>
    <row r="211" spans="1:14">
      <c r="A211" s="858">
        <f t="shared" si="16"/>
        <v>197</v>
      </c>
      <c r="B211" s="706">
        <v>39909</v>
      </c>
      <c r="C211" s="88" t="s">
        <v>1591</v>
      </c>
      <c r="D211" s="345">
        <f>[3]Reserve!$BK35</f>
        <v>0</v>
      </c>
      <c r="E211" s="464">
        <v>1</v>
      </c>
      <c r="F211" s="465">
        <f t="shared" si="23"/>
        <v>0.10349999999999999</v>
      </c>
      <c r="G211" s="465">
        <f t="shared" si="24"/>
        <v>0.5025136071712456</v>
      </c>
      <c r="H211" s="428">
        <f t="shared" si="20"/>
        <v>0</v>
      </c>
      <c r="N211" s="465"/>
    </row>
    <row r="212" spans="1:14">
      <c r="A212" s="858">
        <f t="shared" si="16"/>
        <v>198</v>
      </c>
      <c r="B212" s="706">
        <v>39921</v>
      </c>
      <c r="C212" s="88" t="s">
        <v>1540</v>
      </c>
      <c r="D212" s="345">
        <f>[3]Reserve!$BK36</f>
        <v>67191.769235999993</v>
      </c>
      <c r="E212" s="464">
        <v>1</v>
      </c>
      <c r="F212" s="465">
        <v>1</v>
      </c>
      <c r="G212" s="465">
        <f>Allocation!$E$22</f>
        <v>6.437198999999999E-2</v>
      </c>
      <c r="H212" s="428">
        <f t="shared" si="20"/>
        <v>4325.2678973420989</v>
      </c>
      <c r="N212" s="465"/>
    </row>
    <row r="213" spans="1:14">
      <c r="A213" s="858">
        <f t="shared" si="16"/>
        <v>199</v>
      </c>
      <c r="B213" s="706">
        <v>39922</v>
      </c>
      <c r="C213" s="88" t="s">
        <v>1541</v>
      </c>
      <c r="D213" s="345">
        <f>[3]Reserve!$BK37</f>
        <v>9561.0702039999996</v>
      </c>
      <c r="E213" s="464">
        <v>1</v>
      </c>
      <c r="F213" s="465">
        <v>1</v>
      </c>
      <c r="G213" s="465">
        <f>Allocation!$E$22</f>
        <v>6.437198999999999E-2</v>
      </c>
      <c r="H213" s="428">
        <f t="shared" si="20"/>
        <v>615.46511556118583</v>
      </c>
      <c r="N213" s="465"/>
    </row>
    <row r="214" spans="1:14">
      <c r="A214" s="858">
        <f t="shared" si="16"/>
        <v>200</v>
      </c>
      <c r="B214" s="706">
        <v>39923</v>
      </c>
      <c r="C214" s="88" t="s">
        <v>1542</v>
      </c>
      <c r="D214" s="345">
        <f>[3]Reserve!$BK38</f>
        <v>0</v>
      </c>
      <c r="E214" s="464">
        <v>1</v>
      </c>
      <c r="F214" s="465">
        <v>1</v>
      </c>
      <c r="G214" s="465">
        <f>Allocation!$E$22</f>
        <v>6.437198999999999E-2</v>
      </c>
      <c r="H214" s="428">
        <f t="shared" si="20"/>
        <v>0</v>
      </c>
      <c r="N214" s="465"/>
    </row>
    <row r="215" spans="1:14">
      <c r="A215" s="858">
        <f t="shared" si="16"/>
        <v>201</v>
      </c>
      <c r="B215" s="706">
        <v>39924</v>
      </c>
      <c r="C215" s="88" t="s">
        <v>1411</v>
      </c>
      <c r="D215" s="345">
        <f>[3]Reserve!$BK39</f>
        <v>0</v>
      </c>
      <c r="E215" s="464">
        <v>1</v>
      </c>
      <c r="F215" s="465">
        <f t="shared" si="23"/>
        <v>0.10349999999999999</v>
      </c>
      <c r="G215" s="465">
        <f t="shared" si="24"/>
        <v>0.5025136071712456</v>
      </c>
      <c r="H215" s="428">
        <f t="shared" si="20"/>
        <v>0</v>
      </c>
      <c r="N215" s="465"/>
    </row>
    <row r="216" spans="1:14">
      <c r="A216" s="858">
        <f t="shared" si="16"/>
        <v>202</v>
      </c>
      <c r="B216" s="706">
        <v>39926</v>
      </c>
      <c r="C216" s="88" t="s">
        <v>1551</v>
      </c>
      <c r="D216" s="345">
        <f>[3]Reserve!$BK40</f>
        <v>0</v>
      </c>
      <c r="E216" s="464">
        <v>1</v>
      </c>
      <c r="F216" s="465">
        <v>1</v>
      </c>
      <c r="G216" s="465">
        <f>Allocation!$E$22</f>
        <v>6.437198999999999E-2</v>
      </c>
      <c r="H216" s="428">
        <f t="shared" si="20"/>
        <v>0</v>
      </c>
      <c r="N216" s="465"/>
    </row>
    <row r="217" spans="1:14">
      <c r="A217" s="858">
        <f t="shared" si="16"/>
        <v>203</v>
      </c>
      <c r="B217" s="706">
        <v>39928</v>
      </c>
      <c r="C217" s="88" t="s">
        <v>1552</v>
      </c>
      <c r="D217" s="345">
        <f>[3]Reserve!$BK41</f>
        <v>27081.432444961738</v>
      </c>
      <c r="E217" s="464">
        <v>1</v>
      </c>
      <c r="F217" s="465">
        <v>1</v>
      </c>
      <c r="G217" s="465">
        <f>Allocation!$E$22</f>
        <v>6.437198999999999E-2</v>
      </c>
      <c r="H217" s="428">
        <f t="shared" si="20"/>
        <v>1743.2856985327523</v>
      </c>
      <c r="N217" s="465"/>
    </row>
    <row r="218" spans="1:14">
      <c r="A218" s="858">
        <f t="shared" si="16"/>
        <v>204</v>
      </c>
      <c r="B218" s="706">
        <v>39931</v>
      </c>
      <c r="C218" s="88" t="s">
        <v>1553</v>
      </c>
      <c r="D218" s="345">
        <f>[3]Reserve!$BK42</f>
        <v>23034.296638170734</v>
      </c>
      <c r="E218" s="464">
        <v>1</v>
      </c>
      <c r="F218" s="465">
        <v>1</v>
      </c>
      <c r="G218" s="465">
        <f>Allocation!$E$23</f>
        <v>0</v>
      </c>
      <c r="H218" s="428">
        <f t="shared" si="20"/>
        <v>0</v>
      </c>
      <c r="N218" s="465"/>
    </row>
    <row r="219" spans="1:14">
      <c r="A219" s="858">
        <f t="shared" si="16"/>
        <v>205</v>
      </c>
      <c r="B219" s="706">
        <v>39932</v>
      </c>
      <c r="C219" s="88" t="s">
        <v>1554</v>
      </c>
      <c r="D219" s="345">
        <f>[3]Reserve!$BK43</f>
        <v>0</v>
      </c>
      <c r="E219" s="464">
        <v>1</v>
      </c>
      <c r="F219" s="465">
        <v>1</v>
      </c>
      <c r="G219" s="465">
        <f>Allocation!$E$23</f>
        <v>0</v>
      </c>
      <c r="H219" s="428">
        <f t="shared" ref="H219:H220" si="25">D219*E219*F219*G219</f>
        <v>0</v>
      </c>
      <c r="N219" s="465"/>
    </row>
    <row r="220" spans="1:14">
      <c r="A220" s="858">
        <f t="shared" si="16"/>
        <v>206</v>
      </c>
      <c r="B220" s="706">
        <v>39938</v>
      </c>
      <c r="C220" s="88" t="s">
        <v>1555</v>
      </c>
      <c r="D220" s="345">
        <f>[3]Reserve!$BK44</f>
        <v>0</v>
      </c>
      <c r="E220" s="464">
        <v>1</v>
      </c>
      <c r="F220" s="465">
        <v>1</v>
      </c>
      <c r="G220" s="465">
        <f>Allocation!$E$23</f>
        <v>0</v>
      </c>
      <c r="H220" s="428">
        <f t="shared" si="25"/>
        <v>0</v>
      </c>
      <c r="N220" s="465"/>
    </row>
    <row r="221" spans="1:14">
      <c r="A221" s="858">
        <f t="shared" si="16"/>
        <v>207</v>
      </c>
      <c r="B221" s="790"/>
      <c r="C221" s="834"/>
      <c r="D221" s="927"/>
      <c r="E221" s="382"/>
      <c r="F221" s="421"/>
      <c r="G221" s="421"/>
      <c r="H221" s="1049"/>
    </row>
    <row r="222" spans="1:14">
      <c r="A222" s="858">
        <f t="shared" si="16"/>
        <v>208</v>
      </c>
      <c r="B222" s="389"/>
      <c r="C222" s="88"/>
      <c r="E222" s="1032"/>
    </row>
    <row r="223" spans="1:14" ht="15.75" thickBot="1">
      <c r="A223" s="858">
        <f t="shared" si="16"/>
        <v>209</v>
      </c>
      <c r="B223" s="389"/>
      <c r="C223" s="88" t="s">
        <v>1350</v>
      </c>
      <c r="D223" s="328">
        <f>SUM(D183:D221)</f>
        <v>3230380.0030366005</v>
      </c>
      <c r="E223" s="1072"/>
      <c r="H223" s="328">
        <f>SUM(H183:H221)</f>
        <v>157695.10571857484</v>
      </c>
      <c r="M223" s="670"/>
      <c r="N223" s="670"/>
    </row>
    <row r="224" spans="1:14" ht="15.75" thickTop="1">
      <c r="A224" s="858">
        <f t="shared" si="16"/>
        <v>210</v>
      </c>
      <c r="B224" s="1045"/>
      <c r="D224" s="428"/>
      <c r="E224" s="1032"/>
    </row>
    <row r="225" spans="1:14" ht="15.75">
      <c r="A225" s="858">
        <f t="shared" si="16"/>
        <v>211</v>
      </c>
      <c r="B225" s="1050" t="s">
        <v>9</v>
      </c>
      <c r="D225" s="428"/>
    </row>
    <row r="226" spans="1:14">
      <c r="A226" s="858">
        <f t="shared" si="16"/>
        <v>212</v>
      </c>
      <c r="B226" s="1045"/>
      <c r="D226" s="428"/>
      <c r="K226" s="670"/>
    </row>
    <row r="227" spans="1:14">
      <c r="A227" s="858">
        <f t="shared" si="16"/>
        <v>213</v>
      </c>
      <c r="B227" s="389"/>
      <c r="C227" s="619" t="s">
        <v>305</v>
      </c>
      <c r="D227" s="428"/>
    </row>
    <row r="228" spans="1:14">
      <c r="A228" s="858">
        <f t="shared" si="16"/>
        <v>214</v>
      </c>
      <c r="B228" s="512">
        <v>38900</v>
      </c>
      <c r="C228" s="88" t="s">
        <v>1592</v>
      </c>
      <c r="D228" s="345">
        <f>[3]Reserve!$BK50</f>
        <v>0</v>
      </c>
      <c r="E228" s="464">
        <v>1</v>
      </c>
      <c r="F228" s="465">
        <f>Allocation!$C$15</f>
        <v>0.10929999999999999</v>
      </c>
      <c r="G228" s="465">
        <f>Allocation!$D$15</f>
        <v>0.51883860656465508</v>
      </c>
      <c r="H228" s="345">
        <f>D228*E228*F228*G228</f>
        <v>0</v>
      </c>
      <c r="J228" s="422"/>
      <c r="N228" s="465"/>
    </row>
    <row r="229" spans="1:14">
      <c r="A229" s="858">
        <f t="shared" si="16"/>
        <v>215</v>
      </c>
      <c r="B229" s="512">
        <v>38910</v>
      </c>
      <c r="C229" s="88" t="s">
        <v>1593</v>
      </c>
      <c r="D229" s="345">
        <f>[3]Reserve!$BK51</f>
        <v>0</v>
      </c>
      <c r="E229" s="623">
        <v>1</v>
      </c>
      <c r="F229" s="465">
        <v>1</v>
      </c>
      <c r="G229" s="465">
        <f>Allocation!$E$21</f>
        <v>2.3324339999999999E-2</v>
      </c>
      <c r="H229" s="428">
        <f t="shared" ref="H229:H256" si="26">D229*E229*F229*G229</f>
        <v>0</v>
      </c>
      <c r="N229" s="465"/>
    </row>
    <row r="230" spans="1:14">
      <c r="A230" s="858">
        <f t="shared" si="16"/>
        <v>216</v>
      </c>
      <c r="B230" s="512">
        <v>39000</v>
      </c>
      <c r="C230" s="88" t="s">
        <v>1558</v>
      </c>
      <c r="D230" s="345">
        <f>[3]Reserve!$BK52</f>
        <v>379882.0243259999</v>
      </c>
      <c r="E230" s="623">
        <v>1</v>
      </c>
      <c r="F230" s="465">
        <f>Allocation!$C$15</f>
        <v>0.10929999999999999</v>
      </c>
      <c r="G230" s="465">
        <f>Allocation!$D$15</f>
        <v>0.51883860656465508</v>
      </c>
      <c r="H230" s="428">
        <f t="shared" si="26"/>
        <v>21542.752395516654</v>
      </c>
      <c r="N230" s="465"/>
    </row>
    <row r="231" spans="1:14">
      <c r="A231" s="858">
        <f t="shared" si="16"/>
        <v>217</v>
      </c>
      <c r="B231" s="512">
        <v>39009</v>
      </c>
      <c r="C231" s="88" t="s">
        <v>1562</v>
      </c>
      <c r="D231" s="345">
        <f>[3]Reserve!$BK53</f>
        <v>91669.940375000006</v>
      </c>
      <c r="E231" s="623">
        <v>1</v>
      </c>
      <c r="F231" s="465">
        <f>Allocation!$C$15</f>
        <v>0.10929999999999999</v>
      </c>
      <c r="G231" s="465">
        <f>Allocation!$D$15</f>
        <v>0.51883860656465508</v>
      </c>
      <c r="H231" s="428">
        <f t="shared" si="26"/>
        <v>5198.5161211936811</v>
      </c>
      <c r="N231" s="465"/>
    </row>
    <row r="232" spans="1:14">
      <c r="A232" s="858">
        <f t="shared" si="16"/>
        <v>218</v>
      </c>
      <c r="B232" s="512">
        <v>39010</v>
      </c>
      <c r="C232" s="88" t="s">
        <v>1594</v>
      </c>
      <c r="D232" s="345">
        <f>[3]Reserve!$BK54</f>
        <v>637303.63470947754</v>
      </c>
      <c r="E232" s="623">
        <v>1</v>
      </c>
      <c r="F232" s="465">
        <v>1</v>
      </c>
      <c r="G232" s="465">
        <f>Allocation!$E$21</f>
        <v>2.3324339999999999E-2</v>
      </c>
      <c r="H232" s="428">
        <f t="shared" si="26"/>
        <v>14864.686659199655</v>
      </c>
      <c r="N232" s="465"/>
    </row>
    <row r="233" spans="1:14">
      <c r="A233" s="858">
        <f t="shared" si="16"/>
        <v>219</v>
      </c>
      <c r="B233" s="512">
        <v>39100</v>
      </c>
      <c r="C233" s="88" t="s">
        <v>1563</v>
      </c>
      <c r="D233" s="345">
        <f>[3]Reserve!$BK55</f>
        <v>96658.226631775353</v>
      </c>
      <c r="E233" s="623">
        <v>1</v>
      </c>
      <c r="F233" s="465">
        <f>Allocation!$C$15</f>
        <v>0.10929999999999999</v>
      </c>
      <c r="G233" s="465">
        <f>Allocation!$D$15</f>
        <v>0.51883860656465508</v>
      </c>
      <c r="H233" s="428">
        <f t="shared" si="26"/>
        <v>5481.3971443174569</v>
      </c>
      <c r="N233" s="465"/>
    </row>
    <row r="234" spans="1:14">
      <c r="A234" s="858">
        <f t="shared" si="16"/>
        <v>220</v>
      </c>
      <c r="B234" s="512">
        <v>39101</v>
      </c>
      <c r="C234" s="88" t="s">
        <v>1533</v>
      </c>
      <c r="D234" s="345">
        <f>[3]Reserve!$BK56</f>
        <v>0</v>
      </c>
      <c r="E234" s="623">
        <v>1</v>
      </c>
      <c r="F234" s="465">
        <f>Allocation!$C$15</f>
        <v>0.10929999999999999</v>
      </c>
      <c r="G234" s="465">
        <f>Allocation!$D$15</f>
        <v>0.51883860656465508</v>
      </c>
      <c r="H234" s="428">
        <f t="shared" si="26"/>
        <v>0</v>
      </c>
      <c r="N234" s="465"/>
    </row>
    <row r="235" spans="1:14">
      <c r="A235" s="858">
        <f t="shared" si="16"/>
        <v>221</v>
      </c>
      <c r="B235" s="512">
        <v>39102</v>
      </c>
      <c r="C235" s="88" t="s">
        <v>1543</v>
      </c>
      <c r="D235" s="345">
        <f>[3]Reserve!$BK57</f>
        <v>0</v>
      </c>
      <c r="E235" s="623">
        <v>1</v>
      </c>
      <c r="F235" s="465">
        <f>Allocation!$C$15</f>
        <v>0.10929999999999999</v>
      </c>
      <c r="G235" s="465">
        <f>Allocation!$D$15</f>
        <v>0.51883860656465508</v>
      </c>
      <c r="H235" s="428">
        <f t="shared" si="26"/>
        <v>0</v>
      </c>
      <c r="N235" s="465"/>
    </row>
    <row r="236" spans="1:14">
      <c r="A236" s="858">
        <f t="shared" si="16"/>
        <v>222</v>
      </c>
      <c r="B236" s="512">
        <v>39103</v>
      </c>
      <c r="C236" s="88" t="s">
        <v>1341</v>
      </c>
      <c r="D236" s="345">
        <f>[3]Reserve!$BK58</f>
        <v>0</v>
      </c>
      <c r="E236" s="623">
        <v>1</v>
      </c>
      <c r="F236" s="465">
        <f>Allocation!$C$15</f>
        <v>0.10929999999999999</v>
      </c>
      <c r="G236" s="465">
        <f>Allocation!$D$15</f>
        <v>0.51883860656465508</v>
      </c>
      <c r="H236" s="428">
        <f t="shared" si="26"/>
        <v>0</v>
      </c>
      <c r="N236" s="465"/>
    </row>
    <row r="237" spans="1:14">
      <c r="A237" s="858">
        <f t="shared" si="16"/>
        <v>223</v>
      </c>
      <c r="B237" s="512">
        <v>39110</v>
      </c>
      <c r="C237" s="88" t="s">
        <v>1544</v>
      </c>
      <c r="D237" s="345">
        <f>[3]Reserve!$BK59</f>
        <v>81919.320780240945</v>
      </c>
      <c r="E237" s="623">
        <v>1</v>
      </c>
      <c r="F237" s="465">
        <v>1</v>
      </c>
      <c r="G237" s="465">
        <f>Allocation!$E$21</f>
        <v>2.3324339999999999E-2</v>
      </c>
      <c r="H237" s="428">
        <f t="shared" si="26"/>
        <v>1910.7140904474049</v>
      </c>
      <c r="N237" s="465"/>
    </row>
    <row r="238" spans="1:14">
      <c r="A238" s="858">
        <f t="shared" si="16"/>
        <v>224</v>
      </c>
      <c r="B238" s="512">
        <v>39210</v>
      </c>
      <c r="C238" s="88" t="s">
        <v>1545</v>
      </c>
      <c r="D238" s="345">
        <f>[3]Reserve!$BK60</f>
        <v>1338.4340580000001</v>
      </c>
      <c r="E238" s="623">
        <v>1</v>
      </c>
      <c r="F238" s="465">
        <v>1</v>
      </c>
      <c r="G238" s="465">
        <f>Allocation!$E$21</f>
        <v>2.3324339999999999E-2</v>
      </c>
      <c r="H238" s="428">
        <f t="shared" si="26"/>
        <v>31.218091036371721</v>
      </c>
      <c r="N238" s="465"/>
    </row>
    <row r="239" spans="1:14">
      <c r="A239" s="858">
        <f t="shared" si="16"/>
        <v>225</v>
      </c>
      <c r="B239" s="512">
        <v>39410</v>
      </c>
      <c r="C239" s="88" t="s">
        <v>1546</v>
      </c>
      <c r="D239" s="345">
        <f>[3]Reserve!$BK61</f>
        <v>29108.725649999993</v>
      </c>
      <c r="E239" s="623">
        <v>1</v>
      </c>
      <c r="F239" s="465">
        <v>1</v>
      </c>
      <c r="G239" s="465">
        <f>Allocation!$E$21</f>
        <v>2.3324339999999999E-2</v>
      </c>
      <c r="H239" s="428">
        <f t="shared" si="26"/>
        <v>678.94181402732079</v>
      </c>
      <c r="N239" s="465"/>
    </row>
    <row r="240" spans="1:14">
      <c r="A240" s="858">
        <f t="shared" si="16"/>
        <v>226</v>
      </c>
      <c r="B240" s="512">
        <v>39510</v>
      </c>
      <c r="C240" s="88" t="s">
        <v>1547</v>
      </c>
      <c r="D240" s="345">
        <f>[3]Reserve!$BK62</f>
        <v>2375.0230350000002</v>
      </c>
      <c r="E240" s="623">
        <v>1</v>
      </c>
      <c r="F240" s="465">
        <v>1</v>
      </c>
      <c r="G240" s="465">
        <f>Allocation!$E$21</f>
        <v>2.3324339999999999E-2</v>
      </c>
      <c r="H240" s="428">
        <f t="shared" si="26"/>
        <v>55.395844776171899</v>
      </c>
      <c r="N240" s="465"/>
    </row>
    <row r="241" spans="1:14">
      <c r="A241" s="858">
        <f t="shared" si="16"/>
        <v>227</v>
      </c>
      <c r="B241" s="512">
        <v>39700</v>
      </c>
      <c r="C241" s="88" t="s">
        <v>1570</v>
      </c>
      <c r="D241" s="345">
        <f>[3]Reserve!$BK63</f>
        <v>111917.35093500004</v>
      </c>
      <c r="E241" s="623">
        <v>1</v>
      </c>
      <c r="F241" s="465">
        <f>Allocation!$C$15</f>
        <v>0.10929999999999999</v>
      </c>
      <c r="G241" s="465">
        <f>Allocation!$D$15</f>
        <v>0.51883860656465508</v>
      </c>
      <c r="H241" s="428">
        <f t="shared" si="26"/>
        <v>6346.7277353608551</v>
      </c>
      <c r="N241" s="465"/>
    </row>
    <row r="242" spans="1:14">
      <c r="A242" s="858">
        <f t="shared" ref="A242:A246" si="27">A241+1</f>
        <v>228</v>
      </c>
      <c r="B242" s="512">
        <v>39710</v>
      </c>
      <c r="C242" s="88" t="s">
        <v>1595</v>
      </c>
      <c r="D242" s="345">
        <f>[3]Reserve!$BK64</f>
        <v>17217.687824999997</v>
      </c>
      <c r="E242" s="623">
        <v>1</v>
      </c>
      <c r="F242" s="465">
        <v>1</v>
      </c>
      <c r="G242" s="465">
        <f>Allocation!$E$21</f>
        <v>2.3324339999999999E-2</v>
      </c>
      <c r="H242" s="428">
        <f t="shared" si="26"/>
        <v>401.59120484416042</v>
      </c>
      <c r="N242" s="465"/>
    </row>
    <row r="243" spans="1:14">
      <c r="A243" s="858">
        <f t="shared" si="27"/>
        <v>229</v>
      </c>
      <c r="B243" s="512">
        <v>39800</v>
      </c>
      <c r="C243" s="88" t="s">
        <v>1572</v>
      </c>
      <c r="D243" s="345">
        <f>[3]Reserve!$BK65</f>
        <v>3703.8284140000001</v>
      </c>
      <c r="E243" s="623">
        <v>1</v>
      </c>
      <c r="F243" s="465">
        <f>Allocation!$C$15</f>
        <v>0.10929999999999999</v>
      </c>
      <c r="G243" s="465">
        <f>Allocation!$D$15</f>
        <v>0.51883860656465508</v>
      </c>
      <c r="H243" s="428">
        <f t="shared" si="26"/>
        <v>210.04062663888496</v>
      </c>
      <c r="N243" s="465"/>
    </row>
    <row r="244" spans="1:14">
      <c r="A244" s="858">
        <f t="shared" si="27"/>
        <v>230</v>
      </c>
      <c r="B244" s="706">
        <v>39810</v>
      </c>
      <c r="C244" s="88" t="s">
        <v>1548</v>
      </c>
      <c r="D244" s="345">
        <f>[3]Reserve!$BK66</f>
        <v>26941.062764999999</v>
      </c>
      <c r="E244" s="623">
        <v>1</v>
      </c>
      <c r="F244" s="465">
        <v>1</v>
      </c>
      <c r="G244" s="465">
        <f>Allocation!$E$21</f>
        <v>2.3324339999999999E-2</v>
      </c>
      <c r="H244" s="428">
        <f t="shared" si="26"/>
        <v>628.38250789220001</v>
      </c>
      <c r="N244" s="465"/>
    </row>
    <row r="245" spans="1:14">
      <c r="A245" s="858">
        <f t="shared" si="27"/>
        <v>231</v>
      </c>
      <c r="B245" s="706">
        <v>39900</v>
      </c>
      <c r="C245" s="88" t="s">
        <v>1580</v>
      </c>
      <c r="D245" s="345">
        <f>[3]Reserve!$BK67</f>
        <v>82169.139675999992</v>
      </c>
      <c r="E245" s="623">
        <v>1</v>
      </c>
      <c r="F245" s="465">
        <f>Allocation!$C$15</f>
        <v>0.10929999999999999</v>
      </c>
      <c r="G245" s="465">
        <f>Allocation!$D$15</f>
        <v>0.51883860656465508</v>
      </c>
      <c r="H245" s="428">
        <f t="shared" si="26"/>
        <v>4659.7346471798801</v>
      </c>
      <c r="N245" s="465"/>
    </row>
    <row r="246" spans="1:14">
      <c r="A246" s="858">
        <f t="shared" si="27"/>
        <v>232</v>
      </c>
      <c r="B246" s="706">
        <v>39901</v>
      </c>
      <c r="C246" s="88" t="s">
        <v>1581</v>
      </c>
      <c r="D246" s="345">
        <f>[3]Reserve!$BK68</f>
        <v>882786.08511253493</v>
      </c>
      <c r="E246" s="623">
        <v>1</v>
      </c>
      <c r="F246" s="465">
        <f>Allocation!$C$15</f>
        <v>0.10929999999999999</v>
      </c>
      <c r="G246" s="465">
        <f>Allocation!$D$15</f>
        <v>0.51883860656465508</v>
      </c>
      <c r="H246" s="428">
        <f t="shared" si="26"/>
        <v>50061.968800783892</v>
      </c>
      <c r="N246" s="465"/>
    </row>
    <row r="247" spans="1:14">
      <c r="A247" s="858">
        <f t="shared" ref="A247:A261" si="28">A246+1</f>
        <v>233</v>
      </c>
      <c r="B247" s="706">
        <v>39902</v>
      </c>
      <c r="C247" s="88" t="s">
        <v>1582</v>
      </c>
      <c r="D247" s="345">
        <f>[3]Reserve!$BK69</f>
        <v>168879.22171000001</v>
      </c>
      <c r="E247" s="623">
        <v>1</v>
      </c>
      <c r="F247" s="465">
        <f>Allocation!$C$15</f>
        <v>0.10929999999999999</v>
      </c>
      <c r="G247" s="465">
        <f>Allocation!$D$15</f>
        <v>0.51883860656465508</v>
      </c>
      <c r="H247" s="428">
        <f t="shared" si="26"/>
        <v>9576.9818656225652</v>
      </c>
      <c r="N247" s="465"/>
    </row>
    <row r="248" spans="1:14">
      <c r="A248" s="858">
        <f t="shared" si="28"/>
        <v>234</v>
      </c>
      <c r="B248" s="706">
        <v>39903</v>
      </c>
      <c r="C248" s="88" t="s">
        <v>1573</v>
      </c>
      <c r="D248" s="345">
        <f>[3]Reserve!$BK70</f>
        <v>43982.870837999995</v>
      </c>
      <c r="E248" s="623">
        <v>1</v>
      </c>
      <c r="F248" s="465">
        <f>Allocation!$C$15</f>
        <v>0.10929999999999999</v>
      </c>
      <c r="G248" s="465">
        <f>Allocation!$D$15</f>
        <v>0.51883860656465508</v>
      </c>
      <c r="H248" s="428">
        <f t="shared" si="26"/>
        <v>2494.2272480203123</v>
      </c>
      <c r="N248" s="465"/>
    </row>
    <row r="249" spans="1:14">
      <c r="A249" s="858">
        <f t="shared" si="28"/>
        <v>235</v>
      </c>
      <c r="B249" s="706">
        <v>39906</v>
      </c>
      <c r="C249" s="88" t="s">
        <v>1574</v>
      </c>
      <c r="D249" s="345">
        <f>[3]Reserve!$BK71</f>
        <v>97403.740166402888</v>
      </c>
      <c r="E249" s="623">
        <v>1</v>
      </c>
      <c r="F249" s="465">
        <f>Allocation!$C$15</f>
        <v>0.10929999999999999</v>
      </c>
      <c r="G249" s="465">
        <f>Allocation!$D$15</f>
        <v>0.51883860656465508</v>
      </c>
      <c r="H249" s="428">
        <f t="shared" si="26"/>
        <v>5523.6745158579561</v>
      </c>
      <c r="N249" s="465"/>
    </row>
    <row r="250" spans="1:14">
      <c r="A250" s="858">
        <f t="shared" si="28"/>
        <v>236</v>
      </c>
      <c r="B250" s="706">
        <v>39907</v>
      </c>
      <c r="C250" s="88" t="s">
        <v>1575</v>
      </c>
      <c r="D250" s="345">
        <f>[3]Reserve!$BK72</f>
        <v>12613.374110999996</v>
      </c>
      <c r="E250" s="623">
        <v>1</v>
      </c>
      <c r="F250" s="465">
        <f>Allocation!$C$15</f>
        <v>0.10929999999999999</v>
      </c>
      <c r="G250" s="465">
        <f>Allocation!$D$15</f>
        <v>0.51883860656465508</v>
      </c>
      <c r="H250" s="428">
        <f t="shared" si="26"/>
        <v>715.29258544781158</v>
      </c>
      <c r="N250" s="465"/>
    </row>
    <row r="251" spans="1:14">
      <c r="A251" s="858">
        <f t="shared" si="28"/>
        <v>237</v>
      </c>
      <c r="B251" s="706">
        <v>39908</v>
      </c>
      <c r="C251" s="88" t="s">
        <v>1576</v>
      </c>
      <c r="D251" s="345">
        <f>[3]Reserve!$BK73</f>
        <v>5873180.0525449412</v>
      </c>
      <c r="E251" s="623">
        <v>1</v>
      </c>
      <c r="F251" s="465">
        <f>Allocation!$C$15</f>
        <v>0.10929999999999999</v>
      </c>
      <c r="G251" s="465">
        <f>Allocation!$D$15</f>
        <v>0.51883860656465508</v>
      </c>
      <c r="H251" s="428">
        <f t="shared" si="26"/>
        <v>333062.5182140359</v>
      </c>
      <c r="N251" s="465"/>
    </row>
    <row r="252" spans="1:14">
      <c r="A252" s="858">
        <f t="shared" si="28"/>
        <v>238</v>
      </c>
      <c r="B252" s="706">
        <v>39910</v>
      </c>
      <c r="C252" s="88" t="s">
        <v>1596</v>
      </c>
      <c r="D252" s="345">
        <f>[3]Reserve!$BK74</f>
        <v>34649.924694853325</v>
      </c>
      <c r="E252" s="623">
        <v>1</v>
      </c>
      <c r="F252" s="465">
        <v>1</v>
      </c>
      <c r="G252" s="465">
        <f>Allocation!$E$21</f>
        <v>2.3324339999999999E-2</v>
      </c>
      <c r="H252" s="428">
        <f t="shared" si="26"/>
        <v>808.18662455715514</v>
      </c>
      <c r="N252" s="465"/>
    </row>
    <row r="253" spans="1:14">
      <c r="A253" s="858">
        <f t="shared" si="28"/>
        <v>239</v>
      </c>
      <c r="B253" s="706">
        <v>39916</v>
      </c>
      <c r="C253" s="88" t="s">
        <v>1597</v>
      </c>
      <c r="D253" s="345">
        <f>[3]Reserve!$BK75</f>
        <v>30686.966603715307</v>
      </c>
      <c r="E253" s="623">
        <v>1</v>
      </c>
      <c r="F253" s="465">
        <v>1</v>
      </c>
      <c r="G253" s="465">
        <f>Allocation!$E$21</f>
        <v>2.3324339999999999E-2</v>
      </c>
      <c r="H253" s="428">
        <f t="shared" si="26"/>
        <v>715.75324263370101</v>
      </c>
      <c r="N253" s="465"/>
    </row>
    <row r="254" spans="1:14">
      <c r="A254" s="858">
        <f t="shared" si="28"/>
        <v>240</v>
      </c>
      <c r="B254" s="706">
        <v>39917</v>
      </c>
      <c r="C254" s="88" t="s">
        <v>1598</v>
      </c>
      <c r="D254" s="345">
        <f>[3]Reserve!$BK76</f>
        <v>8169.7541181367878</v>
      </c>
      <c r="E254" s="623">
        <v>1</v>
      </c>
      <c r="F254" s="465">
        <v>1</v>
      </c>
      <c r="G254" s="465">
        <f>Allocation!$E$21</f>
        <v>2.3324339999999999E-2</v>
      </c>
      <c r="H254" s="428">
        <f t="shared" si="26"/>
        <v>190.55412276782261</v>
      </c>
      <c r="N254" s="465"/>
    </row>
    <row r="255" spans="1:14">
      <c r="A255" s="858">
        <f t="shared" si="28"/>
        <v>241</v>
      </c>
      <c r="B255" s="706">
        <v>39918</v>
      </c>
      <c r="C255" s="88" t="s">
        <v>1549</v>
      </c>
      <c r="D255" s="345">
        <f>[3]Reserve!$BK77</f>
        <v>1340.522432</v>
      </c>
      <c r="E255" s="623">
        <v>1</v>
      </c>
      <c r="F255" s="465">
        <v>1</v>
      </c>
      <c r="G255" s="465">
        <f>Allocation!$E$21</f>
        <v>2.3324339999999999E-2</v>
      </c>
      <c r="H255" s="428">
        <f t="shared" si="26"/>
        <v>31.266800981594876</v>
      </c>
      <c r="N255" s="465"/>
    </row>
    <row r="256" spans="1:14">
      <c r="A256" s="858">
        <f t="shared" si="28"/>
        <v>242</v>
      </c>
      <c r="B256" s="706">
        <v>39924</v>
      </c>
      <c r="C256" s="88" t="s">
        <v>1550</v>
      </c>
      <c r="D256" s="345">
        <f>[3]Reserve!$BK78</f>
        <v>0</v>
      </c>
      <c r="E256" s="623">
        <v>1</v>
      </c>
      <c r="F256" s="465">
        <f>Allocation!$C$15</f>
        <v>0.10929999999999999</v>
      </c>
      <c r="G256" s="465">
        <f>Allocation!$D$15</f>
        <v>0.51883860656465508</v>
      </c>
      <c r="H256" s="428">
        <f t="shared" si="26"/>
        <v>0</v>
      </c>
      <c r="N256" s="465"/>
    </row>
    <row r="257" spans="1:8">
      <c r="A257" s="858">
        <f t="shared" si="28"/>
        <v>243</v>
      </c>
      <c r="B257" s="706"/>
      <c r="C257" s="88"/>
      <c r="D257" s="1049"/>
      <c r="E257" s="1073"/>
      <c r="F257" s="465"/>
      <c r="G257" s="465"/>
      <c r="H257" s="1049"/>
    </row>
    <row r="258" spans="1:8">
      <c r="A258" s="858">
        <f t="shared" si="28"/>
        <v>244</v>
      </c>
      <c r="B258" s="81"/>
      <c r="C258" s="88"/>
      <c r="D258" s="428"/>
      <c r="E258" s="1032"/>
    </row>
    <row r="259" spans="1:8" ht="15.75" thickBot="1">
      <c r="A259" s="858">
        <f t="shared" si="28"/>
        <v>245</v>
      </c>
      <c r="B259" s="81"/>
      <c r="C259" s="88" t="s">
        <v>1351</v>
      </c>
      <c r="D259" s="466">
        <f>SUM(D228:D258)</f>
        <v>8715896.9115120769</v>
      </c>
      <c r="E259" s="1072"/>
      <c r="H259" s="466">
        <f>SUM(H228:H258)</f>
        <v>465190.52290313935</v>
      </c>
    </row>
    <row r="260" spans="1:8" ht="15.75" thickTop="1">
      <c r="A260" s="858">
        <f t="shared" si="28"/>
        <v>246</v>
      </c>
      <c r="E260" s="1032"/>
    </row>
    <row r="261" spans="1:8" ht="30.75" thickBot="1">
      <c r="A261" s="858">
        <f t="shared" si="28"/>
        <v>247</v>
      </c>
      <c r="C261" s="614" t="s">
        <v>1155</v>
      </c>
      <c r="D261" s="466">
        <f>D259+D223+D178+D115</f>
        <v>32879651.911779456</v>
      </c>
      <c r="E261" s="1072"/>
      <c r="H261" s="466">
        <f>H259+H223+H178+H115</f>
        <v>21511931.130947832</v>
      </c>
    </row>
    <row r="262" spans="1:8" ht="15.75" thickTop="1"/>
    <row r="263" spans="1:8">
      <c r="C263" s="80" t="s">
        <v>691</v>
      </c>
      <c r="D263" s="422"/>
    </row>
    <row r="264" spans="1:8">
      <c r="C264" s="80" t="s">
        <v>1602</v>
      </c>
    </row>
  </sheetData>
  <mergeCells count="4">
    <mergeCell ref="A1:I1"/>
    <mergeCell ref="A2:I2"/>
    <mergeCell ref="A3:I3"/>
    <mergeCell ref="A4:I4"/>
  </mergeCells>
  <phoneticPr fontId="22" type="noConversion"/>
  <printOptions horizontalCentered="1"/>
  <pageMargins left="0.75" right="0.49" top="0.78" bottom="1" header="0.5" footer="0.33"/>
  <pageSetup scale="16" fitToHeight="15" orientation="portrait" r:id="rId1"/>
  <headerFooter alignWithMargins="0">
    <oddFooter>&amp;RSchedule &amp;A
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33"/>
  <sheetViews>
    <sheetView view="pageBreakPreview" zoomScale="60" zoomScaleNormal="100" workbookViewId="0">
      <selection activeCell="E14" sqref="E14"/>
    </sheetView>
  </sheetViews>
  <sheetFormatPr defaultColWidth="8.44140625" defaultRowHeight="15"/>
  <cols>
    <col min="1" max="1" width="6.6640625" style="40" customWidth="1"/>
    <col min="2" max="2" width="30.6640625" style="40" customWidth="1"/>
    <col min="3" max="3" width="24.6640625" style="40" customWidth="1"/>
    <col min="4" max="4" width="17" style="40" customWidth="1"/>
    <col min="5" max="5" width="14.44140625" style="40" customWidth="1"/>
    <col min="6" max="6" width="11.88671875" style="40" customWidth="1"/>
    <col min="7" max="16384" width="8.44140625" style="40"/>
  </cols>
  <sheetData>
    <row r="1" spans="1:7" s="1" customFormat="1">
      <c r="A1" s="1182" t="str">
        <f>'Table of Contents'!A1:C1</f>
        <v>Atmos Energy Corporation, Kentucky/Mid-States Division</v>
      </c>
      <c r="B1" s="1182"/>
      <c r="C1" s="1182"/>
      <c r="D1" s="1182"/>
      <c r="E1" s="1182"/>
    </row>
    <row r="2" spans="1:7" s="1" customFormat="1">
      <c r="A2" s="1182" t="str">
        <f>'Table of Contents'!A2:C2</f>
        <v>Kentucky Jurisdiction Case No. 2017-00349</v>
      </c>
      <c r="B2" s="1182"/>
      <c r="C2" s="1182"/>
      <c r="D2" s="1182"/>
      <c r="E2" s="1182"/>
    </row>
    <row r="3" spans="1:7" s="1" customFormat="1">
      <c r="A3" s="1182" t="s">
        <v>436</v>
      </c>
      <c r="B3" s="1182"/>
      <c r="C3" s="1182"/>
      <c r="D3" s="1182"/>
      <c r="E3" s="1182"/>
    </row>
    <row r="4" spans="1:7" s="1" customFormat="1">
      <c r="A4" s="1182" t="str">
        <f>'B.1 B'!A4</f>
        <v>as of December 31, 2017</v>
      </c>
      <c r="B4" s="1182"/>
      <c r="C4" s="1182"/>
      <c r="D4" s="1182"/>
      <c r="E4" s="1182"/>
    </row>
    <row r="5" spans="1:7" s="1" customFormat="1">
      <c r="A5" s="81"/>
    </row>
    <row r="6" spans="1:7" s="1" customFormat="1">
      <c r="A6" s="4" t="str">
        <f>'B.1 B'!A6</f>
        <v>Data:__X___Base Period______Forecasted Period</v>
      </c>
      <c r="E6" s="1" t="s">
        <v>1445</v>
      </c>
    </row>
    <row r="7" spans="1:7" s="1" customFormat="1">
      <c r="A7" s="4" t="str">
        <f>'B.1 B'!A7</f>
        <v>Type of Filing:___X____Original________Updated ________Revised</v>
      </c>
      <c r="B7" s="4"/>
      <c r="E7" s="4" t="s">
        <v>708</v>
      </c>
    </row>
    <row r="8" spans="1:7" s="1" customFormat="1">
      <c r="A8" s="51" t="str">
        <f>'B.1 B'!A8</f>
        <v>Workpaper Reference No(s).</v>
      </c>
      <c r="B8" s="6"/>
      <c r="C8" s="6"/>
      <c r="D8" s="6"/>
      <c r="E8" s="5" t="str">
        <f>'B.1 B'!F8</f>
        <v>Witness:   Waller</v>
      </c>
    </row>
    <row r="9" spans="1:7" s="1" customFormat="1">
      <c r="C9" s="2" t="s">
        <v>706</v>
      </c>
    </row>
    <row r="10" spans="1:7" s="1" customFormat="1">
      <c r="A10" s="2" t="s">
        <v>94</v>
      </c>
      <c r="B10" s="4" t="s">
        <v>792</v>
      </c>
      <c r="C10" s="2" t="s">
        <v>707</v>
      </c>
      <c r="D10" s="2" t="s">
        <v>96</v>
      </c>
      <c r="E10" s="2" t="s">
        <v>97</v>
      </c>
    </row>
    <row r="11" spans="1:7" s="1" customFormat="1">
      <c r="A11" s="9" t="s">
        <v>100</v>
      </c>
      <c r="B11" s="5" t="s">
        <v>1199</v>
      </c>
      <c r="C11" s="9" t="s">
        <v>566</v>
      </c>
      <c r="D11" s="9" t="s">
        <v>533</v>
      </c>
      <c r="E11" s="9" t="s">
        <v>103</v>
      </c>
    </row>
    <row r="12" spans="1:7" s="1" customFormat="1">
      <c r="E12" s="2"/>
    </row>
    <row r="14" spans="1:7" s="1" customFormat="1">
      <c r="A14" s="2" t="s">
        <v>1104</v>
      </c>
      <c r="B14" s="88" t="s">
        <v>791</v>
      </c>
      <c r="C14" s="88" t="s">
        <v>33</v>
      </c>
      <c r="D14" s="117" t="s">
        <v>82</v>
      </c>
      <c r="E14" s="305">
        <f>'B.4.2 B'!H32</f>
        <v>3370236.4230493945</v>
      </c>
      <c r="F14" s="81"/>
      <c r="G14" s="81"/>
    </row>
    <row r="15" spans="1:7" s="1" customFormat="1">
      <c r="D15" s="11"/>
      <c r="E15" s="73"/>
      <c r="F15" s="81"/>
      <c r="G15" s="81"/>
    </row>
    <row r="16" spans="1:7" s="1" customFormat="1">
      <c r="A16" s="2">
        <v>2</v>
      </c>
      <c r="B16" s="4" t="s">
        <v>798</v>
      </c>
      <c r="C16" s="4" t="s">
        <v>84</v>
      </c>
      <c r="D16" s="2" t="s">
        <v>83</v>
      </c>
      <c r="E16" s="355">
        <f>'B.4.1 B'!K21</f>
        <v>214652.37704833303</v>
      </c>
      <c r="F16" s="81"/>
      <c r="G16" s="81"/>
    </row>
    <row r="17" spans="1:7" s="1" customFormat="1">
      <c r="D17" s="11"/>
      <c r="E17" s="355"/>
      <c r="F17" s="81"/>
      <c r="G17" s="81"/>
    </row>
    <row r="18" spans="1:7" s="1" customFormat="1">
      <c r="A18" s="2">
        <v>3</v>
      </c>
      <c r="B18" s="4" t="s">
        <v>1096</v>
      </c>
      <c r="C18" s="4" t="s">
        <v>84</v>
      </c>
      <c r="D18" s="2" t="s">
        <v>83</v>
      </c>
      <c r="E18" s="355">
        <f>'B.4.1 B'!K28</f>
        <v>8607714.4584615398</v>
      </c>
      <c r="F18" s="81"/>
      <c r="G18" s="81"/>
    </row>
    <row r="19" spans="1:7" s="1" customFormat="1">
      <c r="D19" s="11"/>
      <c r="E19" s="355"/>
      <c r="F19" s="81"/>
      <c r="G19" s="81"/>
    </row>
    <row r="20" spans="1:7" s="1" customFormat="1">
      <c r="A20" s="2">
        <v>4</v>
      </c>
      <c r="B20" s="4" t="s">
        <v>797</v>
      </c>
      <c r="C20" s="4" t="s">
        <v>84</v>
      </c>
      <c r="D20" s="2" t="s">
        <v>83</v>
      </c>
      <c r="E20" s="429">
        <f>'B.4.1 B'!K35</f>
        <v>0</v>
      </c>
      <c r="F20" s="81"/>
      <c r="G20" s="81"/>
    </row>
    <row r="21" spans="1:7" s="1" customFormat="1">
      <c r="D21" s="11"/>
      <c r="E21" s="10"/>
      <c r="F21" s="81"/>
      <c r="G21" s="81"/>
    </row>
    <row r="22" spans="1:7" ht="15.75" thickBot="1">
      <c r="A22" s="2">
        <v>5</v>
      </c>
      <c r="B22" s="4" t="s">
        <v>495</v>
      </c>
      <c r="C22" s="1"/>
      <c r="D22" s="1"/>
      <c r="E22" s="307">
        <f>SUM(E14:E20)</f>
        <v>12192603.258559268</v>
      </c>
      <c r="F22" s="196"/>
      <c r="G22" s="196"/>
    </row>
    <row r="23" spans="1:7" ht="15.75" thickTop="1">
      <c r="D23" s="226"/>
      <c r="E23" s="188"/>
      <c r="F23" s="196"/>
      <c r="G23" s="196"/>
    </row>
    <row r="24" spans="1:7">
      <c r="E24" s="188"/>
      <c r="F24" s="196"/>
      <c r="G24" s="196"/>
    </row>
    <row r="25" spans="1:7">
      <c r="D25" s="226"/>
      <c r="E25" s="188"/>
      <c r="F25" s="196"/>
      <c r="G25" s="196"/>
    </row>
    <row r="26" spans="1:7">
      <c r="E26" s="188"/>
      <c r="F26" s="196"/>
      <c r="G26" s="196"/>
    </row>
    <row r="27" spans="1:7">
      <c r="D27" s="226"/>
      <c r="E27" s="188"/>
      <c r="F27" s="196"/>
      <c r="G27" s="196"/>
    </row>
    <row r="28" spans="1:7">
      <c r="E28" s="188"/>
      <c r="F28" s="196"/>
      <c r="G28" s="196"/>
    </row>
    <row r="29" spans="1:7">
      <c r="D29" s="226"/>
      <c r="E29" s="188"/>
    </row>
    <row r="30" spans="1:7">
      <c r="E30" s="188"/>
    </row>
    <row r="31" spans="1:7">
      <c r="E31" s="188"/>
    </row>
    <row r="32" spans="1:7">
      <c r="E32" s="188"/>
    </row>
    <row r="33" spans="5:5">
      <c r="E33" s="188"/>
    </row>
  </sheetData>
  <mergeCells count="4">
    <mergeCell ref="A1:E1"/>
    <mergeCell ref="A2:E2"/>
    <mergeCell ref="A3:E3"/>
    <mergeCell ref="A4:E4"/>
  </mergeCells>
  <phoneticPr fontId="22" type="noConversion"/>
  <printOptions horizontalCentered="1"/>
  <pageMargins left="0.75" right="0.75" top="1" bottom="0.5" header="0.5" footer="0.5"/>
  <pageSetup orientation="landscape" verticalDpi="300" r:id="rId1"/>
  <headerFooter alignWithMargins="0">
    <oddFooter>&amp;RSchedule &amp;A
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F39"/>
  <sheetViews>
    <sheetView view="pageBreakPreview" zoomScale="60" zoomScaleNormal="100" workbookViewId="0">
      <selection activeCell="E20" sqref="E20"/>
    </sheetView>
  </sheetViews>
  <sheetFormatPr defaultColWidth="8.44140625" defaultRowHeight="15"/>
  <cols>
    <col min="1" max="1" width="6.6640625" style="40" customWidth="1"/>
    <col min="2" max="2" width="30.6640625" style="40" customWidth="1"/>
    <col min="3" max="3" width="24.6640625" style="40" customWidth="1"/>
    <col min="4" max="4" width="17" style="40" customWidth="1"/>
    <col min="5" max="5" width="14.44140625" style="40" customWidth="1"/>
    <col min="6" max="6" width="11.88671875" style="40" customWidth="1"/>
    <col min="7" max="16384" width="8.44140625" style="40"/>
  </cols>
  <sheetData>
    <row r="1" spans="1:6" s="1" customFormat="1">
      <c r="A1" s="1182" t="str">
        <f>'Table of Contents'!A1:C1</f>
        <v>Atmos Energy Corporation, Kentucky/Mid-States Division</v>
      </c>
      <c r="B1" s="1182"/>
      <c r="C1" s="1182"/>
      <c r="D1" s="1182"/>
      <c r="E1" s="1182"/>
    </row>
    <row r="2" spans="1:6" s="1" customFormat="1">
      <c r="A2" s="1182" t="str">
        <f>'Table of Contents'!A2:C2</f>
        <v>Kentucky Jurisdiction Case No. 2017-00349</v>
      </c>
      <c r="B2" s="1182"/>
      <c r="C2" s="1182"/>
      <c r="D2" s="1182"/>
      <c r="E2" s="1182"/>
    </row>
    <row r="3" spans="1:6" s="1" customFormat="1">
      <c r="A3" s="1182" t="s">
        <v>436</v>
      </c>
      <c r="B3" s="1182"/>
      <c r="C3" s="1182"/>
      <c r="D3" s="1182"/>
      <c r="E3" s="1182"/>
    </row>
    <row r="4" spans="1:6" s="1" customFormat="1">
      <c r="A4" s="1182" t="str">
        <f>'B.1 F '!A4</f>
        <v>as of March 31, 2019</v>
      </c>
      <c r="B4" s="1182"/>
      <c r="C4" s="1182"/>
      <c r="D4" s="1182"/>
      <c r="E4" s="1182"/>
    </row>
    <row r="5" spans="1:6" s="1" customFormat="1">
      <c r="A5" s="81"/>
    </row>
    <row r="6" spans="1:6" s="1" customFormat="1">
      <c r="A6" s="4" t="str">
        <f>'B.1 F '!A6</f>
        <v>Data:______Base Period__X___Forecasted Period</v>
      </c>
      <c r="E6" s="1" t="s">
        <v>1445</v>
      </c>
    </row>
    <row r="7" spans="1:6" s="1" customFormat="1">
      <c r="A7" s="4" t="str">
        <f>'B.1 F '!A7</f>
        <v>Type of Filing:___X____Original________Updated ________Revised</v>
      </c>
      <c r="B7" s="4"/>
      <c r="E7" s="4" t="s">
        <v>709</v>
      </c>
    </row>
    <row r="8" spans="1:6" s="1" customFormat="1">
      <c r="A8" s="51" t="str">
        <f>'B.1 F '!A8</f>
        <v>Workpaper Reference No(s).</v>
      </c>
      <c r="B8" s="6"/>
      <c r="C8" s="6"/>
      <c r="D8" s="6"/>
      <c r="E8" s="5" t="str">
        <f>'B.1 F '!F8</f>
        <v>Witness:   Waller</v>
      </c>
    </row>
    <row r="9" spans="1:6" s="1" customFormat="1">
      <c r="C9" s="2" t="s">
        <v>706</v>
      </c>
    </row>
    <row r="10" spans="1:6" s="1" customFormat="1">
      <c r="A10" s="2" t="s">
        <v>94</v>
      </c>
      <c r="B10" s="4" t="s">
        <v>792</v>
      </c>
      <c r="C10" s="2" t="s">
        <v>707</v>
      </c>
      <c r="D10" s="2" t="s">
        <v>96</v>
      </c>
      <c r="E10" s="2" t="s">
        <v>97</v>
      </c>
    </row>
    <row r="11" spans="1:6" s="1" customFormat="1">
      <c r="A11" s="9" t="s">
        <v>100</v>
      </c>
      <c r="B11" s="5" t="s">
        <v>1199</v>
      </c>
      <c r="C11" s="9" t="s">
        <v>566</v>
      </c>
      <c r="D11" s="9" t="s">
        <v>533</v>
      </c>
      <c r="E11" s="9" t="s">
        <v>103</v>
      </c>
    </row>
    <row r="12" spans="1:6" s="1" customFormat="1">
      <c r="E12" s="2"/>
    </row>
    <row r="14" spans="1:6" s="1" customFormat="1">
      <c r="A14" s="2">
        <v>1</v>
      </c>
      <c r="B14" s="4" t="s">
        <v>791</v>
      </c>
      <c r="C14" s="4" t="s">
        <v>33</v>
      </c>
      <c r="D14" s="2" t="s">
        <v>82</v>
      </c>
      <c r="E14" s="305">
        <f>'B.4.2 F'!H32</f>
        <v>3270503.6536615668</v>
      </c>
      <c r="F14" s="81"/>
    </row>
    <row r="15" spans="1:6" s="1" customFormat="1">
      <c r="D15" s="11"/>
      <c r="E15" s="73"/>
      <c r="F15" s="81"/>
    </row>
    <row r="16" spans="1:6" s="1" customFormat="1">
      <c r="A16" s="2">
        <v>2</v>
      </c>
      <c r="B16" s="4" t="s">
        <v>798</v>
      </c>
      <c r="C16" s="4" t="s">
        <v>84</v>
      </c>
      <c r="D16" s="2" t="s">
        <v>83</v>
      </c>
      <c r="E16" s="73">
        <f>'B.4.1 F'!K21</f>
        <v>209605.38382890011</v>
      </c>
      <c r="F16" s="81"/>
    </row>
    <row r="17" spans="1:6" s="1" customFormat="1">
      <c r="D17" s="11"/>
      <c r="E17" s="73"/>
      <c r="F17" s="81"/>
    </row>
    <row r="18" spans="1:6" s="1" customFormat="1">
      <c r="A18" s="2">
        <v>3</v>
      </c>
      <c r="B18" s="4" t="s">
        <v>1096</v>
      </c>
      <c r="C18" s="4" t="s">
        <v>84</v>
      </c>
      <c r="D18" s="2" t="s">
        <v>83</v>
      </c>
      <c r="E18" s="73">
        <f>'B.4.1 F'!K28</f>
        <v>8259601.0594371371</v>
      </c>
      <c r="F18" s="81"/>
    </row>
    <row r="19" spans="1:6" s="1" customFormat="1">
      <c r="D19" s="11"/>
      <c r="E19" s="73"/>
      <c r="F19" s="81"/>
    </row>
    <row r="20" spans="1:6" s="1" customFormat="1">
      <c r="A20" s="2">
        <v>4</v>
      </c>
      <c r="B20" s="4" t="s">
        <v>797</v>
      </c>
      <c r="C20" s="4" t="s">
        <v>84</v>
      </c>
      <c r="D20" s="2" t="s">
        <v>83</v>
      </c>
      <c r="E20" s="85">
        <f>'B.4.1 F'!K35</f>
        <v>0</v>
      </c>
      <c r="F20" s="81"/>
    </row>
    <row r="21" spans="1:6" s="1" customFormat="1">
      <c r="D21" s="2"/>
      <c r="E21" s="10"/>
      <c r="F21" s="81"/>
    </row>
    <row r="22" spans="1:6" ht="15.75" thickBot="1">
      <c r="A22" s="2">
        <v>5</v>
      </c>
      <c r="B22" s="4" t="s">
        <v>495</v>
      </c>
      <c r="C22" s="1"/>
      <c r="D22" s="1"/>
      <c r="E22" s="307">
        <f>SUM(E14:E20)</f>
        <v>11739710.096927604</v>
      </c>
      <c r="F22" s="196"/>
    </row>
    <row r="23" spans="1:6" ht="15.75" thickTop="1">
      <c r="E23" s="188"/>
      <c r="F23" s="196"/>
    </row>
    <row r="24" spans="1:6">
      <c r="D24" s="226"/>
      <c r="E24" s="188"/>
      <c r="F24" s="196"/>
    </row>
    <row r="25" spans="1:6">
      <c r="E25" s="188"/>
      <c r="F25" s="196"/>
    </row>
    <row r="26" spans="1:6">
      <c r="D26" s="226"/>
      <c r="E26" s="188"/>
      <c r="F26" s="196"/>
    </row>
    <row r="27" spans="1:6">
      <c r="E27" s="188"/>
      <c r="F27" s="196"/>
    </row>
    <row r="28" spans="1:6">
      <c r="D28" s="226"/>
      <c r="E28" s="188"/>
      <c r="F28" s="196"/>
    </row>
    <row r="29" spans="1:6">
      <c r="E29" s="188"/>
      <c r="F29" s="196"/>
    </row>
    <row r="30" spans="1:6">
      <c r="E30" s="188"/>
      <c r="F30" s="196"/>
    </row>
    <row r="31" spans="1:6">
      <c r="E31" s="188"/>
    </row>
    <row r="32" spans="1:6">
      <c r="A32" s="181"/>
      <c r="B32" s="181"/>
      <c r="E32" s="188"/>
    </row>
    <row r="33" spans="2:5">
      <c r="B33" s="181"/>
      <c r="E33" s="188"/>
    </row>
    <row r="34" spans="2:5">
      <c r="B34" s="181"/>
      <c r="E34" s="188"/>
    </row>
    <row r="35" spans="2:5">
      <c r="B35" s="181"/>
      <c r="E35" s="188"/>
    </row>
    <row r="36" spans="2:5">
      <c r="E36" s="188"/>
    </row>
    <row r="37" spans="2:5">
      <c r="E37" s="188"/>
    </row>
    <row r="38" spans="2:5">
      <c r="E38" s="188"/>
    </row>
    <row r="39" spans="2:5">
      <c r="E39" s="188"/>
    </row>
  </sheetData>
  <mergeCells count="4">
    <mergeCell ref="A1:E1"/>
    <mergeCell ref="A2:E2"/>
    <mergeCell ref="A3:E3"/>
    <mergeCell ref="A4:E4"/>
  </mergeCells>
  <phoneticPr fontId="22" type="noConversion"/>
  <printOptions horizontalCentered="1"/>
  <pageMargins left="0.75" right="0.75" top="1.08" bottom="0.5" header="0.5" footer="0.5"/>
  <pageSetup orientation="landscape" verticalDpi="300" r:id="rId1"/>
  <headerFooter alignWithMargins="0">
    <oddFooter>&amp;RSchedule &amp;A
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K47"/>
  <sheetViews>
    <sheetView view="pageBreakPreview" zoomScale="70" zoomScaleNormal="80" zoomScaleSheetLayoutView="70" workbookViewId="0">
      <selection activeCell="K37" sqref="K37"/>
    </sheetView>
  </sheetViews>
  <sheetFormatPr defaultColWidth="8.44140625" defaultRowHeight="15"/>
  <cols>
    <col min="1" max="1" width="5" style="62" customWidth="1"/>
    <col min="2" max="2" width="42.77734375" style="62" customWidth="1"/>
    <col min="3" max="3" width="14.109375" style="62" customWidth="1"/>
    <col min="4" max="4" width="13.5546875" style="62" customWidth="1"/>
    <col min="5" max="5" width="11.77734375" style="62" customWidth="1"/>
    <col min="6" max="6" width="12.5546875" style="62" customWidth="1"/>
    <col min="7" max="7" width="2.88671875" style="94" customWidth="1"/>
    <col min="8" max="8" width="13.33203125" style="62" bestFit="1" customWidth="1"/>
    <col min="9" max="9" width="12.6640625" style="62" customWidth="1"/>
    <col min="10" max="10" width="10.77734375" style="62" customWidth="1"/>
    <col min="11" max="11" width="11.6640625" style="62" customWidth="1"/>
    <col min="12" max="16384" width="8.44140625" style="62"/>
  </cols>
  <sheetData>
    <row r="1" spans="1:11">
      <c r="A1" s="1189" t="str">
        <f>Allocation!A1</f>
        <v>Atmos Energy Corporation, Kentucky/Mid-States Division</v>
      </c>
      <c r="B1" s="1189"/>
      <c r="C1" s="1189"/>
      <c r="D1" s="1189"/>
      <c r="E1" s="1189"/>
      <c r="F1" s="1189"/>
      <c r="G1" s="1189"/>
      <c r="H1" s="1189"/>
      <c r="I1" s="1189"/>
      <c r="J1" s="1189"/>
      <c r="K1" s="1189"/>
    </row>
    <row r="2" spans="1:11">
      <c r="A2" s="1189" t="str">
        <f>Allocation!A2</f>
        <v>Kentucky Jurisdiction Case No. 2017-00349</v>
      </c>
      <c r="B2" s="1189"/>
      <c r="C2" s="1189"/>
      <c r="D2" s="1189"/>
      <c r="E2" s="1189"/>
      <c r="F2" s="1189"/>
      <c r="G2" s="1189"/>
      <c r="H2" s="1189"/>
      <c r="I2" s="1189"/>
      <c r="J2" s="1189"/>
      <c r="K2" s="1189"/>
    </row>
    <row r="3" spans="1:11">
      <c r="A3" s="1189" t="s">
        <v>983</v>
      </c>
      <c r="B3" s="1189"/>
      <c r="C3" s="1189"/>
      <c r="D3" s="1189"/>
      <c r="E3" s="1189"/>
      <c r="F3" s="1189"/>
      <c r="G3" s="1189"/>
      <c r="H3" s="1189"/>
      <c r="I3" s="1189"/>
      <c r="J3" s="1189"/>
      <c r="K3" s="1189"/>
    </row>
    <row r="4" spans="1:11">
      <c r="A4" s="1189" t="str">
        <f>'B.1 B'!A4</f>
        <v>as of December 31, 2017</v>
      </c>
      <c r="B4" s="1189"/>
      <c r="C4" s="1189"/>
      <c r="D4" s="1189"/>
      <c r="E4" s="1189"/>
      <c r="F4" s="1189"/>
      <c r="G4" s="1189"/>
      <c r="H4" s="1189"/>
      <c r="I4" s="1189"/>
      <c r="J4" s="1189"/>
      <c r="K4" s="1189"/>
    </row>
    <row r="7" spans="1:11">
      <c r="A7" s="66" t="str">
        <f>'B.1 B'!A6</f>
        <v>Data:__X___Base Period______Forecasted Period</v>
      </c>
      <c r="K7" s="495" t="s">
        <v>1446</v>
      </c>
    </row>
    <row r="8" spans="1:11">
      <c r="A8" s="66" t="str">
        <f>'B.1 B'!A7</f>
        <v>Type of Filing:___X____Original________Updated ________Revised</v>
      </c>
      <c r="B8" s="4"/>
      <c r="K8" s="695" t="s">
        <v>710</v>
      </c>
    </row>
    <row r="9" spans="1:11">
      <c r="A9" s="468" t="str">
        <f>'B.1 B'!A8</f>
        <v>Workpaper Reference No(s).</v>
      </c>
      <c r="B9" s="94"/>
      <c r="C9" s="94"/>
      <c r="D9" s="94"/>
      <c r="E9" s="94"/>
      <c r="F9" s="94"/>
      <c r="H9" s="94"/>
      <c r="I9" s="94"/>
      <c r="K9" s="696" t="str">
        <f>'B.1 B'!F8</f>
        <v>Witness:   Waller</v>
      </c>
    </row>
    <row r="10" spans="1:11">
      <c r="A10" s="340"/>
      <c r="B10" s="341"/>
      <c r="C10" s="1183" t="s">
        <v>1180</v>
      </c>
      <c r="D10" s="1184"/>
      <c r="E10" s="1184"/>
      <c r="F10" s="1185"/>
      <c r="H10" s="1186" t="s">
        <v>517</v>
      </c>
      <c r="I10" s="1187"/>
      <c r="J10" s="1187"/>
      <c r="K10" s="1188"/>
    </row>
    <row r="11" spans="1:11">
      <c r="A11" s="469"/>
      <c r="B11" s="470"/>
      <c r="C11" s="340"/>
      <c r="D11" s="337" t="s">
        <v>13</v>
      </c>
      <c r="E11" s="338" t="s">
        <v>11</v>
      </c>
      <c r="F11" s="341"/>
      <c r="H11" s="340"/>
      <c r="I11" s="337" t="s">
        <v>13</v>
      </c>
      <c r="J11" s="338" t="s">
        <v>11</v>
      </c>
      <c r="K11" s="341"/>
    </row>
    <row r="12" spans="1:11">
      <c r="A12" s="471" t="s">
        <v>94</v>
      </c>
      <c r="B12" s="470"/>
      <c r="C12" s="594">
        <f>'B.2 B'!D10</f>
        <v>43100</v>
      </c>
      <c r="D12" s="34" t="s">
        <v>14</v>
      </c>
      <c r="E12" s="75" t="s">
        <v>600</v>
      </c>
      <c r="F12" s="342" t="s">
        <v>12</v>
      </c>
      <c r="G12" s="241"/>
      <c r="H12" s="594">
        <f>C12</f>
        <v>43100</v>
      </c>
      <c r="I12" s="34" t="s">
        <v>14</v>
      </c>
      <c r="J12" s="75" t="s">
        <v>600</v>
      </c>
      <c r="K12" s="342" t="s">
        <v>12</v>
      </c>
    </row>
    <row r="13" spans="1:11">
      <c r="A13" s="472" t="s">
        <v>100</v>
      </c>
      <c r="B13" s="473" t="s">
        <v>993</v>
      </c>
      <c r="C13" s="331" t="s">
        <v>321</v>
      </c>
      <c r="D13" s="186" t="s">
        <v>633</v>
      </c>
      <c r="E13" s="186" t="s">
        <v>633</v>
      </c>
      <c r="F13" s="343" t="s">
        <v>105</v>
      </c>
      <c r="G13" s="241"/>
      <c r="H13" s="331" t="s">
        <v>384</v>
      </c>
      <c r="I13" s="186" t="s">
        <v>633</v>
      </c>
      <c r="J13" s="186" t="s">
        <v>633</v>
      </c>
      <c r="K13" s="343" t="s">
        <v>105</v>
      </c>
    </row>
    <row r="14" spans="1:11">
      <c r="C14" s="240"/>
      <c r="F14" s="240"/>
      <c r="G14" s="241"/>
      <c r="H14" s="240"/>
      <c r="I14" s="240"/>
      <c r="K14" s="240"/>
    </row>
    <row r="16" spans="1:11">
      <c r="A16" s="240">
        <v>1</v>
      </c>
      <c r="B16" s="66" t="s">
        <v>524</v>
      </c>
      <c r="C16" s="86"/>
      <c r="D16" s="240"/>
      <c r="E16" s="240"/>
      <c r="F16" s="63"/>
      <c r="G16" s="84"/>
      <c r="H16" s="86"/>
      <c r="I16" s="86"/>
      <c r="J16" s="240"/>
      <c r="K16" s="63"/>
    </row>
    <row r="17" spans="1:11">
      <c r="A17" s="240">
        <v>2</v>
      </c>
      <c r="B17" s="319" t="s">
        <v>1181</v>
      </c>
      <c r="C17" s="339">
        <f>'WP B.4.1B'!O15</f>
        <v>-270521.8133333333</v>
      </c>
      <c r="D17" s="357">
        <v>1</v>
      </c>
      <c r="E17" s="357">
        <v>1</v>
      </c>
      <c r="F17" s="350">
        <f>C17*D17*E17</f>
        <v>-270521.8133333333</v>
      </c>
      <c r="G17" s="84"/>
      <c r="H17" s="339">
        <f>'WP B.4.1B'!P15</f>
        <v>-254109.01076923081</v>
      </c>
      <c r="I17" s="344">
        <f t="shared" ref="I17:J20" si="0">D17</f>
        <v>1</v>
      </c>
      <c r="J17" s="344">
        <f t="shared" si="0"/>
        <v>1</v>
      </c>
      <c r="K17" s="350">
        <f>H17*I17*J17</f>
        <v>-254109.01076923081</v>
      </c>
    </row>
    <row r="18" spans="1:11">
      <c r="A18" s="240">
        <v>3</v>
      </c>
      <c r="B18" s="319" t="s">
        <v>1182</v>
      </c>
      <c r="C18" s="352">
        <f>'WP B.4.1B'!O20</f>
        <v>955451.13666666672</v>
      </c>
      <c r="D18" s="357">
        <v>1</v>
      </c>
      <c r="E18" s="358">
        <f>Allocation!H17</f>
        <v>0.5025136071712456</v>
      </c>
      <c r="F18" s="351">
        <f>C18*D18*E18</f>
        <v>480127.19716223347</v>
      </c>
      <c r="G18" s="356"/>
      <c r="H18" s="352">
        <f>'WP B.4.1B'!P20</f>
        <v>932833.22307692305</v>
      </c>
      <c r="I18" s="344">
        <f t="shared" si="0"/>
        <v>1</v>
      </c>
      <c r="J18" s="70">
        <f t="shared" si="0"/>
        <v>0.5025136071712456</v>
      </c>
      <c r="K18" s="351">
        <f>H18*I18*J18</f>
        <v>468761.38781756384</v>
      </c>
    </row>
    <row r="19" spans="1:11">
      <c r="A19" s="240">
        <v>4</v>
      </c>
      <c r="B19" s="319" t="s">
        <v>1183</v>
      </c>
      <c r="C19" s="352">
        <f>'WP B.4.1B'!O25</f>
        <v>0</v>
      </c>
      <c r="D19" s="358">
        <f>Allocation!C14</f>
        <v>0.10349999999999999</v>
      </c>
      <c r="E19" s="358">
        <f>Allocation!H14</f>
        <v>0.5025136071712456</v>
      </c>
      <c r="F19" s="351">
        <f>C19*D19*E19</f>
        <v>0</v>
      </c>
      <c r="G19" s="356"/>
      <c r="H19" s="352">
        <f>'WP B.4.1B'!P25</f>
        <v>0</v>
      </c>
      <c r="I19" s="70">
        <f t="shared" si="0"/>
        <v>0.10349999999999999</v>
      </c>
      <c r="J19" s="70">
        <f t="shared" si="0"/>
        <v>0.5025136071712456</v>
      </c>
      <c r="K19" s="351">
        <f>H19*I19*J19</f>
        <v>0</v>
      </c>
    </row>
    <row r="20" spans="1:11">
      <c r="A20" s="240">
        <v>5</v>
      </c>
      <c r="B20" s="319" t="s">
        <v>1184</v>
      </c>
      <c r="C20" s="353">
        <f>'WP B.4.1B'!O30</f>
        <v>0</v>
      </c>
      <c r="D20" s="358">
        <f>Allocation!C15</f>
        <v>0.10929999999999999</v>
      </c>
      <c r="E20" s="358">
        <f>Allocation!H15</f>
        <v>0.51883860656465508</v>
      </c>
      <c r="F20" s="354">
        <f>C20*D20*E20</f>
        <v>0</v>
      </c>
      <c r="G20" s="356"/>
      <c r="H20" s="353">
        <f>'WP B.4.1B'!P30</f>
        <v>0</v>
      </c>
      <c r="I20" s="70">
        <f t="shared" si="0"/>
        <v>0.10929999999999999</v>
      </c>
      <c r="J20" s="70">
        <f t="shared" si="0"/>
        <v>0.51883860656465508</v>
      </c>
      <c r="K20" s="354">
        <f>H20*I20*J20</f>
        <v>0</v>
      </c>
    </row>
    <row r="21" spans="1:11">
      <c r="A21" s="240">
        <v>6</v>
      </c>
      <c r="B21" s="287" t="s">
        <v>97</v>
      </c>
      <c r="C21" s="339">
        <f>SUM(C17:C20)</f>
        <v>684929.32333333348</v>
      </c>
      <c r="D21" s="182"/>
      <c r="E21" s="240"/>
      <c r="F21" s="339">
        <f>SUM(F17:F20)</f>
        <v>209605.38382890017</v>
      </c>
      <c r="G21" s="84"/>
      <c r="H21" s="339">
        <f>SUM(H17:H20)</f>
        <v>678724.21230769227</v>
      </c>
      <c r="I21" s="86"/>
      <c r="J21" s="240"/>
      <c r="K21" s="339">
        <f>SUM(K17:K20)</f>
        <v>214652.37704833303</v>
      </c>
    </row>
    <row r="22" spans="1:11">
      <c r="A22" s="240">
        <v>7</v>
      </c>
      <c r="C22" s="96"/>
      <c r="F22" s="63"/>
      <c r="G22" s="84"/>
      <c r="H22" s="86"/>
      <c r="I22" s="86"/>
      <c r="K22" s="63"/>
    </row>
    <row r="23" spans="1:11">
      <c r="A23" s="240">
        <v>8</v>
      </c>
      <c r="B23" s="66" t="s">
        <v>525</v>
      </c>
      <c r="C23" s="86"/>
      <c r="D23" s="240"/>
      <c r="E23" s="240"/>
      <c r="F23" s="63"/>
      <c r="G23" s="84"/>
      <c r="H23" s="86"/>
      <c r="I23" s="86"/>
      <c r="J23" s="240"/>
      <c r="K23" s="63"/>
    </row>
    <row r="24" spans="1:11">
      <c r="A24" s="240">
        <v>9</v>
      </c>
      <c r="B24" s="319" t="s">
        <v>1181</v>
      </c>
      <c r="C24" s="339">
        <f>'WP B.4.1B'!O34</f>
        <v>12337277.359999999</v>
      </c>
      <c r="D24" s="344">
        <f>D17</f>
        <v>1</v>
      </c>
      <c r="E24" s="344">
        <f>E17</f>
        <v>1</v>
      </c>
      <c r="F24" s="350">
        <f>C24*D24*E24</f>
        <v>12337277.359999999</v>
      </c>
      <c r="G24" s="84"/>
      <c r="H24" s="339">
        <f>'WP B.4.1B'!P34</f>
        <v>8607714.4584615398</v>
      </c>
      <c r="I24" s="344">
        <f>I17</f>
        <v>1</v>
      </c>
      <c r="J24" s="344">
        <f>J17</f>
        <v>1</v>
      </c>
      <c r="K24" s="350">
        <f>H24*I24*J24</f>
        <v>8607714.4584615398</v>
      </c>
    </row>
    <row r="25" spans="1:11">
      <c r="A25" s="240">
        <v>10</v>
      </c>
      <c r="B25" s="319" t="s">
        <v>1182</v>
      </c>
      <c r="C25" s="348">
        <f>'WP B.4.1B'!O36</f>
        <v>0</v>
      </c>
      <c r="D25" s="344">
        <f t="shared" ref="D25:E27" si="1">D18</f>
        <v>1</v>
      </c>
      <c r="E25" s="70">
        <f t="shared" si="1"/>
        <v>0.5025136071712456</v>
      </c>
      <c r="F25" s="351">
        <f>C25*D25*E25</f>
        <v>0</v>
      </c>
      <c r="G25" s="356"/>
      <c r="H25" s="352">
        <f>'WP B.4.1B'!P36</f>
        <v>0</v>
      </c>
      <c r="I25" s="344">
        <f t="shared" ref="I25:J27" si="2">I18</f>
        <v>1</v>
      </c>
      <c r="J25" s="70">
        <f t="shared" si="2"/>
        <v>0.5025136071712456</v>
      </c>
      <c r="K25" s="351">
        <f>H25*I25*J25</f>
        <v>0</v>
      </c>
    </row>
    <row r="26" spans="1:11">
      <c r="A26" s="240">
        <v>11</v>
      </c>
      <c r="B26" s="319" t="s">
        <v>1183</v>
      </c>
      <c r="C26" s="348">
        <f>'WP B.4.1B'!O38</f>
        <v>0</v>
      </c>
      <c r="D26" s="70">
        <f t="shared" si="1"/>
        <v>0.10349999999999999</v>
      </c>
      <c r="E26" s="70">
        <f t="shared" si="1"/>
        <v>0.5025136071712456</v>
      </c>
      <c r="F26" s="351">
        <f>C26*D26*E26</f>
        <v>0</v>
      </c>
      <c r="G26" s="356"/>
      <c r="H26" s="352">
        <f>'WP B.4.1B'!P38</f>
        <v>0</v>
      </c>
      <c r="I26" s="70">
        <f t="shared" si="2"/>
        <v>0.10349999999999999</v>
      </c>
      <c r="J26" s="70">
        <f t="shared" si="2"/>
        <v>0.5025136071712456</v>
      </c>
      <c r="K26" s="351">
        <f>H26*I26*J26</f>
        <v>0</v>
      </c>
    </row>
    <row r="27" spans="1:11">
      <c r="A27" s="240">
        <v>12</v>
      </c>
      <c r="B27" s="319" t="s">
        <v>1184</v>
      </c>
      <c r="C27" s="349">
        <f>'WP B.4.1B'!O40</f>
        <v>0</v>
      </c>
      <c r="D27" s="70">
        <f t="shared" si="1"/>
        <v>0.10929999999999999</v>
      </c>
      <c r="E27" s="70">
        <f t="shared" si="1"/>
        <v>0.51883860656465508</v>
      </c>
      <c r="F27" s="354">
        <f>C27*D27*E27</f>
        <v>0</v>
      </c>
      <c r="G27" s="356"/>
      <c r="H27" s="353">
        <f>'WP B.4.1B'!P40</f>
        <v>0</v>
      </c>
      <c r="I27" s="70">
        <f t="shared" si="2"/>
        <v>0.10929999999999999</v>
      </c>
      <c r="J27" s="70">
        <f t="shared" si="2"/>
        <v>0.51883860656465508</v>
      </c>
      <c r="K27" s="354">
        <f>H27*I27*J27</f>
        <v>0</v>
      </c>
    </row>
    <row r="28" spans="1:11">
      <c r="A28" s="240">
        <v>13</v>
      </c>
      <c r="B28" s="287" t="s">
        <v>97</v>
      </c>
      <c r="C28" s="339">
        <f>SUM(C24:C27)</f>
        <v>12337277.359999999</v>
      </c>
      <c r="D28" s="240"/>
      <c r="E28" s="240"/>
      <c r="F28" s="339">
        <f>SUM(F24:F27)</f>
        <v>12337277.359999999</v>
      </c>
      <c r="G28" s="84"/>
      <c r="H28" s="339">
        <f>SUM(H24:H27)</f>
        <v>8607714.4584615398</v>
      </c>
      <c r="I28" s="86"/>
      <c r="J28" s="240"/>
      <c r="K28" s="339">
        <f>SUM(K24:K27)</f>
        <v>8607714.4584615398</v>
      </c>
    </row>
    <row r="29" spans="1:11">
      <c r="A29" s="240">
        <v>14</v>
      </c>
      <c r="B29" s="287"/>
      <c r="C29" s="107"/>
      <c r="D29" s="242"/>
      <c r="E29" s="242"/>
      <c r="F29" s="84"/>
      <c r="G29" s="84"/>
      <c r="H29" s="87"/>
      <c r="I29" s="87"/>
      <c r="J29" s="241"/>
      <c r="K29" s="63"/>
    </row>
    <row r="30" spans="1:11">
      <c r="A30" s="240">
        <v>15</v>
      </c>
      <c r="B30" s="66" t="s">
        <v>526</v>
      </c>
      <c r="C30" s="87"/>
      <c r="D30" s="240"/>
      <c r="E30" s="240"/>
      <c r="F30" s="84"/>
      <c r="G30" s="84"/>
      <c r="H30" s="87"/>
      <c r="I30" s="87"/>
      <c r="J30" s="240"/>
      <c r="K30" s="84"/>
    </row>
    <row r="31" spans="1:11">
      <c r="A31" s="240">
        <v>16</v>
      </c>
      <c r="B31" s="319" t="s">
        <v>1181</v>
      </c>
      <c r="C31" s="339">
        <f>'WP B.4.1B'!O44</f>
        <v>0</v>
      </c>
      <c r="D31" s="344">
        <f>D17</f>
        <v>1</v>
      </c>
      <c r="E31" s="344">
        <f>E17</f>
        <v>1</v>
      </c>
      <c r="F31" s="350">
        <f>C31*D31*E31</f>
        <v>0</v>
      </c>
      <c r="G31" s="84"/>
      <c r="H31" s="339">
        <f>'WP B.4.1B'!P44</f>
        <v>0</v>
      </c>
      <c r="I31" s="344">
        <f>I17</f>
        <v>1</v>
      </c>
      <c r="J31" s="344">
        <f>J17</f>
        <v>1</v>
      </c>
      <c r="K31" s="350">
        <f>H31*I31*J31</f>
        <v>0</v>
      </c>
    </row>
    <row r="32" spans="1:11">
      <c r="A32" s="240">
        <v>17</v>
      </c>
      <c r="B32" s="319" t="s">
        <v>1182</v>
      </c>
      <c r="C32" s="352">
        <f>'WP B.4.1B'!O46</f>
        <v>0</v>
      </c>
      <c r="D32" s="344">
        <f t="shared" ref="D32:E34" si="3">D18</f>
        <v>1</v>
      </c>
      <c r="E32" s="70">
        <f t="shared" si="3"/>
        <v>0.5025136071712456</v>
      </c>
      <c r="F32" s="351">
        <f>C32*D32*E32</f>
        <v>0</v>
      </c>
      <c r="G32" s="84"/>
      <c r="H32" s="352">
        <f>'WP B.4.1B'!P46</f>
        <v>0</v>
      </c>
      <c r="I32" s="344">
        <f t="shared" ref="I32:J34" si="4">I18</f>
        <v>1</v>
      </c>
      <c r="J32" s="70">
        <f t="shared" si="4"/>
        <v>0.5025136071712456</v>
      </c>
      <c r="K32" s="351">
        <f>H32*I32*J32</f>
        <v>0</v>
      </c>
    </row>
    <row r="33" spans="1:11">
      <c r="A33" s="240">
        <v>18</v>
      </c>
      <c r="B33" s="319" t="s">
        <v>1183</v>
      </c>
      <c r="C33" s="352">
        <f>'WP B.4.1B'!O48</f>
        <v>0</v>
      </c>
      <c r="D33" s="70">
        <f t="shared" si="3"/>
        <v>0.10349999999999999</v>
      </c>
      <c r="E33" s="70">
        <f t="shared" si="3"/>
        <v>0.5025136071712456</v>
      </c>
      <c r="F33" s="351">
        <f>C33*D33*E33</f>
        <v>0</v>
      </c>
      <c r="G33" s="84"/>
      <c r="H33" s="352">
        <f>'WP B.4.1B'!P48</f>
        <v>0</v>
      </c>
      <c r="I33" s="70">
        <f t="shared" si="4"/>
        <v>0.10349999999999999</v>
      </c>
      <c r="J33" s="70">
        <f t="shared" si="4"/>
        <v>0.5025136071712456</v>
      </c>
      <c r="K33" s="351">
        <f>H33*I33*J33</f>
        <v>0</v>
      </c>
    </row>
    <row r="34" spans="1:11">
      <c r="A34" s="240">
        <v>19</v>
      </c>
      <c r="B34" s="319" t="s">
        <v>1184</v>
      </c>
      <c r="C34" s="353">
        <f>'WP B.4.1B'!O50</f>
        <v>0</v>
      </c>
      <c r="D34" s="70">
        <f t="shared" si="3"/>
        <v>0.10929999999999999</v>
      </c>
      <c r="E34" s="70">
        <f t="shared" si="3"/>
        <v>0.51883860656465508</v>
      </c>
      <c r="F34" s="354">
        <f>C34*D34*E34</f>
        <v>0</v>
      </c>
      <c r="G34" s="84"/>
      <c r="H34" s="353">
        <f>'WP B.4.1B'!P50</f>
        <v>0</v>
      </c>
      <c r="I34" s="70">
        <f t="shared" si="4"/>
        <v>0.10929999999999999</v>
      </c>
      <c r="J34" s="70">
        <f t="shared" si="4"/>
        <v>0.51883860656465508</v>
      </c>
      <c r="K34" s="354">
        <f>H34*I34*J34</f>
        <v>0</v>
      </c>
    </row>
    <row r="35" spans="1:11">
      <c r="A35" s="240">
        <v>20</v>
      </c>
      <c r="B35" s="287" t="s">
        <v>97</v>
      </c>
      <c r="C35" s="339">
        <f>SUM(C31:C34)</f>
        <v>0</v>
      </c>
      <c r="D35" s="240"/>
      <c r="E35" s="240"/>
      <c r="F35" s="339">
        <f>SUM(F31:F34)</f>
        <v>0</v>
      </c>
      <c r="G35" s="84"/>
      <c r="H35" s="339">
        <f>SUM(H31:H34)</f>
        <v>0</v>
      </c>
      <c r="I35" s="86"/>
      <c r="J35" s="240"/>
      <c r="K35" s="339">
        <f>SUM(K31:K34)</f>
        <v>0</v>
      </c>
    </row>
    <row r="36" spans="1:11">
      <c r="A36" s="240">
        <v>21</v>
      </c>
      <c r="B36" s="287"/>
      <c r="D36" s="243"/>
      <c r="E36" s="243"/>
      <c r="F36" s="63"/>
      <c r="G36" s="84"/>
      <c r="H36" s="63"/>
      <c r="I36" s="63"/>
      <c r="K36" s="63"/>
    </row>
    <row r="37" spans="1:11" ht="15.75" thickBot="1">
      <c r="A37" s="240">
        <v>22</v>
      </c>
      <c r="B37" s="66" t="s">
        <v>494</v>
      </c>
      <c r="C37" s="346">
        <f>C35+C28+C21</f>
        <v>13022206.683333334</v>
      </c>
      <c r="F37" s="346">
        <f>F35+F28+F21</f>
        <v>12546882.7438289</v>
      </c>
      <c r="G37" s="84"/>
      <c r="H37" s="346">
        <f>H35+H28+H21</f>
        <v>9286438.6707692314</v>
      </c>
      <c r="I37" s="84"/>
      <c r="K37" s="346">
        <f>K35+K28+K21</f>
        <v>8822366.8355098721</v>
      </c>
    </row>
    <row r="38" spans="1:11" ht="15.75" thickTop="1">
      <c r="D38" s="243"/>
      <c r="E38" s="243"/>
      <c r="F38" s="63"/>
      <c r="G38" s="84"/>
      <c r="H38" s="63"/>
      <c r="I38" s="63"/>
    </row>
    <row r="39" spans="1:11">
      <c r="A39" s="240"/>
      <c r="F39" s="63"/>
      <c r="G39" s="84"/>
      <c r="H39" s="63"/>
      <c r="I39" s="63"/>
    </row>
    <row r="40" spans="1:11">
      <c r="D40" s="243"/>
      <c r="E40" s="243"/>
      <c r="F40" s="63"/>
      <c r="G40" s="84"/>
    </row>
    <row r="41" spans="1:11">
      <c r="C41" s="63"/>
      <c r="F41" s="63"/>
      <c r="G41" s="84"/>
    </row>
    <row r="42" spans="1:11">
      <c r="D42" s="243"/>
      <c r="E42" s="243"/>
      <c r="F42" s="63"/>
      <c r="G42" s="84"/>
    </row>
    <row r="43" spans="1:11">
      <c r="F43" s="63"/>
      <c r="G43" s="84"/>
    </row>
    <row r="44" spans="1:11">
      <c r="D44" s="243"/>
      <c r="E44" s="243"/>
      <c r="F44" s="63"/>
      <c r="G44" s="84"/>
    </row>
    <row r="45" spans="1:11">
      <c r="F45" s="63"/>
      <c r="G45" s="84"/>
    </row>
    <row r="46" spans="1:11">
      <c r="D46" s="243"/>
      <c r="E46" s="243"/>
      <c r="F46" s="63"/>
      <c r="G46" s="84"/>
    </row>
    <row r="47" spans="1:11">
      <c r="F47" s="63"/>
      <c r="G47" s="84"/>
    </row>
  </sheetData>
  <mergeCells count="6">
    <mergeCell ref="C10:F10"/>
    <mergeCell ref="H10:K10"/>
    <mergeCell ref="A1:K1"/>
    <mergeCell ref="A2:K2"/>
    <mergeCell ref="A3:K3"/>
    <mergeCell ref="A4:K4"/>
  </mergeCells>
  <phoneticPr fontId="22" type="noConversion"/>
  <pageMargins left="0.56999999999999995" right="0.5" top="0.75" bottom="0.5" header="0.5" footer="0.5"/>
  <pageSetup scale="70" orientation="landscape" verticalDpi="300" r:id="rId1"/>
  <headerFooter alignWithMargins="0">
    <oddFooter>&amp;RSchedule &amp;A
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K47"/>
  <sheetViews>
    <sheetView view="pageBreakPreview" zoomScale="60" zoomScaleNormal="80" workbookViewId="0">
      <selection activeCell="F37" sqref="F37"/>
    </sheetView>
  </sheetViews>
  <sheetFormatPr defaultColWidth="8.44140625" defaultRowHeight="15"/>
  <cols>
    <col min="1" max="1" width="5" style="62" customWidth="1"/>
    <col min="2" max="2" width="42.77734375" style="62" customWidth="1"/>
    <col min="3" max="3" width="13.88671875" style="62" customWidth="1"/>
    <col min="4" max="4" width="13.6640625" style="62" customWidth="1"/>
    <col min="5" max="5" width="11.6640625" style="62" customWidth="1"/>
    <col min="6" max="6" width="13.5546875" style="62" customWidth="1"/>
    <col min="7" max="7" width="2.88671875" style="94" customWidth="1"/>
    <col min="8" max="8" width="13.33203125" style="62" bestFit="1" customWidth="1"/>
    <col min="9" max="9" width="13.109375" style="62" bestFit="1" customWidth="1"/>
    <col min="10" max="10" width="10.44140625" style="62" customWidth="1"/>
    <col min="11" max="11" width="13.33203125" style="62" customWidth="1"/>
    <col min="12" max="16384" width="8.44140625" style="62"/>
  </cols>
  <sheetData>
    <row r="1" spans="1:11">
      <c r="A1" s="1189" t="str">
        <f>Allocation!A1</f>
        <v>Atmos Energy Corporation, Kentucky/Mid-States Division</v>
      </c>
      <c r="B1" s="1189"/>
      <c r="C1" s="1189"/>
      <c r="D1" s="1189"/>
      <c r="E1" s="1189"/>
      <c r="F1" s="1189"/>
      <c r="G1" s="1189"/>
      <c r="H1" s="1189"/>
      <c r="I1" s="1189"/>
      <c r="J1" s="1189"/>
      <c r="K1" s="1189"/>
    </row>
    <row r="2" spans="1:11">
      <c r="A2" s="1189" t="str">
        <f>Allocation!A2</f>
        <v>Kentucky Jurisdiction Case No. 2017-00349</v>
      </c>
      <c r="B2" s="1189"/>
      <c r="C2" s="1189"/>
      <c r="D2" s="1189"/>
      <c r="E2" s="1189"/>
      <c r="F2" s="1189"/>
      <c r="G2" s="1189"/>
      <c r="H2" s="1189"/>
      <c r="I2" s="1189"/>
      <c r="J2" s="1189"/>
      <c r="K2" s="1189"/>
    </row>
    <row r="3" spans="1:11">
      <c r="A3" s="1189" t="s">
        <v>983</v>
      </c>
      <c r="B3" s="1189"/>
      <c r="C3" s="1189"/>
      <c r="D3" s="1189"/>
      <c r="E3" s="1189"/>
      <c r="F3" s="1189"/>
      <c r="G3" s="1189"/>
      <c r="H3" s="1189"/>
      <c r="I3" s="1189"/>
      <c r="J3" s="1189"/>
      <c r="K3" s="1189"/>
    </row>
    <row r="4" spans="1:11">
      <c r="A4" s="1189" t="str">
        <f>'B.1 F '!A4</f>
        <v>as of March 31, 2019</v>
      </c>
      <c r="B4" s="1189"/>
      <c r="C4" s="1189"/>
      <c r="D4" s="1189"/>
      <c r="E4" s="1189"/>
      <c r="F4" s="1189"/>
      <c r="G4" s="1189"/>
      <c r="H4" s="1189"/>
      <c r="I4" s="1189"/>
      <c r="J4" s="1189"/>
      <c r="K4" s="1189"/>
    </row>
    <row r="7" spans="1:11">
      <c r="A7" s="66" t="str">
        <f>'B.1 F '!A6</f>
        <v>Data:______Base Period__X___Forecasted Period</v>
      </c>
      <c r="K7" s="495" t="s">
        <v>1446</v>
      </c>
    </row>
    <row r="8" spans="1:11">
      <c r="A8" s="66" t="str">
        <f>'B.1 F '!A7</f>
        <v>Type of Filing:___X____Original________Updated ________Revised</v>
      </c>
      <c r="B8" s="4"/>
      <c r="K8" s="695" t="s">
        <v>711</v>
      </c>
    </row>
    <row r="9" spans="1:11">
      <c r="A9" s="468" t="str">
        <f>'B.1 F '!A8</f>
        <v>Workpaper Reference No(s).</v>
      </c>
      <c r="B9" s="94"/>
      <c r="C9" s="94"/>
      <c r="D9" s="94"/>
      <c r="E9" s="94"/>
      <c r="F9" s="94"/>
      <c r="H9" s="94"/>
      <c r="I9" s="94"/>
      <c r="K9" s="696" t="str">
        <f>'B.1 B'!F8</f>
        <v>Witness:   Waller</v>
      </c>
    </row>
    <row r="10" spans="1:11">
      <c r="A10" s="340"/>
      <c r="B10" s="341"/>
      <c r="C10" s="1183" t="s">
        <v>161</v>
      </c>
      <c r="D10" s="1184"/>
      <c r="E10" s="1184"/>
      <c r="F10" s="1185"/>
      <c r="H10" s="1186" t="s">
        <v>517</v>
      </c>
      <c r="I10" s="1187"/>
      <c r="J10" s="1187"/>
      <c r="K10" s="1188"/>
    </row>
    <row r="11" spans="1:11">
      <c r="A11" s="469"/>
      <c r="B11" s="470"/>
      <c r="C11" s="340"/>
      <c r="D11" s="337" t="s">
        <v>13</v>
      </c>
      <c r="E11" s="338" t="s">
        <v>11</v>
      </c>
      <c r="F11" s="341"/>
      <c r="H11" s="340"/>
      <c r="I11" s="337" t="s">
        <v>13</v>
      </c>
      <c r="J11" s="338" t="s">
        <v>11</v>
      </c>
      <c r="K11" s="341"/>
    </row>
    <row r="12" spans="1:11">
      <c r="A12" s="471" t="s">
        <v>94</v>
      </c>
      <c r="B12" s="470"/>
      <c r="C12" s="594">
        <f>'B.2 F'!D10</f>
        <v>43555</v>
      </c>
      <c r="D12" s="34" t="s">
        <v>14</v>
      </c>
      <c r="E12" s="75" t="s">
        <v>600</v>
      </c>
      <c r="F12" s="342" t="s">
        <v>12</v>
      </c>
      <c r="G12" s="241"/>
      <c r="H12" s="594">
        <f>C12</f>
        <v>43555</v>
      </c>
      <c r="I12" s="34" t="s">
        <v>14</v>
      </c>
      <c r="J12" s="75" t="s">
        <v>600</v>
      </c>
      <c r="K12" s="342" t="s">
        <v>12</v>
      </c>
    </row>
    <row r="13" spans="1:11">
      <c r="A13" s="472" t="s">
        <v>100</v>
      </c>
      <c r="B13" s="473" t="s">
        <v>993</v>
      </c>
      <c r="C13" s="331" t="s">
        <v>321</v>
      </c>
      <c r="D13" s="186" t="s">
        <v>633</v>
      </c>
      <c r="E13" s="186" t="s">
        <v>633</v>
      </c>
      <c r="F13" s="343" t="s">
        <v>105</v>
      </c>
      <c r="G13" s="241"/>
      <c r="H13" s="331" t="s">
        <v>384</v>
      </c>
      <c r="I13" s="186" t="s">
        <v>633</v>
      </c>
      <c r="J13" s="186" t="s">
        <v>633</v>
      </c>
      <c r="K13" s="343" t="s">
        <v>105</v>
      </c>
    </row>
    <row r="14" spans="1:11">
      <c r="C14" s="240"/>
      <c r="F14" s="240"/>
      <c r="G14" s="241"/>
      <c r="H14" s="240"/>
      <c r="I14" s="240"/>
      <c r="K14" s="240"/>
    </row>
    <row r="16" spans="1:11">
      <c r="A16" s="240">
        <v>1</v>
      </c>
      <c r="B16" s="66" t="s">
        <v>524</v>
      </c>
      <c r="C16" s="86"/>
      <c r="D16" s="240"/>
      <c r="E16" s="240"/>
      <c r="F16" s="63"/>
      <c r="G16" s="84"/>
      <c r="H16" s="86"/>
      <c r="I16" s="86"/>
      <c r="J16" s="240"/>
      <c r="K16" s="63"/>
    </row>
    <row r="17" spans="1:11">
      <c r="A17" s="240">
        <v>2</v>
      </c>
      <c r="B17" s="319" t="s">
        <v>1181</v>
      </c>
      <c r="C17" s="339">
        <f>'WP B.4.1F'!O15</f>
        <v>-270521.8133333333</v>
      </c>
      <c r="D17" s="357">
        <v>1</v>
      </c>
      <c r="E17" s="357">
        <v>1</v>
      </c>
      <c r="F17" s="350">
        <f>C17*D17*E17</f>
        <v>-270521.8133333333</v>
      </c>
      <c r="G17" s="84"/>
      <c r="H17" s="339">
        <f>'WP B.4.1F'!P15</f>
        <v>-270521.81333333335</v>
      </c>
      <c r="I17" s="344">
        <f t="shared" ref="I17:J20" si="0">D17</f>
        <v>1</v>
      </c>
      <c r="J17" s="344">
        <f t="shared" si="0"/>
        <v>1</v>
      </c>
      <c r="K17" s="350">
        <f>H17*I17*J17</f>
        <v>-270521.81333333335</v>
      </c>
    </row>
    <row r="18" spans="1:11">
      <c r="A18" s="240">
        <v>3</v>
      </c>
      <c r="B18" s="319" t="s">
        <v>1182</v>
      </c>
      <c r="C18" s="352">
        <f>'WP B.4.1F'!O20</f>
        <v>955451.13666666672</v>
      </c>
      <c r="D18" s="357">
        <v>1</v>
      </c>
      <c r="E18" s="358">
        <f>Allocation!D17</f>
        <v>0.5025136071712456</v>
      </c>
      <c r="F18" s="351">
        <f>C18*D18*E18</f>
        <v>480127.19716223347</v>
      </c>
      <c r="G18" s="84"/>
      <c r="H18" s="352">
        <f>'WP B.4.1F'!P20</f>
        <v>955451.13666666672</v>
      </c>
      <c r="I18" s="344">
        <f t="shared" si="0"/>
        <v>1</v>
      </c>
      <c r="J18" s="70">
        <f t="shared" si="0"/>
        <v>0.5025136071712456</v>
      </c>
      <c r="K18" s="351">
        <f>H18*I18*J18</f>
        <v>480127.19716223347</v>
      </c>
    </row>
    <row r="19" spans="1:11">
      <c r="A19" s="240">
        <v>4</v>
      </c>
      <c r="B19" s="319" t="s">
        <v>1183</v>
      </c>
      <c r="C19" s="352">
        <f>'WP B.4.1F'!O25</f>
        <v>0</v>
      </c>
      <c r="D19" s="358">
        <f>Allocation!C14</f>
        <v>0.10349999999999999</v>
      </c>
      <c r="E19" s="358">
        <f>Allocation!D14</f>
        <v>0.5025136071712456</v>
      </c>
      <c r="F19" s="351">
        <f>C19*D19*E19</f>
        <v>0</v>
      </c>
      <c r="G19" s="84"/>
      <c r="H19" s="352">
        <f>'WP B.4.1F'!P25</f>
        <v>0</v>
      </c>
      <c r="I19" s="70">
        <f t="shared" si="0"/>
        <v>0.10349999999999999</v>
      </c>
      <c r="J19" s="70">
        <f t="shared" si="0"/>
        <v>0.5025136071712456</v>
      </c>
      <c r="K19" s="351">
        <f>H19*I19*J19</f>
        <v>0</v>
      </c>
    </row>
    <row r="20" spans="1:11">
      <c r="A20" s="240">
        <v>5</v>
      </c>
      <c r="B20" s="319" t="s">
        <v>1184</v>
      </c>
      <c r="C20" s="353">
        <f>'WP B.4.1F'!O30</f>
        <v>0</v>
      </c>
      <c r="D20" s="358">
        <f>Allocation!C15</f>
        <v>0.10929999999999999</v>
      </c>
      <c r="E20" s="358">
        <f>Allocation!D15</f>
        <v>0.51883860656465508</v>
      </c>
      <c r="F20" s="354">
        <f>C20*D20*E20</f>
        <v>0</v>
      </c>
      <c r="G20" s="84"/>
      <c r="H20" s="353">
        <f>'WP B.4.1F'!T30</f>
        <v>0</v>
      </c>
      <c r="I20" s="70">
        <f t="shared" si="0"/>
        <v>0.10929999999999999</v>
      </c>
      <c r="J20" s="70">
        <f t="shared" si="0"/>
        <v>0.51883860656465508</v>
      </c>
      <c r="K20" s="354">
        <f>H20*I20*J20</f>
        <v>0</v>
      </c>
    </row>
    <row r="21" spans="1:11">
      <c r="A21" s="240">
        <v>6</v>
      </c>
      <c r="B21" s="287" t="s">
        <v>97</v>
      </c>
      <c r="C21" s="339">
        <f>SUM(C17:C20)</f>
        <v>684929.32333333348</v>
      </c>
      <c r="D21" s="182"/>
      <c r="E21" s="240"/>
      <c r="F21" s="339">
        <f>SUM(F17:F20)</f>
        <v>209605.38382890017</v>
      </c>
      <c r="G21" s="84"/>
      <c r="H21" s="339">
        <f>SUM(H17:H20)</f>
        <v>684929.32333333336</v>
      </c>
      <c r="I21" s="86"/>
      <c r="J21" s="240"/>
      <c r="K21" s="339">
        <f>SUM(K17:K20)</f>
        <v>209605.38382890011</v>
      </c>
    </row>
    <row r="22" spans="1:11">
      <c r="A22" s="240">
        <v>7</v>
      </c>
      <c r="C22" s="96"/>
      <c r="F22" s="63"/>
      <c r="G22" s="84"/>
      <c r="H22" s="96"/>
      <c r="I22" s="86"/>
      <c r="K22" s="63"/>
    </row>
    <row r="23" spans="1:11">
      <c r="A23" s="240">
        <v>8</v>
      </c>
      <c r="B23" s="66" t="s">
        <v>525</v>
      </c>
      <c r="C23" s="86"/>
      <c r="D23" s="240"/>
      <c r="E23" s="240"/>
      <c r="F23" s="63"/>
      <c r="G23" s="84"/>
      <c r="H23" s="86"/>
      <c r="I23" s="86"/>
      <c r="J23" s="240"/>
      <c r="K23" s="63"/>
    </row>
    <row r="24" spans="1:11">
      <c r="A24" s="240">
        <v>9</v>
      </c>
      <c r="B24" s="319" t="s">
        <v>1181</v>
      </c>
      <c r="C24" s="339">
        <f>'WP B.4.1F'!O34</f>
        <v>-4156777.4433354605</v>
      </c>
      <c r="D24" s="344">
        <f t="shared" ref="D24:E27" si="1">D17</f>
        <v>1</v>
      </c>
      <c r="E24" s="344">
        <f t="shared" si="1"/>
        <v>1</v>
      </c>
      <c r="F24" s="350">
        <f>C24*D24*E24</f>
        <v>-4156777.4433354605</v>
      </c>
      <c r="G24" s="84"/>
      <c r="H24" s="339">
        <f>'WP B.4.1F'!P34</f>
        <v>8259601.0594371371</v>
      </c>
      <c r="I24" s="344">
        <f t="shared" ref="I24:J27" si="2">I17</f>
        <v>1</v>
      </c>
      <c r="J24" s="344">
        <f t="shared" si="2"/>
        <v>1</v>
      </c>
      <c r="K24" s="350">
        <f>H24*I24*J24</f>
        <v>8259601.0594371371</v>
      </c>
    </row>
    <row r="25" spans="1:11">
      <c r="A25" s="240">
        <v>10</v>
      </c>
      <c r="B25" s="319" t="s">
        <v>1182</v>
      </c>
      <c r="C25" s="348">
        <f>'WP B.4.1F'!O36</f>
        <v>0</v>
      </c>
      <c r="D25" s="344">
        <f t="shared" si="1"/>
        <v>1</v>
      </c>
      <c r="E25" s="70">
        <f t="shared" si="1"/>
        <v>0.5025136071712456</v>
      </c>
      <c r="F25" s="351">
        <f>C25*D25*E25</f>
        <v>0</v>
      </c>
      <c r="G25" s="84"/>
      <c r="H25" s="348">
        <f>'WP B.4.1F'!P36</f>
        <v>0</v>
      </c>
      <c r="I25" s="344">
        <f t="shared" si="2"/>
        <v>1</v>
      </c>
      <c r="J25" s="70">
        <f t="shared" si="2"/>
        <v>0.5025136071712456</v>
      </c>
      <c r="K25" s="351">
        <f>H25*I25*J25</f>
        <v>0</v>
      </c>
    </row>
    <row r="26" spans="1:11">
      <c r="A26" s="240">
        <v>11</v>
      </c>
      <c r="B26" s="319" t="s">
        <v>1183</v>
      </c>
      <c r="C26" s="348">
        <f>'WP B.4.1F'!O38</f>
        <v>0</v>
      </c>
      <c r="D26" s="70">
        <f t="shared" si="1"/>
        <v>0.10349999999999999</v>
      </c>
      <c r="E26" s="70">
        <f t="shared" si="1"/>
        <v>0.5025136071712456</v>
      </c>
      <c r="F26" s="351">
        <f>C26*D26*E26</f>
        <v>0</v>
      </c>
      <c r="G26" s="84"/>
      <c r="H26" s="348">
        <f>'WP B.4.1F'!P38</f>
        <v>0</v>
      </c>
      <c r="I26" s="70">
        <f t="shared" si="2"/>
        <v>0.10349999999999999</v>
      </c>
      <c r="J26" s="70">
        <f t="shared" si="2"/>
        <v>0.5025136071712456</v>
      </c>
      <c r="K26" s="351">
        <f>H26*I26*J26</f>
        <v>0</v>
      </c>
    </row>
    <row r="27" spans="1:11">
      <c r="A27" s="240">
        <v>12</v>
      </c>
      <c r="B27" s="319" t="s">
        <v>1184</v>
      </c>
      <c r="C27" s="349">
        <f>'WP B.4.1F'!O40</f>
        <v>0</v>
      </c>
      <c r="D27" s="70">
        <f t="shared" si="1"/>
        <v>0.10929999999999999</v>
      </c>
      <c r="E27" s="70">
        <f t="shared" si="1"/>
        <v>0.51883860656465508</v>
      </c>
      <c r="F27" s="354">
        <f>C27*D27*E27</f>
        <v>0</v>
      </c>
      <c r="G27" s="84"/>
      <c r="H27" s="349">
        <f>'WP B.4.1F'!P40</f>
        <v>0</v>
      </c>
      <c r="I27" s="70">
        <f t="shared" si="2"/>
        <v>0.10929999999999999</v>
      </c>
      <c r="J27" s="70">
        <f t="shared" si="2"/>
        <v>0.51883860656465508</v>
      </c>
      <c r="K27" s="354">
        <f>H27*I27*J27</f>
        <v>0</v>
      </c>
    </row>
    <row r="28" spans="1:11">
      <c r="A28" s="240">
        <v>13</v>
      </c>
      <c r="B28" s="287" t="s">
        <v>97</v>
      </c>
      <c r="C28" s="339">
        <f>SUM(C24:C27)</f>
        <v>-4156777.4433354605</v>
      </c>
      <c r="D28" s="240"/>
      <c r="E28" s="240"/>
      <c r="F28" s="339">
        <f>SUM(F24:F27)</f>
        <v>-4156777.4433354605</v>
      </c>
      <c r="G28" s="84"/>
      <c r="H28" s="339">
        <f>SUM(H24:H27)</f>
        <v>8259601.0594371371</v>
      </c>
      <c r="I28" s="86"/>
      <c r="J28" s="240"/>
      <c r="K28" s="339">
        <f>SUM(K24:K27)</f>
        <v>8259601.0594371371</v>
      </c>
    </row>
    <row r="29" spans="1:11">
      <c r="A29" s="240">
        <v>14</v>
      </c>
      <c r="B29" s="287"/>
      <c r="C29" s="107"/>
      <c r="D29" s="242"/>
      <c r="E29" s="242"/>
      <c r="F29" s="84"/>
      <c r="G29" s="84"/>
      <c r="H29" s="107"/>
      <c r="I29" s="87"/>
      <c r="J29" s="241"/>
      <c r="K29" s="63"/>
    </row>
    <row r="30" spans="1:11">
      <c r="A30" s="240">
        <v>15</v>
      </c>
      <c r="B30" s="66" t="s">
        <v>526</v>
      </c>
      <c r="C30" s="87"/>
      <c r="D30" s="240"/>
      <c r="E30" s="240"/>
      <c r="F30" s="84"/>
      <c r="G30" s="84"/>
      <c r="H30" s="87"/>
      <c r="I30" s="87"/>
      <c r="J30" s="240"/>
      <c r="K30" s="84"/>
    </row>
    <row r="31" spans="1:11">
      <c r="A31" s="240">
        <v>16</v>
      </c>
      <c r="B31" s="319" t="s">
        <v>1181</v>
      </c>
      <c r="C31" s="339">
        <f>'WP B.4.1F'!O44</f>
        <v>0</v>
      </c>
      <c r="D31" s="344">
        <f t="shared" ref="D31:E34" si="3">D17</f>
        <v>1</v>
      </c>
      <c r="E31" s="344">
        <f t="shared" si="3"/>
        <v>1</v>
      </c>
      <c r="F31" s="350">
        <f>C31*D31*E31</f>
        <v>0</v>
      </c>
      <c r="G31" s="84"/>
      <c r="H31" s="339">
        <f>'WP B.4.1F'!P44</f>
        <v>0</v>
      </c>
      <c r="I31" s="344">
        <f t="shared" ref="I31:J34" si="4">I17</f>
        <v>1</v>
      </c>
      <c r="J31" s="344">
        <f t="shared" si="4"/>
        <v>1</v>
      </c>
      <c r="K31" s="350">
        <f>H31*I31*J31</f>
        <v>0</v>
      </c>
    </row>
    <row r="32" spans="1:11">
      <c r="A32" s="240">
        <v>17</v>
      </c>
      <c r="B32" s="319" t="s">
        <v>1182</v>
      </c>
      <c r="C32" s="352">
        <f>'WP B.4.1F'!O46</f>
        <v>0</v>
      </c>
      <c r="D32" s="344">
        <f t="shared" si="3"/>
        <v>1</v>
      </c>
      <c r="E32" s="70">
        <f t="shared" si="3"/>
        <v>0.5025136071712456</v>
      </c>
      <c r="F32" s="351">
        <f>C32*D32*E32</f>
        <v>0</v>
      </c>
      <c r="G32" s="84"/>
      <c r="H32" s="352">
        <f>'WP B.4.1F'!P46</f>
        <v>0</v>
      </c>
      <c r="I32" s="344">
        <f t="shared" si="4"/>
        <v>1</v>
      </c>
      <c r="J32" s="70">
        <f t="shared" si="4"/>
        <v>0.5025136071712456</v>
      </c>
      <c r="K32" s="351">
        <f>H32*I32*J32</f>
        <v>0</v>
      </c>
    </row>
    <row r="33" spans="1:11">
      <c r="A33" s="240">
        <v>18</v>
      </c>
      <c r="B33" s="319" t="s">
        <v>1183</v>
      </c>
      <c r="C33" s="352">
        <f>'WP B.4.1F'!O48</f>
        <v>0</v>
      </c>
      <c r="D33" s="70">
        <f t="shared" si="3"/>
        <v>0.10349999999999999</v>
      </c>
      <c r="E33" s="70">
        <f t="shared" si="3"/>
        <v>0.5025136071712456</v>
      </c>
      <c r="F33" s="351">
        <f>C33*D33*E33</f>
        <v>0</v>
      </c>
      <c r="G33" s="84"/>
      <c r="H33" s="352">
        <f>'WP B.4.1F'!P48</f>
        <v>0</v>
      </c>
      <c r="I33" s="70">
        <f t="shared" si="4"/>
        <v>0.10349999999999999</v>
      </c>
      <c r="J33" s="70">
        <f t="shared" si="4"/>
        <v>0.5025136071712456</v>
      </c>
      <c r="K33" s="351">
        <f>H33*I33*J33</f>
        <v>0</v>
      </c>
    </row>
    <row r="34" spans="1:11">
      <c r="A34" s="240">
        <v>19</v>
      </c>
      <c r="B34" s="319" t="s">
        <v>1184</v>
      </c>
      <c r="C34" s="353">
        <f>'WP B.4.1F'!O50</f>
        <v>0</v>
      </c>
      <c r="D34" s="70">
        <f t="shared" si="3"/>
        <v>0.10929999999999999</v>
      </c>
      <c r="E34" s="70">
        <f t="shared" si="3"/>
        <v>0.51883860656465508</v>
      </c>
      <c r="F34" s="354">
        <f>C34*D34*E34</f>
        <v>0</v>
      </c>
      <c r="G34" s="84"/>
      <c r="H34" s="353">
        <f>'WP B.4.1F'!P50</f>
        <v>0</v>
      </c>
      <c r="I34" s="70">
        <f t="shared" si="4"/>
        <v>0.10929999999999999</v>
      </c>
      <c r="J34" s="70">
        <f t="shared" si="4"/>
        <v>0.51883860656465508</v>
      </c>
      <c r="K34" s="354">
        <f>H34*I34*J34</f>
        <v>0</v>
      </c>
    </row>
    <row r="35" spans="1:11">
      <c r="A35" s="240">
        <v>20</v>
      </c>
      <c r="B35" s="287" t="s">
        <v>97</v>
      </c>
      <c r="C35" s="339">
        <f>SUM(C31:C34)</f>
        <v>0</v>
      </c>
      <c r="D35" s="240"/>
      <c r="E35" s="240"/>
      <c r="F35" s="339">
        <f>SUM(F31:F34)</f>
        <v>0</v>
      </c>
      <c r="G35" s="84"/>
      <c r="H35" s="339">
        <f>SUM(H31:H34)</f>
        <v>0</v>
      </c>
      <c r="I35" s="86"/>
      <c r="J35" s="240"/>
      <c r="K35" s="339">
        <f>SUM(K31:K34)</f>
        <v>0</v>
      </c>
    </row>
    <row r="36" spans="1:11">
      <c r="A36" s="240">
        <v>21</v>
      </c>
      <c r="B36" s="287"/>
      <c r="D36" s="243"/>
      <c r="E36" s="243"/>
      <c r="F36" s="63"/>
      <c r="G36" s="84"/>
      <c r="H36" s="63"/>
      <c r="I36" s="63"/>
      <c r="K36" s="63"/>
    </row>
    <row r="37" spans="1:11" ht="15.75" thickBot="1">
      <c r="A37" s="240">
        <v>22</v>
      </c>
      <c r="B37" s="66" t="s">
        <v>494</v>
      </c>
      <c r="C37" s="346">
        <f>C35+C28+C21</f>
        <v>-3471848.1200021273</v>
      </c>
      <c r="F37" s="346">
        <f>F35+F28+F21</f>
        <v>-3947172.0595065602</v>
      </c>
      <c r="G37" s="84"/>
      <c r="H37" s="346">
        <f>H35+H28+H21</f>
        <v>8944530.3827704713</v>
      </c>
      <c r="I37" s="84"/>
      <c r="K37" s="346">
        <f>K21+K28+K35</f>
        <v>8469206.4432660379</v>
      </c>
    </row>
    <row r="38" spans="1:11" ht="15.75" thickTop="1">
      <c r="D38" s="243"/>
      <c r="E38" s="243"/>
      <c r="F38" s="63"/>
      <c r="G38" s="84"/>
      <c r="H38" s="63"/>
      <c r="I38" s="63"/>
    </row>
    <row r="39" spans="1:11">
      <c r="A39" s="240"/>
      <c r="F39" s="63"/>
      <c r="G39" s="84"/>
      <c r="H39" s="63"/>
      <c r="I39" s="63"/>
    </row>
    <row r="40" spans="1:11">
      <c r="D40" s="243"/>
      <c r="E40" s="243"/>
      <c r="F40" s="63"/>
      <c r="G40" s="84"/>
    </row>
    <row r="41" spans="1:11">
      <c r="C41" s="63"/>
      <c r="F41" s="63"/>
      <c r="G41" s="84"/>
    </row>
    <row r="42" spans="1:11">
      <c r="D42" s="243"/>
      <c r="E42" s="243"/>
      <c r="F42" s="63"/>
      <c r="G42" s="84"/>
    </row>
    <row r="43" spans="1:11">
      <c r="F43" s="63"/>
      <c r="G43" s="84"/>
    </row>
    <row r="44" spans="1:11">
      <c r="D44" s="243"/>
      <c r="E44" s="243"/>
      <c r="F44" s="63"/>
      <c r="G44" s="84"/>
    </row>
    <row r="45" spans="1:11">
      <c r="F45" s="63"/>
      <c r="G45" s="84"/>
    </row>
    <row r="46" spans="1:11">
      <c r="D46" s="243"/>
      <c r="E46" s="243"/>
      <c r="F46" s="63"/>
      <c r="G46" s="84"/>
    </row>
    <row r="47" spans="1:11">
      <c r="F47" s="63"/>
      <c r="G47" s="84"/>
    </row>
  </sheetData>
  <mergeCells count="6">
    <mergeCell ref="C10:F10"/>
    <mergeCell ref="H10:K10"/>
    <mergeCell ref="A1:K1"/>
    <mergeCell ref="A2:K2"/>
    <mergeCell ref="A3:K3"/>
    <mergeCell ref="A4:K4"/>
  </mergeCells>
  <phoneticPr fontId="22" type="noConversion"/>
  <pageMargins left="0.56999999999999995" right="0.59" top="0.85" bottom="0.5" header="0.5" footer="0.5"/>
  <pageSetup scale="68" orientation="landscape" verticalDpi="300" r:id="rId1"/>
  <headerFooter alignWithMargins="0">
    <oddFooter>&amp;RSchedule &amp;A
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K41"/>
  <sheetViews>
    <sheetView view="pageBreakPreview" zoomScale="60" zoomScaleNormal="90" workbookViewId="0">
      <selection activeCell="D30" sqref="D30"/>
    </sheetView>
  </sheetViews>
  <sheetFormatPr defaultColWidth="8.44140625" defaultRowHeight="15"/>
  <cols>
    <col min="1" max="1" width="6.6640625" style="40" customWidth="1"/>
    <col min="2" max="2" width="34.109375" style="40" customWidth="1"/>
    <col min="3" max="3" width="3.88671875" style="40" customWidth="1"/>
    <col min="4" max="4" width="13.109375" style="40" customWidth="1"/>
    <col min="5" max="5" width="4.33203125" style="40" customWidth="1"/>
    <col min="6" max="6" width="14.44140625" style="40" customWidth="1"/>
    <col min="7" max="7" width="3.88671875" style="40" customWidth="1"/>
    <col min="8" max="8" width="13.109375" style="40" customWidth="1"/>
    <col min="9" max="9" width="6.6640625" style="40" customWidth="1"/>
    <col min="10" max="10" width="7.5546875" style="40" customWidth="1"/>
    <col min="11" max="11" width="3.33203125" style="40" customWidth="1"/>
    <col min="12" max="12" width="11.88671875" style="40" customWidth="1"/>
    <col min="13" max="13" width="3.33203125" style="40" customWidth="1"/>
    <col min="14" max="14" width="14.44140625" style="40" customWidth="1"/>
    <col min="15" max="16384" width="8.44140625" style="40"/>
  </cols>
  <sheetData>
    <row r="1" spans="1:11" s="1" customFormat="1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</row>
    <row r="2" spans="1:11" s="1" customFormat="1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</row>
    <row r="3" spans="1:11" s="1" customFormat="1">
      <c r="A3" s="1190" t="s">
        <v>1175</v>
      </c>
      <c r="B3" s="1190"/>
      <c r="C3" s="1190"/>
      <c r="D3" s="1190"/>
      <c r="E3" s="1190"/>
      <c r="F3" s="1190"/>
      <c r="G3" s="1190"/>
      <c r="H3" s="1190"/>
    </row>
    <row r="4" spans="1:11">
      <c r="A4" s="1190" t="str">
        <f>'B.1 B'!A4</f>
        <v>as of December 31, 2017</v>
      </c>
      <c r="B4" s="1190"/>
      <c r="C4" s="1190"/>
      <c r="D4" s="1190"/>
      <c r="E4" s="1190"/>
      <c r="F4" s="1190"/>
      <c r="G4" s="1190"/>
      <c r="H4" s="1190"/>
    </row>
    <row r="7" spans="1:11">
      <c r="A7" s="181" t="str">
        <f>'B.1 B'!A6</f>
        <v>Data:__X___Base Period______Forecasted Period</v>
      </c>
      <c r="H7" s="509" t="s">
        <v>1447</v>
      </c>
    </row>
    <row r="8" spans="1:11">
      <c r="A8" s="181" t="str">
        <f>'B.1 B'!A7</f>
        <v>Type of Filing:___X____Original________Updated ________Revised</v>
      </c>
      <c r="B8" s="4"/>
      <c r="H8" s="677" t="s">
        <v>712</v>
      </c>
    </row>
    <row r="9" spans="1:11">
      <c r="A9" s="194" t="str">
        <f>'B.1 B'!A8</f>
        <v>Workpaper Reference No(s).</v>
      </c>
      <c r="B9" s="191"/>
      <c r="C9" s="191"/>
      <c r="D9" s="191"/>
      <c r="E9" s="191"/>
      <c r="F9" s="191"/>
      <c r="G9" s="191"/>
      <c r="H9" s="678" t="str">
        <f>'B.1 B'!F8</f>
        <v>Witness:   Waller</v>
      </c>
      <c r="I9" s="192"/>
    </row>
    <row r="10" spans="1:11">
      <c r="A10" s="189" t="s">
        <v>94</v>
      </c>
      <c r="D10" s="189" t="s">
        <v>493</v>
      </c>
      <c r="F10" s="189" t="s">
        <v>32</v>
      </c>
      <c r="H10" s="189" t="s">
        <v>98</v>
      </c>
      <c r="I10" s="192"/>
    </row>
    <row r="11" spans="1:11">
      <c r="A11" s="227" t="s">
        <v>100</v>
      </c>
      <c r="B11" s="227" t="s">
        <v>993</v>
      </c>
      <c r="C11" s="191"/>
      <c r="D11" s="227" t="s">
        <v>103</v>
      </c>
      <c r="E11" s="191"/>
      <c r="F11" s="227" t="s">
        <v>104</v>
      </c>
      <c r="G11" s="191"/>
      <c r="H11" s="227" t="s">
        <v>105</v>
      </c>
      <c r="I11" s="192"/>
    </row>
    <row r="12" spans="1:11">
      <c r="D12" s="189" t="s">
        <v>1101</v>
      </c>
      <c r="F12" s="189" t="s">
        <v>1102</v>
      </c>
      <c r="H12" s="189" t="s">
        <v>1103</v>
      </c>
      <c r="I12" s="192"/>
    </row>
    <row r="14" spans="1:11">
      <c r="A14" s="78">
        <v>1</v>
      </c>
      <c r="B14" s="181" t="s">
        <v>791</v>
      </c>
      <c r="D14" s="188"/>
      <c r="F14" s="299"/>
      <c r="H14" s="188"/>
      <c r="K14" s="188"/>
    </row>
    <row r="15" spans="1:11">
      <c r="A15" s="78"/>
      <c r="E15" s="188"/>
      <c r="F15" s="226"/>
      <c r="G15" s="188"/>
      <c r="H15" s="188"/>
      <c r="I15" s="188"/>
      <c r="K15" s="188"/>
    </row>
    <row r="16" spans="1:11">
      <c r="A16" s="78">
        <f>1+A14</f>
        <v>2</v>
      </c>
      <c r="B16" s="244" t="str">
        <f>+C.2!C18</f>
        <v>Production O&amp;M Expense</v>
      </c>
      <c r="D16" s="474">
        <f>+C.2!D18</f>
        <v>0</v>
      </c>
      <c r="F16" s="189" t="s">
        <v>1105</v>
      </c>
      <c r="H16" s="474">
        <f>(D16*0.125)</f>
        <v>0</v>
      </c>
      <c r="K16" s="188"/>
    </row>
    <row r="17" spans="1:11">
      <c r="A17" s="78"/>
      <c r="B17" s="245"/>
      <c r="K17" s="188"/>
    </row>
    <row r="18" spans="1:11">
      <c r="A18" s="78">
        <f>1+A16</f>
        <v>3</v>
      </c>
      <c r="B18" s="244" t="str">
        <f>+C.2!C19</f>
        <v>Storage O&amp;M Expense</v>
      </c>
      <c r="D18" s="188">
        <f>+C.2!D19</f>
        <v>402608.75718359562</v>
      </c>
      <c r="E18" s="188"/>
      <c r="F18" s="189" t="s">
        <v>1105</v>
      </c>
      <c r="G18" s="188"/>
      <c r="H18" s="188">
        <f>(D18*0.125)</f>
        <v>50326.094647949452</v>
      </c>
      <c r="I18" s="188"/>
      <c r="K18" s="188"/>
    </row>
    <row r="19" spans="1:11">
      <c r="A19" s="78"/>
      <c r="B19" s="245"/>
      <c r="E19" s="188"/>
      <c r="H19" s="188"/>
      <c r="I19" s="188"/>
      <c r="K19" s="188"/>
    </row>
    <row r="20" spans="1:11">
      <c r="A20" s="78">
        <f>1+A18</f>
        <v>4</v>
      </c>
      <c r="B20" s="244" t="str">
        <f>+C.2!C20</f>
        <v>Transmission O&amp;M Expense</v>
      </c>
      <c r="D20" s="188">
        <f>+C.2!D20</f>
        <v>267885.1416324373</v>
      </c>
      <c r="E20" s="188"/>
      <c r="F20" s="189" t="s">
        <v>1105</v>
      </c>
      <c r="G20" s="188"/>
      <c r="H20" s="188">
        <f>(D20*0.125)</f>
        <v>33485.642704054662</v>
      </c>
      <c r="K20" s="188"/>
    </row>
    <row r="21" spans="1:11">
      <c r="A21" s="78"/>
      <c r="B21" s="245"/>
      <c r="E21" s="188"/>
      <c r="F21" s="226"/>
      <c r="G21" s="188"/>
      <c r="H21" s="188"/>
      <c r="I21" s="188"/>
      <c r="K21" s="188"/>
    </row>
    <row r="22" spans="1:11">
      <c r="A22" s="78">
        <f>1+A20</f>
        <v>5</v>
      </c>
      <c r="B22" s="244" t="str">
        <f>+C.2!C21</f>
        <v>Distribution O&amp;M Expense</v>
      </c>
      <c r="D22" s="188">
        <f>+C.2!D21</f>
        <v>6643817.962154286</v>
      </c>
      <c r="E22" s="188"/>
      <c r="F22" s="189" t="s">
        <v>1105</v>
      </c>
      <c r="G22" s="188"/>
      <c r="H22" s="188">
        <f>(D22*0.125)</f>
        <v>830477.24526928575</v>
      </c>
      <c r="I22" s="188"/>
      <c r="K22" s="188"/>
    </row>
    <row r="23" spans="1:11">
      <c r="A23" s="78"/>
      <c r="B23" s="245"/>
      <c r="E23" s="188"/>
      <c r="F23" s="226"/>
      <c r="G23" s="188"/>
      <c r="H23" s="188"/>
      <c r="I23" s="188"/>
      <c r="K23" s="188"/>
    </row>
    <row r="24" spans="1:11">
      <c r="A24" s="78">
        <f>1+A22</f>
        <v>6</v>
      </c>
      <c r="B24" s="245" t="str">
        <f>+C.2!C22</f>
        <v>Customer Accting. &amp; Collection</v>
      </c>
      <c r="D24" s="40">
        <f>+C.2!D22</f>
        <v>3218090.9482542495</v>
      </c>
      <c r="E24" s="188"/>
      <c r="F24" s="189" t="s">
        <v>1105</v>
      </c>
      <c r="G24" s="188"/>
      <c r="H24" s="188">
        <f>(D24*0.125)</f>
        <v>402261.36853178119</v>
      </c>
      <c r="I24" s="188"/>
      <c r="K24" s="188"/>
    </row>
    <row r="25" spans="1:11">
      <c r="A25" s="78"/>
      <c r="B25" s="245"/>
      <c r="E25" s="188"/>
      <c r="F25" s="226"/>
      <c r="G25" s="188"/>
      <c r="H25" s="188"/>
      <c r="I25" s="188"/>
      <c r="K25" s="188"/>
    </row>
    <row r="26" spans="1:11">
      <c r="A26" s="78">
        <f>1+A24</f>
        <v>7</v>
      </c>
      <c r="B26" s="244" t="str">
        <f>+C.2!C23</f>
        <v>Customer Service &amp; Information</v>
      </c>
      <c r="D26" s="188">
        <f>+C.2!D23</f>
        <v>134412.29365729415</v>
      </c>
      <c r="E26" s="188"/>
      <c r="F26" s="189" t="s">
        <v>1105</v>
      </c>
      <c r="G26" s="188"/>
      <c r="H26" s="188">
        <f>(D26*0.125)</f>
        <v>16801.536707161769</v>
      </c>
      <c r="I26" s="188"/>
      <c r="K26" s="188"/>
    </row>
    <row r="27" spans="1:11">
      <c r="A27" s="78"/>
      <c r="B27" s="245"/>
      <c r="D27" s="188"/>
      <c r="E27" s="188"/>
      <c r="F27" s="226"/>
      <c r="G27" s="188"/>
      <c r="H27" s="188"/>
      <c r="I27" s="188"/>
      <c r="K27" s="188"/>
    </row>
    <row r="28" spans="1:11">
      <c r="A28" s="78">
        <f>1+A26</f>
        <v>8</v>
      </c>
      <c r="B28" s="244" t="str">
        <f>+C.2!C24</f>
        <v>Sales Expense</v>
      </c>
      <c r="D28" s="188">
        <f>+C.2!D24</f>
        <v>410952.66041130282</v>
      </c>
      <c r="E28" s="188"/>
      <c r="F28" s="189" t="s">
        <v>1105</v>
      </c>
      <c r="G28" s="188"/>
      <c r="H28" s="188">
        <f>(D28*0.125)</f>
        <v>51369.082551412852</v>
      </c>
      <c r="I28" s="188"/>
      <c r="K28" s="188"/>
    </row>
    <row r="29" spans="1:11">
      <c r="A29" s="78"/>
      <c r="B29" s="245"/>
      <c r="D29" s="188"/>
      <c r="E29" s="188"/>
      <c r="F29" s="226"/>
      <c r="G29" s="188"/>
      <c r="H29" s="188"/>
      <c r="I29" s="188"/>
      <c r="K29" s="188"/>
    </row>
    <row r="30" spans="1:11">
      <c r="A30" s="78">
        <f>1+A28</f>
        <v>9</v>
      </c>
      <c r="B30" s="244" t="str">
        <f>+C.2!C25</f>
        <v>Admin. &amp; General Expense</v>
      </c>
      <c r="D30" s="193">
        <f>+C.2!D25</f>
        <v>15884123.621101992</v>
      </c>
      <c r="E30" s="188"/>
      <c r="F30" s="189" t="s">
        <v>1105</v>
      </c>
      <c r="G30" s="188"/>
      <c r="H30" s="193">
        <f>(D30*0.125)</f>
        <v>1985515.452637749</v>
      </c>
      <c r="I30" s="188"/>
      <c r="K30" s="188"/>
    </row>
    <row r="31" spans="1:11">
      <c r="A31" s="78"/>
      <c r="D31" s="188"/>
      <c r="E31" s="188"/>
      <c r="F31" s="226"/>
      <c r="G31" s="188"/>
      <c r="H31" s="188"/>
      <c r="I31" s="188"/>
      <c r="K31" s="188"/>
    </row>
    <row r="32" spans="1:11" ht="15.75" thickBot="1">
      <c r="A32" s="78">
        <f>1+A30</f>
        <v>10</v>
      </c>
      <c r="B32" s="181" t="s">
        <v>135</v>
      </c>
      <c r="C32" s="196"/>
      <c r="D32" s="475">
        <f>SUM(D16:D30)</f>
        <v>26961891.384395156</v>
      </c>
      <c r="E32" s="188"/>
      <c r="G32" s="196"/>
      <c r="H32" s="475">
        <f>+D32*0.125</f>
        <v>3370236.4230493945</v>
      </c>
      <c r="I32" s="188"/>
      <c r="J32" s="40">
        <f>SUM(H16:H30)-H32</f>
        <v>0</v>
      </c>
      <c r="K32" s="188"/>
    </row>
    <row r="33" spans="2:11" ht="15.75" thickTop="1">
      <c r="E33" s="188"/>
      <c r="F33" s="226"/>
      <c r="G33" s="188"/>
      <c r="H33" s="188"/>
      <c r="I33" s="188"/>
      <c r="K33" s="188"/>
    </row>
    <row r="34" spans="2:11">
      <c r="E34" s="188"/>
      <c r="G34" s="188"/>
      <c r="H34" s="188"/>
      <c r="I34" s="188"/>
    </row>
    <row r="35" spans="2:11">
      <c r="B35" s="181"/>
      <c r="G35" s="188"/>
      <c r="H35" s="188"/>
      <c r="I35" s="188"/>
    </row>
    <row r="36" spans="2:11">
      <c r="B36" s="181"/>
      <c r="G36" s="188"/>
      <c r="H36" s="188"/>
      <c r="I36" s="188"/>
    </row>
    <row r="37" spans="2:11">
      <c r="B37" s="181"/>
      <c r="G37" s="188"/>
      <c r="H37" s="188"/>
      <c r="I37" s="188"/>
    </row>
    <row r="38" spans="2:11">
      <c r="G38" s="188"/>
      <c r="H38" s="188"/>
      <c r="I38" s="188"/>
    </row>
    <row r="39" spans="2:11">
      <c r="G39" s="188"/>
      <c r="H39" s="188"/>
      <c r="I39" s="188"/>
    </row>
    <row r="40" spans="2:11">
      <c r="G40" s="188"/>
      <c r="H40" s="188"/>
      <c r="I40" s="188"/>
    </row>
    <row r="41" spans="2:11">
      <c r="G41" s="188"/>
      <c r="H41" s="188"/>
      <c r="I41" s="188"/>
    </row>
  </sheetData>
  <mergeCells count="4">
    <mergeCell ref="A1:H1"/>
    <mergeCell ref="A2:H2"/>
    <mergeCell ref="A3:H3"/>
    <mergeCell ref="A4:H4"/>
  </mergeCells>
  <phoneticPr fontId="22" type="noConversion"/>
  <printOptions horizontalCentered="1"/>
  <pageMargins left="0.75" right="0.75" top="0.83" bottom="1.02" header="0.5" footer="0.5"/>
  <pageSetup scale="94" orientation="landscape" verticalDpi="300" r:id="rId1"/>
  <headerFooter alignWithMargins="0">
    <oddFooter>&amp;RSchedule &amp;A
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K46"/>
  <sheetViews>
    <sheetView view="pageBreakPreview" zoomScale="70" zoomScaleNormal="90" zoomScaleSheetLayoutView="70" workbookViewId="0">
      <selection activeCell="D24" sqref="D24"/>
    </sheetView>
  </sheetViews>
  <sheetFormatPr defaultColWidth="8.44140625" defaultRowHeight="15"/>
  <cols>
    <col min="1" max="1" width="6.6640625" style="1" customWidth="1"/>
    <col min="2" max="2" width="34.109375" style="1" customWidth="1"/>
    <col min="3" max="3" width="4.44140625" style="1" customWidth="1"/>
    <col min="4" max="4" width="12.6640625" style="1" customWidth="1"/>
    <col min="5" max="5" width="4.6640625" style="1" customWidth="1"/>
    <col min="6" max="6" width="13.5546875" style="1" customWidth="1"/>
    <col min="7" max="7" width="3.21875" style="1" customWidth="1"/>
    <col min="8" max="8" width="14.44140625" style="1" customWidth="1"/>
    <col min="9" max="9" width="6.6640625" style="1" customWidth="1"/>
    <col min="10" max="10" width="7.5546875" style="1" customWidth="1"/>
    <col min="11" max="11" width="3.33203125" style="1" customWidth="1"/>
    <col min="12" max="12" width="11.88671875" style="1" customWidth="1"/>
    <col min="13" max="13" width="3.33203125" style="1" customWidth="1"/>
    <col min="14" max="14" width="14.44140625" style="1" customWidth="1"/>
    <col min="15" max="16384" width="8.44140625" style="1"/>
  </cols>
  <sheetData>
    <row r="1" spans="1:11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</row>
    <row r="2" spans="1:11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</row>
    <row r="3" spans="1:11">
      <c r="A3" s="1190" t="s">
        <v>1175</v>
      </c>
      <c r="B3" s="1190"/>
      <c r="C3" s="1190"/>
      <c r="D3" s="1190"/>
      <c r="E3" s="1190"/>
      <c r="F3" s="1190"/>
      <c r="G3" s="1190"/>
      <c r="H3" s="1190"/>
    </row>
    <row r="4" spans="1:11">
      <c r="A4" s="1190" t="str">
        <f>'B.1 F '!A4</f>
        <v>as of March 31, 2019</v>
      </c>
      <c r="B4" s="1190"/>
      <c r="C4" s="1190"/>
      <c r="D4" s="1190"/>
      <c r="E4" s="1190"/>
      <c r="F4" s="1190"/>
      <c r="G4" s="1190"/>
      <c r="H4" s="1190"/>
    </row>
    <row r="5" spans="1:11">
      <c r="A5" s="169"/>
      <c r="B5" s="169"/>
      <c r="C5" s="169"/>
      <c r="D5" s="169"/>
      <c r="E5" s="169"/>
      <c r="F5" s="169"/>
      <c r="G5" s="169"/>
      <c r="H5" s="169"/>
    </row>
    <row r="7" spans="1:11">
      <c r="A7" s="4" t="str">
        <f>'B.1 F '!A6</f>
        <v>Data:______Base Period__X___Forecasted Period</v>
      </c>
      <c r="H7" s="375" t="s">
        <v>1447</v>
      </c>
    </row>
    <row r="8" spans="1:11">
      <c r="A8" s="4" t="str">
        <f>'B.1 F '!A7</f>
        <v>Type of Filing:___X____Original________Updated ________Revised</v>
      </c>
      <c r="B8" s="4"/>
      <c r="H8" s="487" t="s">
        <v>713</v>
      </c>
    </row>
    <row r="9" spans="1:11">
      <c r="A9" s="51" t="str">
        <f>'B.1 F '!A8</f>
        <v>Workpaper Reference No(s).</v>
      </c>
      <c r="B9" s="6"/>
      <c r="C9" s="6"/>
      <c r="D9" s="6"/>
      <c r="E9" s="6"/>
      <c r="F9" s="6"/>
      <c r="G9" s="6"/>
      <c r="H9" s="488" t="str">
        <f>'B.1 F '!F8</f>
        <v>Witness:   Waller</v>
      </c>
      <c r="I9" s="35"/>
    </row>
    <row r="10" spans="1:11">
      <c r="A10" s="2" t="s">
        <v>94</v>
      </c>
      <c r="D10" s="2" t="s">
        <v>493</v>
      </c>
      <c r="F10" s="2" t="s">
        <v>32</v>
      </c>
      <c r="H10" s="2" t="s">
        <v>98</v>
      </c>
      <c r="I10" s="35"/>
    </row>
    <row r="11" spans="1:11">
      <c r="A11" s="32" t="s">
        <v>100</v>
      </c>
      <c r="B11" s="32" t="s">
        <v>993</v>
      </c>
      <c r="C11" s="33"/>
      <c r="D11" s="32" t="s">
        <v>103</v>
      </c>
      <c r="E11" s="33"/>
      <c r="F11" s="32" t="s">
        <v>104</v>
      </c>
      <c r="G11" s="33"/>
      <c r="H11" s="32" t="s">
        <v>105</v>
      </c>
      <c r="I11" s="35"/>
    </row>
    <row r="12" spans="1:11">
      <c r="A12" s="34"/>
      <c r="B12" s="34"/>
      <c r="C12" s="35"/>
      <c r="D12" s="34" t="s">
        <v>1101</v>
      </c>
      <c r="E12" s="35"/>
      <c r="F12" s="34" t="s">
        <v>1102</v>
      </c>
      <c r="G12" s="35"/>
      <c r="H12" s="34" t="s">
        <v>1103</v>
      </c>
      <c r="I12" s="35"/>
    </row>
    <row r="13" spans="1:11">
      <c r="I13" s="35"/>
    </row>
    <row r="14" spans="1:11">
      <c r="A14" s="54">
        <v>1</v>
      </c>
      <c r="B14" s="4" t="s">
        <v>791</v>
      </c>
      <c r="D14" s="10"/>
      <c r="H14" s="10"/>
      <c r="I14" s="35"/>
      <c r="K14" s="10"/>
    </row>
    <row r="15" spans="1:11">
      <c r="A15" s="54"/>
      <c r="E15" s="10"/>
      <c r="F15" s="11"/>
      <c r="G15" s="10"/>
      <c r="H15" s="10"/>
      <c r="I15" s="42"/>
      <c r="K15" s="10"/>
    </row>
    <row r="16" spans="1:11">
      <c r="A16" s="54">
        <f>1+A14</f>
        <v>2</v>
      </c>
      <c r="B16" s="165" t="str">
        <f>+C.2!C18</f>
        <v>Production O&amp;M Expense</v>
      </c>
      <c r="D16" s="467">
        <f>+C.2!O18</f>
        <v>0</v>
      </c>
      <c r="F16" s="2" t="s">
        <v>1105</v>
      </c>
      <c r="H16" s="467">
        <f>(D16*0.125)</f>
        <v>0</v>
      </c>
    </row>
    <row r="17" spans="1:11">
      <c r="A17" s="54"/>
      <c r="B17" s="156"/>
    </row>
    <row r="18" spans="1:11">
      <c r="A18" s="54">
        <f>1+A16</f>
        <v>3</v>
      </c>
      <c r="B18" s="165" t="str">
        <f>+C.2!C19</f>
        <v>Storage O&amp;M Expense</v>
      </c>
      <c r="D18" s="10">
        <f>+C.2!O19</f>
        <v>404981.32563764579</v>
      </c>
      <c r="E18" s="10"/>
      <c r="F18" s="2" t="s">
        <v>1105</v>
      </c>
      <c r="G18" s="10"/>
      <c r="H18" s="10">
        <f>(D18*0.125)</f>
        <v>50622.665704705723</v>
      </c>
      <c r="I18" s="10"/>
      <c r="K18" s="10"/>
    </row>
    <row r="19" spans="1:11">
      <c r="A19" s="54"/>
      <c r="B19" s="156"/>
      <c r="E19" s="10"/>
      <c r="H19" s="10"/>
      <c r="I19" s="10"/>
      <c r="K19" s="10"/>
    </row>
    <row r="20" spans="1:11">
      <c r="A20" s="54">
        <f>1+A18</f>
        <v>4</v>
      </c>
      <c r="B20" s="165" t="str">
        <f>+C.2!C20</f>
        <v>Transmission O&amp;M Expense</v>
      </c>
      <c r="D20" s="10">
        <f>+C.2!O20</f>
        <v>270672.87141031638</v>
      </c>
      <c r="E20" s="10"/>
      <c r="F20" s="2" t="s">
        <v>1105</v>
      </c>
      <c r="G20" s="10"/>
      <c r="H20" s="10">
        <f>(D20*0.125)</f>
        <v>33834.108926289548</v>
      </c>
      <c r="K20" s="10"/>
    </row>
    <row r="21" spans="1:11">
      <c r="A21" s="54"/>
      <c r="B21" s="156"/>
      <c r="E21" s="10"/>
      <c r="F21" s="11"/>
      <c r="G21" s="10"/>
      <c r="H21" s="10"/>
      <c r="I21" s="10"/>
      <c r="K21" s="10"/>
    </row>
    <row r="22" spans="1:11">
      <c r="A22" s="54">
        <f>1+A20</f>
        <v>5</v>
      </c>
      <c r="B22" s="165" t="str">
        <f>+C.2!C21</f>
        <v>Distribution O&amp;M Expense</v>
      </c>
      <c r="D22" s="10">
        <f>+C.2!O21</f>
        <v>6775543.622274477</v>
      </c>
      <c r="E22" s="10"/>
      <c r="F22" s="2" t="s">
        <v>1105</v>
      </c>
      <c r="G22" s="10"/>
      <c r="H22" s="10">
        <f>(D22*0.125)</f>
        <v>846942.95278430963</v>
      </c>
      <c r="I22" s="10"/>
      <c r="K22" s="10"/>
    </row>
    <row r="23" spans="1:11">
      <c r="A23" s="54"/>
      <c r="B23" s="156"/>
      <c r="E23" s="10"/>
      <c r="F23" s="11"/>
      <c r="G23" s="10"/>
      <c r="H23" s="10"/>
      <c r="I23" s="10"/>
      <c r="K23" s="10"/>
    </row>
    <row r="24" spans="1:11">
      <c r="A24" s="54">
        <f>1+A22</f>
        <v>6</v>
      </c>
      <c r="B24" s="156" t="str">
        <f>+C.2!C22</f>
        <v>Customer Accting. &amp; Collection</v>
      </c>
      <c r="D24" s="1">
        <f>+C.2!O22</f>
        <v>3376765.8344309572</v>
      </c>
      <c r="E24" s="10"/>
      <c r="F24" s="2" t="s">
        <v>1105</v>
      </c>
      <c r="G24" s="10"/>
      <c r="H24" s="10">
        <f>(D24*0.125)</f>
        <v>422095.72930386965</v>
      </c>
      <c r="I24" s="10"/>
      <c r="K24" s="10"/>
    </row>
    <row r="25" spans="1:11">
      <c r="A25" s="54"/>
      <c r="B25" s="156"/>
      <c r="E25" s="10"/>
      <c r="F25" s="11"/>
      <c r="G25" s="10"/>
      <c r="H25" s="10"/>
      <c r="I25" s="10"/>
      <c r="K25" s="10"/>
    </row>
    <row r="26" spans="1:11">
      <c r="A26" s="54">
        <f>1+A24</f>
        <v>7</v>
      </c>
      <c r="B26" s="165" t="str">
        <f>+C.2!C23</f>
        <v>Customer Service &amp; Information</v>
      </c>
      <c r="D26" s="10">
        <f>+C.2!O23</f>
        <v>133613.60616766004</v>
      </c>
      <c r="E26" s="10"/>
      <c r="F26" s="2" t="s">
        <v>1105</v>
      </c>
      <c r="G26" s="10"/>
      <c r="H26" s="10">
        <f>(D26*0.125)</f>
        <v>16701.700770957505</v>
      </c>
      <c r="I26" s="10"/>
      <c r="K26" s="10"/>
    </row>
    <row r="27" spans="1:11">
      <c r="A27" s="54"/>
      <c r="B27" s="156"/>
      <c r="D27" s="10"/>
      <c r="E27" s="10"/>
      <c r="F27" s="11"/>
      <c r="G27" s="10"/>
      <c r="H27" s="10"/>
      <c r="I27" s="10"/>
      <c r="K27" s="10"/>
    </row>
    <row r="28" spans="1:11">
      <c r="A28" s="54">
        <f>1+A26</f>
        <v>8</v>
      </c>
      <c r="B28" s="165" t="str">
        <f>+C.2!C24</f>
        <v>Sales Expense</v>
      </c>
      <c r="D28" s="10">
        <f>+C.2!O24</f>
        <v>357069.2413660849</v>
      </c>
      <c r="E28" s="10"/>
      <c r="F28" s="2" t="s">
        <v>1105</v>
      </c>
      <c r="G28" s="10"/>
      <c r="H28" s="10">
        <f>(D28*0.125)</f>
        <v>44633.655170760612</v>
      </c>
      <c r="I28" s="10"/>
      <c r="K28" s="10"/>
    </row>
    <row r="29" spans="1:11">
      <c r="A29" s="54"/>
      <c r="B29" s="156"/>
      <c r="D29" s="10"/>
      <c r="E29" s="10"/>
      <c r="F29" s="11"/>
      <c r="G29" s="10"/>
      <c r="H29" s="10"/>
      <c r="I29" s="10"/>
      <c r="K29" s="10"/>
    </row>
    <row r="30" spans="1:11">
      <c r="A30" s="54">
        <f>1+A28</f>
        <v>9</v>
      </c>
      <c r="B30" s="165" t="str">
        <f>+C.2!C25</f>
        <v>Admin. &amp; General Expense</v>
      </c>
      <c r="D30" s="17">
        <f>+C.2!O25</f>
        <v>14845382.728005392</v>
      </c>
      <c r="E30" s="10"/>
      <c r="F30" s="2" t="s">
        <v>1105</v>
      </c>
      <c r="G30" s="10"/>
      <c r="H30" s="17">
        <f>(D30*0.125)</f>
        <v>1855672.8410006741</v>
      </c>
      <c r="I30" s="10"/>
      <c r="K30" s="10"/>
    </row>
    <row r="31" spans="1:11">
      <c r="A31" s="54"/>
      <c r="D31" s="10"/>
      <c r="E31" s="10"/>
      <c r="F31" s="11"/>
      <c r="G31" s="10"/>
      <c r="H31" s="10"/>
      <c r="I31" s="10"/>
      <c r="K31" s="10"/>
    </row>
    <row r="32" spans="1:11" ht="15.75" thickBot="1">
      <c r="A32" s="54">
        <f>1+A30</f>
        <v>10</v>
      </c>
      <c r="B32" s="4" t="s">
        <v>135</v>
      </c>
      <c r="C32" s="81"/>
      <c r="D32" s="307">
        <f>SUM(D16:D30)</f>
        <v>26164029.229292534</v>
      </c>
      <c r="E32" s="10"/>
      <c r="G32" s="81"/>
      <c r="H32" s="307">
        <f>+D32*0.125</f>
        <v>3270503.6536615668</v>
      </c>
      <c r="I32" s="10"/>
      <c r="K32" s="10"/>
    </row>
    <row r="33" spans="1:11" ht="15.75" thickTop="1">
      <c r="E33" s="10"/>
      <c r="F33" s="11"/>
      <c r="G33" s="10"/>
      <c r="H33" s="10"/>
      <c r="I33" s="10"/>
      <c r="K33" s="10"/>
    </row>
    <row r="34" spans="1:11">
      <c r="E34" s="10"/>
      <c r="G34" s="10"/>
      <c r="H34" s="73"/>
      <c r="I34" s="10"/>
      <c r="K34" s="10"/>
    </row>
    <row r="35" spans="1:11">
      <c r="E35" s="10"/>
      <c r="F35" s="11"/>
      <c r="G35" s="10"/>
      <c r="H35" s="10"/>
      <c r="I35" s="10"/>
      <c r="K35" s="10"/>
    </row>
    <row r="36" spans="1:11">
      <c r="E36" s="10"/>
      <c r="G36" s="10"/>
      <c r="H36" s="10"/>
      <c r="I36" s="10"/>
    </row>
    <row r="37" spans="1:11">
      <c r="E37" s="10"/>
      <c r="G37" s="10"/>
      <c r="H37" s="10"/>
      <c r="I37" s="10"/>
      <c r="K37" s="10"/>
    </row>
    <row r="38" spans="1:11">
      <c r="E38" s="10"/>
      <c r="G38" s="10"/>
      <c r="H38" s="40"/>
      <c r="I38" s="10"/>
    </row>
    <row r="39" spans="1:11">
      <c r="A39" s="4"/>
      <c r="B39" s="4"/>
      <c r="G39" s="10"/>
      <c r="H39" s="10"/>
      <c r="I39" s="10"/>
    </row>
    <row r="40" spans="1:11">
      <c r="B40" s="4"/>
      <c r="G40" s="10"/>
      <c r="H40" s="10"/>
      <c r="I40" s="10"/>
    </row>
    <row r="41" spans="1:11">
      <c r="B41" s="4"/>
      <c r="G41" s="10"/>
      <c r="H41" s="10"/>
      <c r="I41" s="10"/>
    </row>
    <row r="42" spans="1:11">
      <c r="B42" s="4"/>
      <c r="G42" s="10"/>
      <c r="H42" s="10"/>
      <c r="I42" s="10"/>
    </row>
    <row r="43" spans="1:11">
      <c r="G43" s="10"/>
      <c r="H43" s="10"/>
      <c r="I43" s="10"/>
    </row>
    <row r="44" spans="1:11">
      <c r="G44" s="10"/>
      <c r="H44" s="10"/>
      <c r="I44" s="10"/>
    </row>
    <row r="45" spans="1:11">
      <c r="G45" s="10"/>
      <c r="H45" s="10"/>
      <c r="I45" s="10"/>
    </row>
    <row r="46" spans="1:11">
      <c r="G46" s="10"/>
      <c r="H46" s="10"/>
      <c r="I46" s="10"/>
    </row>
  </sheetData>
  <mergeCells count="4">
    <mergeCell ref="A1:H1"/>
    <mergeCell ref="A2:H2"/>
    <mergeCell ref="A3:H3"/>
    <mergeCell ref="A4:H4"/>
  </mergeCells>
  <phoneticPr fontId="22" type="noConversion"/>
  <printOptions horizontalCentered="1"/>
  <pageMargins left="0.75" right="0.75" top="0.86" bottom="1.18" header="0.5" footer="0.45"/>
  <pageSetup scale="94" orientation="landscape" verticalDpi="300" r:id="rId1"/>
  <headerFooter alignWithMargins="0">
    <oddFooter>&amp;RSchedule &amp;A
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Q70"/>
  <sheetViews>
    <sheetView view="pageBreakPreview" zoomScale="70" zoomScaleNormal="70" zoomScaleSheetLayoutView="70" workbookViewId="0">
      <pane ySplit="11" topLeftCell="A12" activePane="bottomLeft" state="frozen"/>
      <selection activeCell="B6" sqref="B6"/>
      <selection pane="bottomLeft" activeCell="G49" sqref="G49"/>
    </sheetView>
  </sheetViews>
  <sheetFormatPr defaultColWidth="8.44140625" defaultRowHeight="15"/>
  <cols>
    <col min="1" max="1" width="5.77734375" style="1" customWidth="1"/>
    <col min="2" max="2" width="4.21875" style="1" customWidth="1"/>
    <col min="3" max="3" width="49.33203125" style="1" customWidth="1"/>
    <col min="4" max="4" width="13.109375" style="1" customWidth="1"/>
    <col min="5" max="5" width="11.77734375" style="54" bestFit="1" customWidth="1"/>
    <col min="6" max="6" width="11.77734375" style="54" customWidth="1"/>
    <col min="7" max="7" width="14" style="1" customWidth="1"/>
    <col min="8" max="8" width="4.33203125" style="74" customWidth="1"/>
    <col min="9" max="9" width="13.109375" style="1" customWidth="1"/>
    <col min="10" max="11" width="11.88671875" style="54" customWidth="1"/>
    <col min="12" max="12" width="16" style="1" customWidth="1"/>
    <col min="13" max="16384" width="8.44140625" style="1"/>
  </cols>
  <sheetData>
    <row r="1" spans="1:12">
      <c r="A1" s="1180" t="str">
        <f>Allocation!A1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</row>
    <row r="2" spans="1:12">
      <c r="A2" s="1180" t="str">
        <f>Allocation!A2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</row>
    <row r="3" spans="1:12">
      <c r="A3" s="1180" t="s">
        <v>515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</row>
    <row r="4" spans="1:12">
      <c r="A4" s="1180" t="str">
        <f>'B.1 B'!A4</f>
        <v>as of December 31, 2017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</row>
    <row r="5" spans="1:12">
      <c r="A5" s="31"/>
      <c r="B5" s="30"/>
      <c r="C5" s="30"/>
      <c r="D5" s="30"/>
      <c r="G5" s="30"/>
      <c r="H5" s="370"/>
      <c r="I5" s="30"/>
    </row>
    <row r="6" spans="1:12" ht="15.75">
      <c r="A6" s="48" t="s">
        <v>795</v>
      </c>
      <c r="B6" s="48"/>
      <c r="C6" s="35"/>
      <c r="D6" s="592"/>
      <c r="L6" s="1" t="s">
        <v>1448</v>
      </c>
    </row>
    <row r="7" spans="1:12">
      <c r="A7" s="48" t="s">
        <v>1131</v>
      </c>
      <c r="B7" s="35"/>
      <c r="C7" s="48"/>
      <c r="L7" s="1" t="s">
        <v>714</v>
      </c>
    </row>
    <row r="8" spans="1:12">
      <c r="A8" s="48" t="s">
        <v>431</v>
      </c>
      <c r="B8" s="35"/>
      <c r="C8" s="35"/>
      <c r="D8" s="35"/>
      <c r="E8" s="222"/>
      <c r="F8" s="222"/>
      <c r="G8" s="35"/>
      <c r="I8" s="35"/>
      <c r="J8" s="222"/>
      <c r="K8" s="222"/>
      <c r="L8" s="35" t="str">
        <f>'B.1 B'!F8</f>
        <v>Witness:   Waller</v>
      </c>
    </row>
    <row r="9" spans="1:12">
      <c r="A9" s="247"/>
      <c r="B9" s="59"/>
      <c r="C9" s="59"/>
      <c r="D9" s="480"/>
      <c r="E9" s="337" t="s">
        <v>13</v>
      </c>
      <c r="F9" s="338" t="s">
        <v>11</v>
      </c>
      <c r="G9" s="481" t="s">
        <v>98</v>
      </c>
      <c r="H9" s="75"/>
      <c r="I9" s="483"/>
      <c r="J9" s="337" t="s">
        <v>13</v>
      </c>
      <c r="K9" s="338" t="s">
        <v>11</v>
      </c>
      <c r="L9" s="388"/>
    </row>
    <row r="10" spans="1:12">
      <c r="A10" s="333" t="s">
        <v>94</v>
      </c>
      <c r="B10" s="34"/>
      <c r="C10" s="35"/>
      <c r="D10" s="334"/>
      <c r="E10" s="34" t="s">
        <v>14</v>
      </c>
      <c r="F10" s="75" t="s">
        <v>600</v>
      </c>
      <c r="G10" s="330" t="s">
        <v>1176</v>
      </c>
      <c r="H10" s="75"/>
      <c r="I10" s="333" t="s">
        <v>93</v>
      </c>
      <c r="J10" s="34" t="s">
        <v>14</v>
      </c>
      <c r="K10" s="75" t="s">
        <v>600</v>
      </c>
      <c r="L10" s="484" t="s">
        <v>12</v>
      </c>
    </row>
    <row r="11" spans="1:12">
      <c r="A11" s="331" t="s">
        <v>100</v>
      </c>
      <c r="B11" s="32"/>
      <c r="C11" s="56" t="s">
        <v>342</v>
      </c>
      <c r="D11" s="482" t="s">
        <v>1065</v>
      </c>
      <c r="E11" s="186" t="s">
        <v>633</v>
      </c>
      <c r="F11" s="186" t="s">
        <v>633</v>
      </c>
      <c r="G11" s="332" t="s">
        <v>106</v>
      </c>
      <c r="H11" s="75"/>
      <c r="I11" s="331" t="s">
        <v>99</v>
      </c>
      <c r="J11" s="186" t="s">
        <v>633</v>
      </c>
      <c r="K11" s="186" t="s">
        <v>633</v>
      </c>
      <c r="L11" s="485" t="s">
        <v>105</v>
      </c>
    </row>
    <row r="12" spans="1:12" ht="15.75">
      <c r="B12" s="12" t="s">
        <v>214</v>
      </c>
      <c r="G12" s="81"/>
    </row>
    <row r="13" spans="1:12">
      <c r="A13" s="2">
        <v>1</v>
      </c>
      <c r="C13" s="16" t="s">
        <v>780</v>
      </c>
      <c r="D13" s="305">
        <f>'WP B.5 B'!P13</f>
        <v>58597635.010000005</v>
      </c>
      <c r="E13" s="476">
        <v>1</v>
      </c>
      <c r="F13" s="476">
        <v>1</v>
      </c>
      <c r="G13" s="305">
        <f>D13*E13*F13</f>
        <v>58597635.010000005</v>
      </c>
      <c r="H13" s="77"/>
      <c r="I13" s="305">
        <f>'WP B.5 B'!Q13</f>
        <v>7105301.6038461532</v>
      </c>
      <c r="J13" s="476">
        <v>1</v>
      </c>
      <c r="K13" s="476">
        <v>1</v>
      </c>
      <c r="L13" s="305">
        <f>I13*J13*K13</f>
        <v>7105301.6038461532</v>
      </c>
    </row>
    <row r="14" spans="1:12" ht="14.25" customHeight="1">
      <c r="A14" s="2">
        <v>2</v>
      </c>
      <c r="B14" s="373"/>
      <c r="C14" s="4"/>
      <c r="D14" s="77"/>
      <c r="E14" s="476"/>
      <c r="F14" s="476"/>
      <c r="G14" s="77"/>
      <c r="H14" s="77"/>
      <c r="I14" s="77"/>
      <c r="J14" s="478"/>
      <c r="K14" s="478"/>
      <c r="L14" s="77"/>
    </row>
    <row r="15" spans="1:12">
      <c r="A15" s="2">
        <v>3</v>
      </c>
      <c r="C15" s="16" t="s">
        <v>680</v>
      </c>
      <c r="D15" s="73">
        <f>'WP B.5 B'!P15</f>
        <v>-111956139.82000001</v>
      </c>
      <c r="E15" s="476">
        <f>$E$13</f>
        <v>1</v>
      </c>
      <c r="F15" s="476">
        <f>$E$13</f>
        <v>1</v>
      </c>
      <c r="G15" s="73">
        <f>D15*E15*F15</f>
        <v>-111956139.82000001</v>
      </c>
      <c r="H15" s="77"/>
      <c r="I15" s="73">
        <f>'WP B.5 B'!Q15</f>
        <v>-102711745.5123077</v>
      </c>
      <c r="J15" s="476">
        <f>$E$13</f>
        <v>1</v>
      </c>
      <c r="K15" s="476">
        <f>$E$13</f>
        <v>1</v>
      </c>
      <c r="L15" s="73">
        <f>I15*J15*K15</f>
        <v>-102711745.5123077</v>
      </c>
    </row>
    <row r="16" spans="1:12" ht="14.25" customHeight="1">
      <c r="A16" s="2">
        <v>4</v>
      </c>
      <c r="B16" s="373"/>
      <c r="C16" s="4"/>
      <c r="D16" s="77"/>
      <c r="E16" s="476"/>
      <c r="F16" s="476"/>
      <c r="G16" s="77"/>
      <c r="H16" s="77"/>
      <c r="I16" s="77"/>
      <c r="J16" s="478"/>
      <c r="K16" s="478"/>
      <c r="L16" s="77"/>
    </row>
    <row r="17" spans="1:17">
      <c r="A17" s="2">
        <v>5</v>
      </c>
      <c r="C17" s="16" t="s">
        <v>681</v>
      </c>
      <c r="D17" s="73">
        <f>'WP B.5 B'!P17</f>
        <v>-4189005.2</v>
      </c>
      <c r="E17" s="476">
        <f>$E$13</f>
        <v>1</v>
      </c>
      <c r="F17" s="476">
        <f>$E$13</f>
        <v>1</v>
      </c>
      <c r="G17" s="73">
        <f>D17*E17*F17</f>
        <v>-4189005.2</v>
      </c>
      <c r="H17" s="77"/>
      <c r="I17" s="73">
        <f>'WP B.5 B'!Q17</f>
        <v>-1864672.8153846152</v>
      </c>
      <c r="J17" s="476">
        <f>$E$13</f>
        <v>1</v>
      </c>
      <c r="K17" s="476">
        <f>$E$13</f>
        <v>1</v>
      </c>
      <c r="L17" s="73">
        <f>I17*J17*K17</f>
        <v>-1864672.8153846152</v>
      </c>
    </row>
    <row r="18" spans="1:17" ht="14.25" customHeight="1">
      <c r="A18" s="2">
        <v>6</v>
      </c>
      <c r="B18" s="373"/>
      <c r="C18" s="4"/>
      <c r="D18" s="77"/>
      <c r="E18" s="21"/>
      <c r="F18" s="21"/>
      <c r="G18" s="77"/>
      <c r="H18" s="77"/>
      <c r="I18" s="77"/>
      <c r="J18" s="76"/>
      <c r="K18" s="76"/>
      <c r="L18" s="77"/>
    </row>
    <row r="19" spans="1:17">
      <c r="A19" s="2">
        <v>7</v>
      </c>
      <c r="C19" s="22" t="s">
        <v>31</v>
      </c>
      <c r="D19" s="574">
        <f>SUM(D13:D17)</f>
        <v>-57547510.010000005</v>
      </c>
      <c r="E19" s="21"/>
      <c r="F19" s="21"/>
      <c r="G19" s="574">
        <f>SUM(G13:G17)</f>
        <v>-57547510.010000005</v>
      </c>
      <c r="I19" s="574">
        <f>SUM(I13:I17)</f>
        <v>-97471116.723846167</v>
      </c>
      <c r="J19" s="222"/>
      <c r="K19" s="222"/>
      <c r="L19" s="574">
        <f>SUM(L13:L17)</f>
        <v>-97471116.723846167</v>
      </c>
    </row>
    <row r="20" spans="1:17" ht="14.25" customHeight="1">
      <c r="A20" s="2">
        <v>8</v>
      </c>
      <c r="B20" s="373"/>
      <c r="C20" s="4"/>
      <c r="D20" s="77"/>
      <c r="E20" s="21"/>
      <c r="F20" s="21"/>
      <c r="G20" s="77"/>
      <c r="H20" s="77"/>
      <c r="I20" s="77"/>
      <c r="J20" s="76"/>
      <c r="K20" s="76"/>
      <c r="L20" s="77"/>
    </row>
    <row r="21" spans="1:17" ht="15.75">
      <c r="A21" s="2">
        <v>9</v>
      </c>
      <c r="B21" s="12" t="s">
        <v>215</v>
      </c>
    </row>
    <row r="22" spans="1:17">
      <c r="A22" s="2">
        <v>10</v>
      </c>
      <c r="C22" s="16" t="s">
        <v>679</v>
      </c>
      <c r="D22" s="305">
        <f>'WP B.5 B'!P22</f>
        <v>515666099.09999996</v>
      </c>
      <c r="E22" s="397">
        <f>Allocation!G14</f>
        <v>0.10349999999999999</v>
      </c>
      <c r="F22" s="397">
        <f>Allocation!H14</f>
        <v>0.5025136071712456</v>
      </c>
      <c r="G22" s="305">
        <f>D22*E22*F22</f>
        <v>26819875.465907931</v>
      </c>
      <c r="H22" s="77"/>
      <c r="I22" s="305">
        <f>'WP B.5 B'!Q22</f>
        <v>809489773.18380523</v>
      </c>
      <c r="J22" s="421">
        <f>E22</f>
        <v>0.10349999999999999</v>
      </c>
      <c r="K22" s="421">
        <f>F22</f>
        <v>0.5025136071712456</v>
      </c>
      <c r="L22" s="305">
        <f>I22*J22*K22</f>
        <v>42101691.279700637</v>
      </c>
      <c r="P22" s="820">
        <f>E22*F22</f>
        <v>5.2010158342223917E-2</v>
      </c>
      <c r="Q22" s="820">
        <f>J22*K22</f>
        <v>5.2010158342223917E-2</v>
      </c>
    </row>
    <row r="23" spans="1:17" ht="14.25" customHeight="1">
      <c r="A23" s="2">
        <v>11</v>
      </c>
      <c r="B23" s="373"/>
      <c r="C23" s="4"/>
      <c r="D23" s="77"/>
      <c r="E23" s="21"/>
      <c r="F23" s="21"/>
      <c r="G23" s="77"/>
      <c r="H23" s="77"/>
      <c r="I23" s="77"/>
      <c r="J23" s="76"/>
      <c r="K23" s="76"/>
      <c r="L23" s="77"/>
      <c r="P23" s="820"/>
      <c r="Q23" s="821"/>
    </row>
    <row r="24" spans="1:17">
      <c r="A24" s="2">
        <v>12</v>
      </c>
      <c r="C24" s="16" t="s">
        <v>680</v>
      </c>
      <c r="D24" s="73">
        <f>'WP B.5 B'!P24</f>
        <v>-6689770.5099999998</v>
      </c>
      <c r="E24" s="397">
        <f>$E$22</f>
        <v>0.10349999999999999</v>
      </c>
      <c r="F24" s="397">
        <f>$F$22</f>
        <v>0.5025136071712456</v>
      </c>
      <c r="G24" s="73">
        <f>D24*E24*F24</f>
        <v>-347936.02349824004</v>
      </c>
      <c r="H24" s="77"/>
      <c r="I24" s="73">
        <f>'WP B.5 B'!Q24</f>
        <v>-26335933.98538461</v>
      </c>
      <c r="J24" s="421">
        <f>E24</f>
        <v>0.10349999999999999</v>
      </c>
      <c r="K24" s="421">
        <f>F24</f>
        <v>0.5025136071712456</v>
      </c>
      <c r="L24" s="73">
        <f>I24*J24*K24</f>
        <v>-1369736.0966702097</v>
      </c>
      <c r="P24" s="820">
        <f>E24*F24</f>
        <v>5.2010158342223917E-2</v>
      </c>
      <c r="Q24" s="820">
        <f>J24*K24</f>
        <v>5.2010158342223917E-2</v>
      </c>
    </row>
    <row r="25" spans="1:17" ht="14.25" customHeight="1">
      <c r="A25" s="2">
        <v>13</v>
      </c>
      <c r="B25" s="373"/>
      <c r="C25" s="4"/>
      <c r="D25" s="77"/>
      <c r="E25" s="21"/>
      <c r="F25" s="21"/>
      <c r="G25" s="77"/>
      <c r="H25" s="77"/>
      <c r="I25" s="77"/>
      <c r="J25" s="76"/>
      <c r="K25" s="76"/>
      <c r="L25" s="77"/>
      <c r="P25" s="820"/>
      <c r="Q25" s="821"/>
    </row>
    <row r="26" spans="1:17">
      <c r="A26" s="2">
        <v>14</v>
      </c>
      <c r="C26" s="16" t="s">
        <v>681</v>
      </c>
      <c r="D26" s="73">
        <f>'WP B.5 B'!P26</f>
        <v>23059258.109999999</v>
      </c>
      <c r="E26" s="397">
        <f>$E$22</f>
        <v>0.10349999999999999</v>
      </c>
      <c r="F26" s="397">
        <f>$F$22</f>
        <v>0.5025136071712456</v>
      </c>
      <c r="G26" s="73">
        <f>D26*E26*F26</f>
        <v>1199315.6655553109</v>
      </c>
      <c r="H26" s="77"/>
      <c r="I26" s="73">
        <f>'WP B.5 B'!Q26</f>
        <v>25650069.840769231</v>
      </c>
      <c r="J26" s="421">
        <f>E26</f>
        <v>0.10349999999999999</v>
      </c>
      <c r="K26" s="421">
        <f>F26</f>
        <v>0.5025136071712456</v>
      </c>
      <c r="L26" s="73">
        <f>I26*J26*K26</f>
        <v>1334064.19390751</v>
      </c>
      <c r="P26" s="820">
        <f>E26*F26</f>
        <v>5.2010158342223917E-2</v>
      </c>
      <c r="Q26" s="820">
        <f>J26*K26</f>
        <v>5.2010158342223917E-2</v>
      </c>
    </row>
    <row r="27" spans="1:17" ht="14.25" customHeight="1">
      <c r="A27" s="2">
        <v>15</v>
      </c>
      <c r="D27" s="73"/>
      <c r="E27" s="21"/>
      <c r="F27" s="21"/>
      <c r="G27" s="73"/>
      <c r="H27" s="77"/>
      <c r="I27" s="73"/>
      <c r="J27" s="479"/>
      <c r="K27" s="479"/>
      <c r="L27" s="73"/>
      <c r="P27" s="821"/>
      <c r="Q27" s="821"/>
    </row>
    <row r="28" spans="1:17">
      <c r="A28" s="2">
        <v>16</v>
      </c>
      <c r="C28" s="22" t="s">
        <v>69</v>
      </c>
      <c r="D28" s="574">
        <f>SUM(D22:D26)</f>
        <v>532035586.69999999</v>
      </c>
      <c r="E28" s="21"/>
      <c r="F28" s="21"/>
      <c r="G28" s="574">
        <f>SUM(G22:G26)</f>
        <v>27671255.107965</v>
      </c>
      <c r="I28" s="574">
        <f>SUM(I22:I26)</f>
        <v>808803909.03918982</v>
      </c>
      <c r="J28" s="76"/>
      <c r="K28" s="76"/>
      <c r="L28" s="574">
        <f>SUM(L22:L26)</f>
        <v>42066019.376937933</v>
      </c>
      <c r="P28" s="821"/>
      <c r="Q28" s="821"/>
    </row>
    <row r="29" spans="1:17" ht="15.75">
      <c r="A29" s="2">
        <v>17</v>
      </c>
      <c r="B29" s="12" t="s">
        <v>1126</v>
      </c>
      <c r="P29" s="821"/>
      <c r="Q29" s="821"/>
    </row>
    <row r="30" spans="1:17">
      <c r="A30" s="2">
        <v>18</v>
      </c>
      <c r="C30" s="16" t="s">
        <v>679</v>
      </c>
      <c r="D30" s="305">
        <f>'WP B.5 B'!P30</f>
        <v>10835399.149999999</v>
      </c>
      <c r="E30" s="397">
        <f>Allocation!G15</f>
        <v>0.10929999999999999</v>
      </c>
      <c r="F30" s="397">
        <f>Allocation!H15</f>
        <v>0.51883860656465508</v>
      </c>
      <c r="G30" s="305">
        <f>D30*E30*F30</f>
        <v>614465.29724377277</v>
      </c>
      <c r="H30" s="77"/>
      <c r="I30" s="305">
        <f>'WP B.5 B'!Q30</f>
        <v>836027.09461538447</v>
      </c>
      <c r="J30" s="421">
        <f>E30</f>
        <v>0.10929999999999999</v>
      </c>
      <c r="K30" s="421">
        <f>F30</f>
        <v>0.51883860656465508</v>
      </c>
      <c r="L30" s="305">
        <f>I30*J30*K30</f>
        <v>47410.310417285364</v>
      </c>
      <c r="P30" s="820">
        <f>E30*F30</f>
        <v>5.67090596975168E-2</v>
      </c>
      <c r="Q30" s="820">
        <f>J30*K30</f>
        <v>5.67090596975168E-2</v>
      </c>
    </row>
    <row r="31" spans="1:17">
      <c r="A31" s="2">
        <v>19</v>
      </c>
      <c r="D31" s="73"/>
      <c r="E31" s="21"/>
      <c r="F31" s="21"/>
      <c r="G31" s="73"/>
      <c r="H31" s="77"/>
      <c r="I31" s="73"/>
      <c r="J31" s="479"/>
      <c r="K31" s="479"/>
      <c r="L31" s="73"/>
      <c r="P31" s="820"/>
      <c r="Q31" s="821"/>
    </row>
    <row r="32" spans="1:17">
      <c r="A32" s="2">
        <v>20</v>
      </c>
      <c r="C32" s="16" t="s">
        <v>680</v>
      </c>
      <c r="D32" s="73">
        <f>'WP B.5 B'!P32</f>
        <v>-27565559.350000001</v>
      </c>
      <c r="E32" s="397">
        <f>$E$30</f>
        <v>0.10929999999999999</v>
      </c>
      <c r="F32" s="397">
        <f>$F$30</f>
        <v>0.51883860656465508</v>
      </c>
      <c r="G32" s="73">
        <f>D32*E32*F32</f>
        <v>-1563216.9507745923</v>
      </c>
      <c r="H32" s="77"/>
      <c r="I32" s="73">
        <f>'WP B.5 B'!Q32</f>
        <v>-27808821.042307697</v>
      </c>
      <c r="J32" s="421">
        <f>E32</f>
        <v>0.10929999999999999</v>
      </c>
      <c r="K32" s="421">
        <f>F32</f>
        <v>0.51883860656465508</v>
      </c>
      <c r="L32" s="73">
        <f>I32*J32*K32</f>
        <v>-1577012.0926057885</v>
      </c>
      <c r="P32" s="820">
        <f>E32*F32</f>
        <v>5.67090596975168E-2</v>
      </c>
      <c r="Q32" s="820">
        <f>J32*K32</f>
        <v>5.67090596975168E-2</v>
      </c>
    </row>
    <row r="33" spans="1:17">
      <c r="A33" s="2">
        <v>21</v>
      </c>
      <c r="B33" s="373"/>
      <c r="C33" s="4"/>
      <c r="D33" s="77"/>
      <c r="E33" s="21"/>
      <c r="F33" s="21"/>
      <c r="G33" s="77"/>
      <c r="H33" s="77"/>
      <c r="I33" s="77"/>
      <c r="J33" s="76"/>
      <c r="K33" s="76"/>
      <c r="L33" s="77"/>
      <c r="P33" s="820"/>
      <c r="Q33" s="821"/>
    </row>
    <row r="34" spans="1:17">
      <c r="A34" s="2">
        <v>22</v>
      </c>
      <c r="C34" s="16" t="s">
        <v>681</v>
      </c>
      <c r="D34" s="73">
        <f>'WP B.5 B'!P34</f>
        <v>-1326618</v>
      </c>
      <c r="E34" s="397">
        <f>$E$30</f>
        <v>0.10929999999999999</v>
      </c>
      <c r="F34" s="397">
        <f>$F$30</f>
        <v>0.51883860656465508</v>
      </c>
      <c r="G34" s="73">
        <f>D34*E34*F34</f>
        <v>-75231.259357800343</v>
      </c>
      <c r="H34" s="77"/>
      <c r="I34" s="73">
        <f>'WP B.5 B'!Q34</f>
        <v>-806114.07692307688</v>
      </c>
      <c r="J34" s="421">
        <f>E34</f>
        <v>0.10929999999999999</v>
      </c>
      <c r="K34" s="421">
        <f>F34</f>
        <v>0.51883860656465508</v>
      </c>
      <c r="L34" s="73">
        <f>I34*J34*K34</f>
        <v>-45713.971311239417</v>
      </c>
      <c r="P34" s="820">
        <f>E34*F34</f>
        <v>5.67090596975168E-2</v>
      </c>
      <c r="Q34" s="820">
        <f>J34*K34</f>
        <v>5.67090596975168E-2</v>
      </c>
    </row>
    <row r="35" spans="1:17">
      <c r="A35" s="2">
        <v>23</v>
      </c>
      <c r="D35" s="73"/>
      <c r="E35" s="21"/>
      <c r="F35" s="21"/>
      <c r="G35" s="73"/>
      <c r="H35" s="77"/>
      <c r="I35" s="73"/>
      <c r="J35" s="479"/>
      <c r="K35" s="479"/>
      <c r="L35" s="73"/>
      <c r="P35" s="821"/>
      <c r="Q35" s="821"/>
    </row>
    <row r="36" spans="1:17">
      <c r="A36" s="2">
        <v>24</v>
      </c>
      <c r="C36" s="22" t="s">
        <v>725</v>
      </c>
      <c r="D36" s="574">
        <f>SUM(D30:D34)</f>
        <v>-18056778.200000003</v>
      </c>
      <c r="E36" s="21"/>
      <c r="F36" s="21"/>
      <c r="G36" s="574">
        <f>SUM(G30:G34)</f>
        <v>-1023982.9128886199</v>
      </c>
      <c r="I36" s="574">
        <f>SUM(I30:I34)</f>
        <v>-27778908.024615388</v>
      </c>
      <c r="J36" s="76"/>
      <c r="K36" s="76"/>
      <c r="L36" s="574">
        <f>SUM(L30:L34)</f>
        <v>-1575315.7534997426</v>
      </c>
      <c r="P36" s="821"/>
      <c r="Q36" s="821"/>
    </row>
    <row r="37" spans="1:17" ht="15.75">
      <c r="A37" s="2">
        <v>25</v>
      </c>
      <c r="B37" s="12" t="s">
        <v>682</v>
      </c>
      <c r="P37" s="821"/>
      <c r="Q37" s="821"/>
    </row>
    <row r="38" spans="1:17" ht="15.75">
      <c r="A38" s="2">
        <v>26</v>
      </c>
      <c r="B38" s="12"/>
      <c r="P38" s="821"/>
      <c r="Q38" s="821"/>
    </row>
    <row r="39" spans="1:17">
      <c r="A39" s="2">
        <v>27</v>
      </c>
      <c r="C39" s="16" t="s">
        <v>679</v>
      </c>
      <c r="D39" s="305">
        <f>'WP B.5 B'!P39</f>
        <v>-92981851.459999993</v>
      </c>
      <c r="E39" s="477">
        <v>1</v>
      </c>
      <c r="F39" s="397">
        <f>Allocation!H17</f>
        <v>0.5025136071712456</v>
      </c>
      <c r="G39" s="305">
        <f>D39*$E$39*F39</f>
        <v>-46724645.578625545</v>
      </c>
      <c r="H39" s="77"/>
      <c r="I39" s="305">
        <f>'WP B.5 B'!Q39</f>
        <v>-2872592.7523076911</v>
      </c>
      <c r="J39" s="477">
        <f>E39</f>
        <v>1</v>
      </c>
      <c r="K39" s="397">
        <f>F39</f>
        <v>0.5025136071712456</v>
      </c>
      <c r="L39" s="305">
        <f>I39*$E$39*K39</f>
        <v>-1443516.9458961142</v>
      </c>
      <c r="P39" s="820">
        <f>E39*F39</f>
        <v>0.5025136071712456</v>
      </c>
      <c r="Q39" s="820">
        <f>J39*K39</f>
        <v>0.5025136071712456</v>
      </c>
    </row>
    <row r="40" spans="1:17">
      <c r="A40" s="2">
        <v>28</v>
      </c>
      <c r="D40" s="73"/>
      <c r="E40" s="21"/>
      <c r="F40" s="21"/>
      <c r="G40" s="73"/>
      <c r="H40" s="77"/>
      <c r="I40" s="73"/>
      <c r="J40" s="479"/>
      <c r="K40" s="479"/>
      <c r="L40" s="73"/>
      <c r="P40" s="820"/>
      <c r="Q40" s="821"/>
    </row>
    <row r="41" spans="1:17">
      <c r="A41" s="2">
        <v>29</v>
      </c>
      <c r="C41" s="16" t="s">
        <v>444</v>
      </c>
      <c r="D41" s="73">
        <f>'WP B.5 B'!P45</f>
        <v>0</v>
      </c>
      <c r="E41" s="477">
        <f>$E$39</f>
        <v>1</v>
      </c>
      <c r="F41" s="397">
        <f>$F$39</f>
        <v>0.5025136071712456</v>
      </c>
      <c r="G41" s="73">
        <f>D41*E41*F41</f>
        <v>0</v>
      </c>
      <c r="H41" s="77"/>
      <c r="I41" s="73">
        <f>'WP B.5 B'!Q45</f>
        <v>0</v>
      </c>
      <c r="J41" s="477">
        <f>E41</f>
        <v>1</v>
      </c>
      <c r="K41" s="397">
        <f>F41</f>
        <v>0.5025136071712456</v>
      </c>
      <c r="L41" s="73">
        <f>I41*J41*K41</f>
        <v>0</v>
      </c>
      <c r="P41" s="820">
        <f>E41*F41</f>
        <v>0.5025136071712456</v>
      </c>
      <c r="Q41" s="820">
        <f>J41*K41</f>
        <v>0.5025136071712456</v>
      </c>
    </row>
    <row r="42" spans="1:17">
      <c r="A42" s="2">
        <v>30</v>
      </c>
      <c r="D42" s="73"/>
      <c r="E42" s="21"/>
      <c r="F42" s="21"/>
      <c r="G42" s="73"/>
      <c r="H42" s="77"/>
      <c r="I42" s="73"/>
      <c r="J42" s="479"/>
      <c r="K42" s="479"/>
      <c r="L42" s="73"/>
      <c r="P42" s="820"/>
      <c r="Q42" s="821"/>
    </row>
    <row r="43" spans="1:17">
      <c r="A43" s="2">
        <v>31</v>
      </c>
      <c r="C43" s="16" t="s">
        <v>680</v>
      </c>
      <c r="D43" s="73">
        <f>'WP B.5 B'!P41</f>
        <v>87637610.5</v>
      </c>
      <c r="E43" s="477">
        <f>$E$39</f>
        <v>1</v>
      </c>
      <c r="F43" s="397">
        <f>$F$39</f>
        <v>0.5025136071712456</v>
      </c>
      <c r="G43" s="73">
        <f>D43*$E$39*F43</f>
        <v>44039091.77622363</v>
      </c>
      <c r="H43" s="77"/>
      <c r="I43" s="73">
        <f>'WP B.5 B'!Q41</f>
        <v>1447524.2084615391</v>
      </c>
      <c r="J43" s="477">
        <f>E43</f>
        <v>1</v>
      </c>
      <c r="K43" s="397">
        <f>F43</f>
        <v>0.5025136071712456</v>
      </c>
      <c r="L43" s="73">
        <f>I43*$E$39*K43</f>
        <v>727400.61146171007</v>
      </c>
      <c r="P43" s="820">
        <f>E43*F43</f>
        <v>0.5025136071712456</v>
      </c>
      <c r="Q43" s="820">
        <f>J43*K43</f>
        <v>0.5025136071712456</v>
      </c>
    </row>
    <row r="44" spans="1:17">
      <c r="A44" s="2">
        <v>32</v>
      </c>
      <c r="D44" s="73"/>
      <c r="E44" s="21"/>
      <c r="F44" s="21"/>
      <c r="G44" s="73"/>
      <c r="H44" s="77"/>
      <c r="I44" s="73"/>
      <c r="J44" s="479"/>
      <c r="K44" s="479"/>
      <c r="L44" s="73"/>
      <c r="P44" s="821"/>
      <c r="Q44" s="821"/>
    </row>
    <row r="45" spans="1:17">
      <c r="A45" s="2">
        <v>33</v>
      </c>
      <c r="C45" s="16" t="s">
        <v>681</v>
      </c>
      <c r="D45" s="73">
        <f>'WP B.5 B'!P43</f>
        <v>-609788.14999999991</v>
      </c>
      <c r="E45" s="477">
        <f>$E$39</f>
        <v>1</v>
      </c>
      <c r="F45" s="397">
        <f>$F$39</f>
        <v>0.5025136071712456</v>
      </c>
      <c r="G45" s="73">
        <f>D45*$E$39*F45</f>
        <v>-306426.84286678053</v>
      </c>
      <c r="H45" s="77"/>
      <c r="I45" s="73">
        <f>'WP B.5 B'!Q43</f>
        <v>-1560515.8423076922</v>
      </c>
      <c r="J45" s="477">
        <f>E45</f>
        <v>1</v>
      </c>
      <c r="K45" s="397">
        <f>F45</f>
        <v>0.5025136071712456</v>
      </c>
      <c r="L45" s="73">
        <f>I45*$E$39*K45</f>
        <v>-784180.44496591308</v>
      </c>
      <c r="P45" s="820">
        <f>E45*F45</f>
        <v>0.5025136071712456</v>
      </c>
      <c r="Q45" s="820">
        <f>J45*K45</f>
        <v>0.5025136071712456</v>
      </c>
    </row>
    <row r="46" spans="1:17">
      <c r="A46" s="2">
        <v>34</v>
      </c>
      <c r="D46" s="73"/>
      <c r="E46" s="21"/>
      <c r="F46" s="21"/>
      <c r="G46" s="73"/>
      <c r="H46" s="77"/>
      <c r="I46" s="73"/>
      <c r="J46" s="479"/>
      <c r="K46" s="479"/>
      <c r="L46" s="73"/>
    </row>
    <row r="47" spans="1:17">
      <c r="A47" s="2">
        <v>35</v>
      </c>
      <c r="C47" s="22" t="s">
        <v>443</v>
      </c>
      <c r="D47" s="574">
        <f>SUM(D39:D45)</f>
        <v>-5954029.1099999938</v>
      </c>
      <c r="E47" s="21"/>
      <c r="F47" s="21"/>
      <c r="G47" s="574">
        <f>SUM(G39:G45)</f>
        <v>-2991980.6452686959</v>
      </c>
      <c r="I47" s="574">
        <f>SUM(I39:I45)</f>
        <v>-2985584.3861538442</v>
      </c>
      <c r="J47" s="76"/>
      <c r="K47" s="76"/>
      <c r="L47" s="574">
        <f>SUM(L39:L45)</f>
        <v>-1500296.7794003172</v>
      </c>
    </row>
    <row r="48" spans="1:17">
      <c r="A48" s="2">
        <v>36</v>
      </c>
    </row>
    <row r="49" spans="1:12" ht="16.5" thickBot="1">
      <c r="A49" s="2">
        <v>37</v>
      </c>
      <c r="B49" s="35"/>
      <c r="C49" s="513" t="s">
        <v>727</v>
      </c>
      <c r="D49" s="329">
        <f>D47+D36+D28+D19</f>
        <v>450477269.38</v>
      </c>
      <c r="G49" s="329">
        <f>G47+G36+G28+G19</f>
        <v>-33892218.460192323</v>
      </c>
      <c r="I49" s="329">
        <f>I47+I36+I28+I19</f>
        <v>680568299.90457439</v>
      </c>
      <c r="L49" s="329">
        <f>L47+L36+L28+L19</f>
        <v>-58480709.879808292</v>
      </c>
    </row>
    <row r="50" spans="1:12" ht="15.75" thickTop="1">
      <c r="A50" s="35"/>
      <c r="B50" s="35"/>
    </row>
    <row r="51" spans="1:12">
      <c r="A51" s="35"/>
      <c r="B51" s="35"/>
    </row>
    <row r="52" spans="1:12">
      <c r="A52" s="35"/>
      <c r="B52" s="35"/>
    </row>
    <row r="53" spans="1:12">
      <c r="A53" s="35"/>
      <c r="B53" s="35"/>
    </row>
    <row r="54" spans="1:12">
      <c r="A54" s="35"/>
      <c r="B54" s="35"/>
      <c r="E54" s="375"/>
    </row>
    <row r="55" spans="1:12">
      <c r="A55" s="35"/>
      <c r="B55" s="35"/>
    </row>
    <row r="56" spans="1:12">
      <c r="A56" s="35"/>
    </row>
    <row r="57" spans="1:12">
      <c r="A57" s="35"/>
      <c r="B57" s="35"/>
    </row>
    <row r="58" spans="1:12">
      <c r="A58" s="35"/>
      <c r="B58" s="35"/>
    </row>
    <row r="59" spans="1:12">
      <c r="A59" s="35"/>
      <c r="B59" s="35"/>
    </row>
    <row r="60" spans="1:12">
      <c r="A60" s="35"/>
      <c r="B60" s="35"/>
    </row>
    <row r="61" spans="1:12">
      <c r="A61" s="35"/>
      <c r="B61" s="35"/>
    </row>
    <row r="62" spans="1:12">
      <c r="A62" s="35"/>
      <c r="B62" s="35"/>
    </row>
    <row r="63" spans="1:12">
      <c r="A63" s="35"/>
      <c r="B63" s="35"/>
    </row>
    <row r="64" spans="1:12">
      <c r="A64" s="35"/>
      <c r="B64" s="35"/>
    </row>
    <row r="65" spans="1:2">
      <c r="A65" s="35"/>
      <c r="B65" s="35"/>
    </row>
    <row r="66" spans="1:2">
      <c r="A66" s="35"/>
      <c r="B66" s="35"/>
    </row>
    <row r="67" spans="1:2">
      <c r="A67" s="35"/>
      <c r="B67" s="35"/>
    </row>
    <row r="68" spans="1:2">
      <c r="A68" s="35"/>
      <c r="B68" s="35"/>
    </row>
    <row r="69" spans="1:2">
      <c r="A69" s="35"/>
      <c r="B69" s="35"/>
    </row>
    <row r="70" spans="1:2">
      <c r="A70" s="35"/>
      <c r="B70" s="35"/>
    </row>
  </sheetData>
  <mergeCells count="4">
    <mergeCell ref="A1:L1"/>
    <mergeCell ref="A2:L2"/>
    <mergeCell ref="A3:L3"/>
    <mergeCell ref="A4:L4"/>
  </mergeCells>
  <phoneticPr fontId="22" type="noConversion"/>
  <printOptions horizontalCentered="1"/>
  <pageMargins left="0.75" right="0.5" top="0.75" bottom="0.3" header="0.5" footer="0.17"/>
  <pageSetup scale="62" fitToHeight="2" orientation="landscape" verticalDpi="300" r:id="rId1"/>
  <headerFooter alignWithMargins="0">
    <oddFooter>&amp;RSchedule &amp;A
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J31"/>
  <sheetViews>
    <sheetView topLeftCell="A6" zoomScale="90" zoomScaleNormal="90" workbookViewId="0">
      <selection activeCell="E25" sqref="E25"/>
    </sheetView>
  </sheetViews>
  <sheetFormatPr defaultRowHeight="15"/>
  <cols>
    <col min="1" max="1" width="7.44140625" bestFit="1" customWidth="1"/>
    <col min="2" max="2" width="34.44140625" customWidth="1"/>
    <col min="3" max="3" width="10.33203125" customWidth="1"/>
    <col min="4" max="5" width="10.44140625" customWidth="1"/>
    <col min="6" max="6" width="7" bestFit="1" customWidth="1"/>
    <col min="7" max="7" width="10" customWidth="1"/>
    <col min="8" max="8" width="10.21875" customWidth="1"/>
    <col min="9" max="9" width="10.109375" customWidth="1"/>
    <col min="13" max="13" width="10.44140625" bestFit="1" customWidth="1"/>
    <col min="15" max="15" width="6.77734375" customWidth="1"/>
    <col min="16" max="17" width="10.44140625" bestFit="1" customWidth="1"/>
  </cols>
  <sheetData>
    <row r="1" spans="1:10">
      <c r="A1" s="1175" t="str">
        <f>'Table of Contents'!A1:C1</f>
        <v>Atmos Energy Corporation, Kentucky/Mid-States Division</v>
      </c>
      <c r="B1" s="1175"/>
      <c r="C1" s="1175"/>
      <c r="D1" s="1175"/>
      <c r="E1" s="1175"/>
      <c r="F1" s="1175"/>
      <c r="G1" s="1175"/>
      <c r="H1" s="1175"/>
      <c r="I1" s="1175"/>
    </row>
    <row r="2" spans="1:10">
      <c r="A2" s="1175" t="str">
        <f>'Table of Contents'!A2:C2</f>
        <v>Kentucky Jurisdiction Case No. 2017-00349</v>
      </c>
      <c r="B2" s="1175"/>
      <c r="C2" s="1175"/>
      <c r="D2" s="1175"/>
      <c r="E2" s="1175"/>
      <c r="F2" s="1175"/>
      <c r="G2" s="1175"/>
      <c r="H2" s="1175"/>
      <c r="I2" s="1175"/>
    </row>
    <row r="3" spans="1:10">
      <c r="A3" s="1175" t="str">
        <f>'Table of Contents'!A3:C3</f>
        <v>Base Period: Twelve Months Ended December 31, 2017</v>
      </c>
      <c r="B3" s="1175"/>
      <c r="C3" s="1175"/>
      <c r="D3" s="1175"/>
      <c r="E3" s="1175"/>
      <c r="F3" s="1175"/>
      <c r="G3" s="1175"/>
      <c r="H3" s="1175"/>
      <c r="I3" s="1175"/>
    </row>
    <row r="4" spans="1:10">
      <c r="A4" s="1175" t="str">
        <f>'Table of Contents'!A4:C4</f>
        <v>Forecasted Test Period: Twelve Months Ended March 31, 2019</v>
      </c>
      <c r="B4" s="1175"/>
      <c r="C4" s="1175"/>
      <c r="D4" s="1175"/>
      <c r="E4" s="1175"/>
      <c r="F4" s="1175"/>
      <c r="G4" s="1175"/>
      <c r="H4" s="1175"/>
      <c r="I4" s="1175"/>
    </row>
    <row r="6" spans="1:10" ht="15.75">
      <c r="A6" s="1178" t="s">
        <v>1226</v>
      </c>
      <c r="B6" s="1178"/>
      <c r="C6" s="1178"/>
      <c r="D6" s="1178"/>
      <c r="E6" s="1178"/>
      <c r="F6" s="1178"/>
      <c r="G6" s="1178"/>
      <c r="H6" s="1178"/>
      <c r="I6" s="1178"/>
    </row>
    <row r="7" spans="1:10" ht="15.75">
      <c r="A7" s="602"/>
      <c r="B7" s="602"/>
      <c r="C7" s="602"/>
      <c r="D7" s="602"/>
      <c r="E7" s="602"/>
      <c r="F7" s="602"/>
      <c r="G7" s="602"/>
      <c r="H7" s="602"/>
      <c r="I7" s="602"/>
    </row>
    <row r="8" spans="1:10">
      <c r="C8" s="52"/>
      <c r="D8" s="603" t="s">
        <v>1227</v>
      </c>
      <c r="E8" s="52"/>
      <c r="G8" s="95"/>
      <c r="H8" s="603" t="s">
        <v>328</v>
      </c>
      <c r="I8" s="95"/>
    </row>
    <row r="9" spans="1:10">
      <c r="C9" s="317" t="s">
        <v>1228</v>
      </c>
      <c r="D9" s="317" t="s">
        <v>197</v>
      </c>
      <c r="E9" s="53" t="s">
        <v>11</v>
      </c>
      <c r="F9" s="601"/>
      <c r="G9" s="317" t="s">
        <v>1228</v>
      </c>
      <c r="H9" s="317" t="s">
        <v>197</v>
      </c>
      <c r="I9" s="601" t="s">
        <v>11</v>
      </c>
    </row>
    <row r="10" spans="1:10">
      <c r="A10" s="52" t="s">
        <v>205</v>
      </c>
      <c r="B10" s="58" t="s">
        <v>993</v>
      </c>
      <c r="C10" s="316" t="s">
        <v>156</v>
      </c>
      <c r="D10" s="58" t="s">
        <v>600</v>
      </c>
      <c r="E10" s="58" t="s">
        <v>1154</v>
      </c>
      <c r="F10" s="64"/>
      <c r="G10" s="316" t="s">
        <v>156</v>
      </c>
      <c r="H10" s="58" t="s">
        <v>600</v>
      </c>
      <c r="I10" s="58" t="s">
        <v>1154</v>
      </c>
    </row>
    <row r="11" spans="1:10">
      <c r="A11" s="57"/>
      <c r="B11" s="57"/>
      <c r="C11" s="317"/>
      <c r="D11" s="317"/>
    </row>
    <row r="12" spans="1:10" ht="15.75">
      <c r="A12" s="57"/>
      <c r="B12" s="384" t="s">
        <v>1152</v>
      </c>
      <c r="C12" s="317"/>
      <c r="D12" s="317"/>
    </row>
    <row r="13" spans="1:10" ht="15.75">
      <c r="A13" s="53">
        <v>1</v>
      </c>
      <c r="B13" s="161" t="s">
        <v>200</v>
      </c>
      <c r="I13" s="324"/>
    </row>
    <row r="14" spans="1:10">
      <c r="A14" s="53">
        <f>A13+1</f>
        <v>2</v>
      </c>
      <c r="B14" s="383" t="s">
        <v>202</v>
      </c>
      <c r="C14" s="722">
        <f>'[1]Composite FY17'!$Q$19</f>
        <v>0.10349999999999999</v>
      </c>
      <c r="D14" s="722">
        <f>('[1]Mid States FY17'!$J$10)/100</f>
        <v>0.5025136071712456</v>
      </c>
      <c r="E14" s="324">
        <f>C14*D14</f>
        <v>5.2010158342223917E-2</v>
      </c>
      <c r="F14" s="324"/>
      <c r="G14" s="722">
        <f>'[1]Composite FY17'!$Q$19</f>
        <v>0.10349999999999999</v>
      </c>
      <c r="H14" s="722">
        <f>('[1]Mid States FY17'!$J$10)/100</f>
        <v>0.5025136071712456</v>
      </c>
      <c r="I14" s="324">
        <f>G14*H14</f>
        <v>5.2010158342223917E-2</v>
      </c>
      <c r="J14" s="591"/>
    </row>
    <row r="15" spans="1:10">
      <c r="A15" s="601">
        <f t="shared" ref="A15:A31" si="0">A14+1</f>
        <v>3</v>
      </c>
      <c r="B15" s="383" t="s">
        <v>203</v>
      </c>
      <c r="C15" s="722">
        <f>'[1]Composite FY17'!$Q$16</f>
        <v>0.10929999999999999</v>
      </c>
      <c r="D15" s="722">
        <f>'[1]Mid States FY17'!$H$10/100</f>
        <v>0.51883860656465508</v>
      </c>
      <c r="E15" s="324">
        <f>C15*D15</f>
        <v>5.67090596975168E-2</v>
      </c>
      <c r="F15" s="324"/>
      <c r="G15" s="722">
        <f>'[1]Composite FY17'!$Q$16</f>
        <v>0.10929999999999999</v>
      </c>
      <c r="H15" s="722">
        <f>'[1]Mid States FY17'!$H$10/100</f>
        <v>0.51883860656465508</v>
      </c>
      <c r="I15" s="324">
        <f>G15*H15</f>
        <v>5.67090596975168E-2</v>
      </c>
      <c r="J15" s="591"/>
    </row>
    <row r="16" spans="1:10" ht="15.75">
      <c r="A16" s="601">
        <f t="shared" si="0"/>
        <v>4</v>
      </c>
      <c r="B16" s="161" t="s">
        <v>201</v>
      </c>
      <c r="C16" s="53"/>
      <c r="D16" s="797"/>
      <c r="E16" s="324"/>
      <c r="F16" s="324"/>
      <c r="G16" s="601"/>
      <c r="H16" s="601"/>
      <c r="I16" s="324"/>
    </row>
    <row r="17" spans="1:10">
      <c r="A17" s="601">
        <f t="shared" si="0"/>
        <v>5</v>
      </c>
      <c r="B17" s="383" t="s">
        <v>204</v>
      </c>
      <c r="C17" s="336">
        <v>1</v>
      </c>
      <c r="D17" s="722">
        <f>('[1]Mid States FY17'!$J$10)/100</f>
        <v>0.5025136071712456</v>
      </c>
      <c r="E17" s="324">
        <f>C17*D17</f>
        <v>0.5025136071712456</v>
      </c>
      <c r="F17" s="324"/>
      <c r="G17" s="336">
        <v>1</v>
      </c>
      <c r="H17" s="722">
        <f>('[1]Mid States FY17'!$J$10)/100</f>
        <v>0.5025136071712456</v>
      </c>
      <c r="I17" s="324">
        <f>G17*H17</f>
        <v>0.5025136071712456</v>
      </c>
      <c r="J17" s="591"/>
    </row>
    <row r="18" spans="1:10">
      <c r="A18" s="601">
        <f t="shared" si="0"/>
        <v>6</v>
      </c>
      <c r="C18" s="53"/>
      <c r="D18" s="53"/>
      <c r="E18" s="53"/>
      <c r="F18" s="601"/>
      <c r="G18" s="601"/>
      <c r="H18" s="601"/>
      <c r="I18" s="601"/>
    </row>
    <row r="19" spans="1:10">
      <c r="A19" s="709">
        <f t="shared" si="0"/>
        <v>7</v>
      </c>
      <c r="B19" s="383"/>
      <c r="C19" s="53"/>
      <c r="D19" s="53"/>
      <c r="E19" s="53"/>
      <c r="F19" s="601"/>
      <c r="G19" s="601"/>
      <c r="H19" s="601"/>
      <c r="I19" s="601"/>
    </row>
    <row r="20" spans="1:10" ht="15.75">
      <c r="A20" s="601">
        <f t="shared" si="0"/>
        <v>8</v>
      </c>
      <c r="B20" s="604" t="s">
        <v>1230</v>
      </c>
      <c r="C20" s="601"/>
      <c r="D20" s="601"/>
      <c r="E20" s="722">
        <f>[2]Greenville!$J$24</f>
        <v>1.550753E-2</v>
      </c>
      <c r="F20" s="601"/>
      <c r="G20" s="601"/>
      <c r="H20" s="601"/>
      <c r="I20" s="324">
        <f>E20</f>
        <v>1.550753E-2</v>
      </c>
    </row>
    <row r="21" spans="1:10" ht="15.75">
      <c r="A21" s="601">
        <f t="shared" si="0"/>
        <v>9</v>
      </c>
      <c r="B21" s="604" t="s">
        <v>1229</v>
      </c>
      <c r="C21" s="601"/>
      <c r="D21" s="601"/>
      <c r="E21" s="722">
        <f>'[2]CKV Center'!$L$20</f>
        <v>2.3324339999999999E-2</v>
      </c>
      <c r="F21" s="601"/>
      <c r="G21" s="601"/>
      <c r="H21" s="601"/>
      <c r="I21" s="324">
        <f>E21</f>
        <v>2.3324339999999999E-2</v>
      </c>
    </row>
    <row r="22" spans="1:10" s="795" customFormat="1" ht="15.75">
      <c r="A22" s="846">
        <f t="shared" si="0"/>
        <v>10</v>
      </c>
      <c r="B22" s="848" t="s">
        <v>1600</v>
      </c>
      <c r="C22" s="846"/>
      <c r="D22" s="846"/>
      <c r="E22" s="722">
        <f>'[1]Div 002 Rates (Excluding APT)'!$J$38</f>
        <v>6.437198999999999E-2</v>
      </c>
      <c r="F22" s="846"/>
      <c r="G22" s="846"/>
      <c r="H22" s="846"/>
      <c r="I22" s="324">
        <f>E22</f>
        <v>6.437198999999999E-2</v>
      </c>
    </row>
    <row r="23" spans="1:10" s="795" customFormat="1" ht="15.75">
      <c r="A23" s="847">
        <f t="shared" si="0"/>
        <v>11</v>
      </c>
      <c r="B23" s="848" t="s">
        <v>1601</v>
      </c>
      <c r="C23" s="847"/>
      <c r="D23" s="847"/>
      <c r="E23" s="722">
        <v>0</v>
      </c>
      <c r="F23" s="847"/>
      <c r="G23" s="847"/>
      <c r="H23" s="847"/>
      <c r="I23" s="324"/>
    </row>
    <row r="24" spans="1:10">
      <c r="A24" s="847">
        <f t="shared" si="0"/>
        <v>12</v>
      </c>
      <c r="B24" s="383"/>
      <c r="C24" s="601"/>
      <c r="D24" s="601"/>
      <c r="E24" s="601"/>
      <c r="F24" s="601"/>
      <c r="G24" s="601"/>
      <c r="H24" s="601"/>
      <c r="I24" s="601"/>
    </row>
    <row r="25" spans="1:10" ht="15.75">
      <c r="A25" s="847">
        <f t="shared" si="0"/>
        <v>13</v>
      </c>
      <c r="B25" s="394" t="s">
        <v>1141</v>
      </c>
      <c r="C25" s="53"/>
      <c r="D25" s="53"/>
      <c r="E25" s="323">
        <f>ROUND(0.06+0.21*(1-0.06),5)</f>
        <v>0.25740000000000002</v>
      </c>
      <c r="F25" s="601"/>
      <c r="G25" s="601"/>
      <c r="H25" s="601"/>
      <c r="I25" s="601"/>
      <c r="J25" s="591"/>
    </row>
    <row r="26" spans="1:10">
      <c r="A26" s="847">
        <f t="shared" si="0"/>
        <v>14</v>
      </c>
      <c r="B26" s="219"/>
      <c r="C26" s="53"/>
      <c r="D26" s="53"/>
      <c r="E26" s="323"/>
      <c r="F26" s="601"/>
      <c r="G26" s="601"/>
      <c r="H26" s="601"/>
      <c r="I26" s="601"/>
    </row>
    <row r="27" spans="1:10" ht="15.75">
      <c r="A27" s="847">
        <f t="shared" si="0"/>
        <v>15</v>
      </c>
      <c r="B27" s="394" t="s">
        <v>1376</v>
      </c>
      <c r="C27" s="53"/>
      <c r="D27" s="53"/>
      <c r="E27" s="761">
        <v>0.10299999999999999</v>
      </c>
      <c r="F27" s="601"/>
      <c r="G27" s="601"/>
      <c r="H27" s="601"/>
      <c r="I27" s="601"/>
    </row>
    <row r="28" spans="1:10">
      <c r="A28" s="847">
        <f t="shared" si="0"/>
        <v>16</v>
      </c>
      <c r="B28" s="219"/>
      <c r="C28" s="53"/>
      <c r="D28" s="53"/>
      <c r="E28" s="53"/>
      <c r="F28" s="601"/>
      <c r="G28" s="601"/>
      <c r="H28" s="601"/>
      <c r="I28" s="601"/>
    </row>
    <row r="29" spans="1:10" ht="15.75">
      <c r="A29" s="847">
        <f t="shared" si="0"/>
        <v>17</v>
      </c>
      <c r="B29" s="394" t="s">
        <v>339</v>
      </c>
      <c r="C29" s="53"/>
      <c r="D29" s="53"/>
      <c r="E29" s="324">
        <f>ROUND(+'J-2 F'!L20,4)</f>
        <v>1.9900000000000001E-2</v>
      </c>
      <c r="F29" s="601"/>
      <c r="G29" s="601"/>
      <c r="H29" s="601"/>
      <c r="I29" s="601"/>
    </row>
    <row r="30" spans="1:10">
      <c r="A30" s="847">
        <f t="shared" si="0"/>
        <v>18</v>
      </c>
      <c r="B30" s="219"/>
      <c r="C30" s="53"/>
      <c r="D30" s="53"/>
      <c r="E30" s="53"/>
      <c r="F30" s="601"/>
      <c r="G30" s="601"/>
      <c r="H30" s="601"/>
      <c r="I30" s="601"/>
    </row>
    <row r="31" spans="1:10" ht="15.75">
      <c r="A31" s="847">
        <f t="shared" si="0"/>
        <v>19</v>
      </c>
      <c r="B31" s="394" t="s">
        <v>340</v>
      </c>
      <c r="C31" s="53"/>
      <c r="D31" s="53"/>
      <c r="E31" s="324">
        <f>ROUND('J-3 F'!K34,4)</f>
        <v>5.0900000000000001E-2</v>
      </c>
      <c r="F31" s="324"/>
      <c r="G31" s="324"/>
      <c r="H31" s="324"/>
      <c r="I31" s="324"/>
    </row>
  </sheetData>
  <mergeCells count="5">
    <mergeCell ref="A1:I1"/>
    <mergeCell ref="A2:I2"/>
    <mergeCell ref="A3:I3"/>
    <mergeCell ref="A4:I4"/>
    <mergeCell ref="A6:I6"/>
  </mergeCells>
  <phoneticPr fontId="22" type="noConversion"/>
  <pageMargins left="0.83" right="0.75" top="0.74" bottom="0.75" header="0.5" footer="0.19"/>
  <pageSetup scale="9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Q140"/>
  <sheetViews>
    <sheetView view="pageBreakPreview" topLeftCell="B1" zoomScale="70" zoomScaleNormal="70" zoomScaleSheetLayoutView="70" workbookViewId="0">
      <pane ySplit="11" topLeftCell="A45" activePane="bottomLeft" state="frozen"/>
      <selection activeCell="B6" sqref="B6"/>
      <selection pane="bottomLeft" activeCell="I75" sqref="I75"/>
    </sheetView>
  </sheetViews>
  <sheetFormatPr defaultColWidth="8.44140625" defaultRowHeight="15"/>
  <cols>
    <col min="1" max="1" width="5.77734375" style="1" customWidth="1"/>
    <col min="2" max="2" width="4" style="1" customWidth="1"/>
    <col min="3" max="3" width="49.33203125" style="1" customWidth="1"/>
    <col min="4" max="4" width="12.88671875" style="1" customWidth="1"/>
    <col min="5" max="5" width="11.88671875" style="1" bestFit="1" customWidth="1"/>
    <col min="6" max="6" width="11.77734375" style="1" customWidth="1"/>
    <col min="7" max="7" width="14" style="1" bestFit="1" customWidth="1"/>
    <col min="8" max="8" width="4.33203125" style="74" customWidth="1"/>
    <col min="9" max="9" width="14.77734375" style="1" bestFit="1" customWidth="1"/>
    <col min="10" max="11" width="11.88671875" style="1" customWidth="1"/>
    <col min="12" max="12" width="14.88671875" style="1" bestFit="1" customWidth="1"/>
    <col min="13" max="13" width="12.44140625" style="1" customWidth="1"/>
    <col min="14" max="14" width="7.21875" style="1" customWidth="1"/>
    <col min="15" max="15" width="7.5546875" style="1" customWidth="1"/>
    <col min="16" max="17" width="8.5546875" style="1" bestFit="1" customWidth="1"/>
    <col min="18" max="16384" width="8.44140625" style="1"/>
  </cols>
  <sheetData>
    <row r="1" spans="1:13">
      <c r="A1" s="1180" t="str">
        <f>Allocation!A1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</row>
    <row r="2" spans="1:13">
      <c r="A2" s="1180" t="str">
        <f>Allocation!A2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</row>
    <row r="3" spans="1:13">
      <c r="A3" s="1180" t="s">
        <v>515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</row>
    <row r="4" spans="1:13">
      <c r="A4" s="1180" t="str">
        <f>'B.1 F '!A4</f>
        <v>as of March 31, 2019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</row>
    <row r="5" spans="1:13">
      <c r="A5" s="31"/>
      <c r="B5" s="30"/>
      <c r="C5" s="30"/>
      <c r="D5" s="30"/>
      <c r="E5" s="30"/>
      <c r="F5" s="30"/>
      <c r="G5" s="30"/>
      <c r="H5" s="370"/>
      <c r="I5" s="30"/>
      <c r="J5" s="30"/>
      <c r="K5" s="30"/>
    </row>
    <row r="6" spans="1:13" ht="15.75">
      <c r="A6" s="48" t="s">
        <v>1064</v>
      </c>
      <c r="B6" s="48"/>
      <c r="C6" s="35"/>
      <c r="D6" s="592"/>
      <c r="L6" s="1" t="s">
        <v>1448</v>
      </c>
    </row>
    <row r="7" spans="1:13">
      <c r="A7" s="48" t="s">
        <v>1131</v>
      </c>
      <c r="B7" s="35"/>
      <c r="C7" s="48"/>
      <c r="L7" s="1" t="s">
        <v>715</v>
      </c>
    </row>
    <row r="8" spans="1:13">
      <c r="A8" s="48" t="s">
        <v>431</v>
      </c>
      <c r="B8" s="35"/>
      <c r="C8" s="35"/>
      <c r="D8" s="33"/>
      <c r="E8" s="35"/>
      <c r="F8" s="35"/>
      <c r="G8" s="35"/>
      <c r="I8" s="35"/>
      <c r="J8" s="35"/>
      <c r="L8" s="35" t="str">
        <f>'B.1 F '!F8</f>
        <v>Witness:   Waller</v>
      </c>
    </row>
    <row r="9" spans="1:13">
      <c r="A9" s="247"/>
      <c r="B9" s="59"/>
      <c r="C9" s="59"/>
      <c r="D9" s="480"/>
      <c r="E9" s="337" t="s">
        <v>13</v>
      </c>
      <c r="F9" s="338" t="s">
        <v>11</v>
      </c>
      <c r="G9" s="481" t="s">
        <v>98</v>
      </c>
      <c r="H9" s="75"/>
      <c r="I9" s="483"/>
      <c r="J9" s="337" t="s">
        <v>13</v>
      </c>
      <c r="K9" s="338" t="s">
        <v>11</v>
      </c>
      <c r="L9" s="388"/>
    </row>
    <row r="10" spans="1:13">
      <c r="A10" s="333" t="s">
        <v>94</v>
      </c>
      <c r="B10" s="34"/>
      <c r="C10" s="35"/>
      <c r="D10" s="334"/>
      <c r="E10" s="34" t="s">
        <v>14</v>
      </c>
      <c r="F10" s="75" t="s">
        <v>600</v>
      </c>
      <c r="G10" s="330" t="s">
        <v>1176</v>
      </c>
      <c r="H10" s="75"/>
      <c r="I10" s="333" t="s">
        <v>93</v>
      </c>
      <c r="J10" s="34" t="s">
        <v>14</v>
      </c>
      <c r="K10" s="75" t="s">
        <v>600</v>
      </c>
      <c r="L10" s="484" t="s">
        <v>12</v>
      </c>
    </row>
    <row r="11" spans="1:13">
      <c r="A11" s="331" t="s">
        <v>100</v>
      </c>
      <c r="B11" s="32"/>
      <c r="C11" s="56" t="s">
        <v>342</v>
      </c>
      <c r="D11" s="482" t="s">
        <v>1065</v>
      </c>
      <c r="E11" s="186" t="s">
        <v>633</v>
      </c>
      <c r="F11" s="186" t="s">
        <v>633</v>
      </c>
      <c r="G11" s="332" t="s">
        <v>106</v>
      </c>
      <c r="H11" s="75"/>
      <c r="I11" s="331" t="s">
        <v>99</v>
      </c>
      <c r="J11" s="186" t="s">
        <v>633</v>
      </c>
      <c r="K11" s="186" t="s">
        <v>633</v>
      </c>
      <c r="L11" s="485" t="s">
        <v>105</v>
      </c>
    </row>
    <row r="12" spans="1:13" ht="15.75">
      <c r="B12" s="12" t="s">
        <v>214</v>
      </c>
      <c r="E12" s="54"/>
      <c r="F12" s="54"/>
      <c r="G12" s="81"/>
      <c r="J12" s="54"/>
      <c r="K12" s="54"/>
    </row>
    <row r="13" spans="1:13">
      <c r="A13" s="2">
        <v>1</v>
      </c>
      <c r="C13" s="16" t="s">
        <v>679</v>
      </c>
      <c r="D13" s="305">
        <f>'WP B.5 F'!P13</f>
        <v>10404257.697957151</v>
      </c>
      <c r="E13" s="476">
        <v>1</v>
      </c>
      <c r="F13" s="476">
        <v>1</v>
      </c>
      <c r="G13" s="305">
        <f>D13*E13*F13</f>
        <v>10404257.697957151</v>
      </c>
      <c r="H13" s="77"/>
      <c r="I13" s="305">
        <f>'WP B.5 F'!Q13</f>
        <v>10404257.697957154</v>
      </c>
      <c r="J13" s="411">
        <f>E13</f>
        <v>1</v>
      </c>
      <c r="K13" s="411">
        <f>F13</f>
        <v>1</v>
      </c>
      <c r="L13" s="305">
        <f>I13*J13*K13</f>
        <v>10404257.697957154</v>
      </c>
      <c r="M13" s="310"/>
    </row>
    <row r="14" spans="1:13" ht="14.25" customHeight="1">
      <c r="A14" s="2">
        <v>2</v>
      </c>
      <c r="B14" s="373"/>
      <c r="C14" s="4"/>
      <c r="D14" s="77"/>
      <c r="E14" s="476"/>
      <c r="F14" s="476"/>
      <c r="G14" s="77"/>
      <c r="H14" s="77"/>
      <c r="I14" s="77"/>
      <c r="J14" s="76"/>
      <c r="K14" s="76"/>
      <c r="L14" s="77"/>
      <c r="M14" s="310"/>
    </row>
    <row r="15" spans="1:13">
      <c r="A15" s="2">
        <v>3</v>
      </c>
      <c r="C15" s="16" t="s">
        <v>680</v>
      </c>
      <c r="D15" s="73">
        <f>'WP B.5 F'!P15</f>
        <v>-69070982.167450726</v>
      </c>
      <c r="E15" s="476">
        <f>$E$13</f>
        <v>1</v>
      </c>
      <c r="F15" s="476">
        <f>$F$13</f>
        <v>1</v>
      </c>
      <c r="G15" s="73">
        <f>D15*E15*F15</f>
        <v>-69070982.167450726</v>
      </c>
      <c r="H15" s="77"/>
      <c r="I15" s="73">
        <f>'WP B.5 F'!Q15</f>
        <v>-68034398.13842757</v>
      </c>
      <c r="J15" s="411">
        <f>E15</f>
        <v>1</v>
      </c>
      <c r="K15" s="411">
        <f>F15</f>
        <v>1</v>
      </c>
      <c r="L15" s="73">
        <f>I15*J15*K15</f>
        <v>-68034398.13842757</v>
      </c>
      <c r="M15" s="310"/>
    </row>
    <row r="16" spans="1:13" ht="14.25" customHeight="1">
      <c r="A16" s="2">
        <v>4</v>
      </c>
      <c r="B16" s="373"/>
      <c r="C16" s="4"/>
      <c r="D16" s="77"/>
      <c r="E16" s="476"/>
      <c r="F16" s="476"/>
      <c r="G16" s="77"/>
      <c r="H16" s="77"/>
      <c r="I16" s="77"/>
      <c r="J16" s="76"/>
      <c r="K16" s="76"/>
      <c r="L16" s="77"/>
      <c r="M16" s="310"/>
    </row>
    <row r="17" spans="1:17">
      <c r="A17" s="2">
        <v>5</v>
      </c>
      <c r="C17" s="16" t="s">
        <v>681</v>
      </c>
      <c r="D17" s="73">
        <f>'WP B.5 F'!P17</f>
        <v>-58142</v>
      </c>
      <c r="E17" s="476">
        <f>$E$13</f>
        <v>1</v>
      </c>
      <c r="F17" s="476">
        <f>$F$13</f>
        <v>1</v>
      </c>
      <c r="G17" s="73">
        <f>D17*E17*F17</f>
        <v>-58142</v>
      </c>
      <c r="H17" s="77"/>
      <c r="I17" s="73">
        <f>'WP B.5 F'!Q17</f>
        <v>-58142</v>
      </c>
      <c r="J17" s="411">
        <f>E17</f>
        <v>1</v>
      </c>
      <c r="K17" s="411">
        <f>F17</f>
        <v>1</v>
      </c>
      <c r="L17" s="73">
        <f>I17*J17*K17</f>
        <v>-58142</v>
      </c>
      <c r="M17" s="310"/>
    </row>
    <row r="18" spans="1:17" ht="14.25" customHeight="1">
      <c r="A18" s="2">
        <v>6</v>
      </c>
      <c r="B18" s="373"/>
      <c r="C18" s="4"/>
      <c r="D18" s="77"/>
      <c r="E18" s="21"/>
      <c r="F18" s="21"/>
      <c r="G18" s="77"/>
      <c r="H18" s="77"/>
      <c r="I18" s="77"/>
      <c r="J18" s="76"/>
      <c r="K18" s="76"/>
      <c r="L18" s="77"/>
      <c r="M18" s="310"/>
    </row>
    <row r="19" spans="1:17">
      <c r="A19" s="2">
        <v>7</v>
      </c>
      <c r="C19" s="22" t="s">
        <v>31</v>
      </c>
      <c r="D19" s="574">
        <f>SUM(D13:D17)</f>
        <v>-58724866.469493575</v>
      </c>
      <c r="E19" s="21"/>
      <c r="F19" s="21"/>
      <c r="G19" s="574">
        <f>SUM(G13:G17)</f>
        <v>-58724866.469493575</v>
      </c>
      <c r="I19" s="574">
        <f>SUM(I13:I17)</f>
        <v>-57688282.440470412</v>
      </c>
      <c r="J19" s="222"/>
      <c r="K19" s="222"/>
      <c r="L19" s="574">
        <f>SUM(L13:L17)</f>
        <v>-57688282.440470412</v>
      </c>
      <c r="M19" s="310"/>
    </row>
    <row r="20" spans="1:17" ht="14.25" customHeight="1">
      <c r="A20" s="2">
        <v>8</v>
      </c>
      <c r="B20" s="373"/>
      <c r="C20" s="4"/>
      <c r="D20" s="77"/>
      <c r="E20" s="21"/>
      <c r="F20" s="21"/>
      <c r="G20" s="77"/>
      <c r="H20" s="77"/>
      <c r="I20" s="77"/>
      <c r="J20" s="76"/>
      <c r="K20" s="76"/>
      <c r="L20" s="77"/>
      <c r="M20" s="310"/>
    </row>
    <row r="21" spans="1:17" ht="15.75">
      <c r="A21" s="2">
        <v>9</v>
      </c>
      <c r="B21" s="12" t="s">
        <v>215</v>
      </c>
      <c r="E21" s="54"/>
      <c r="F21" s="54"/>
      <c r="J21" s="54"/>
      <c r="K21" s="54"/>
      <c r="M21" s="310"/>
    </row>
    <row r="22" spans="1:17">
      <c r="A22" s="2">
        <v>10</v>
      </c>
      <c r="C22" s="16" t="s">
        <v>679</v>
      </c>
      <c r="D22" s="305">
        <f>'WP B.5 F'!P22</f>
        <v>508862755</v>
      </c>
      <c r="E22" s="397">
        <f>Allocation!C14</f>
        <v>0.10349999999999999</v>
      </c>
      <c r="F22" s="397">
        <f>Allocation!D14</f>
        <v>0.5025136071712456</v>
      </c>
      <c r="G22" s="305">
        <f>D22*E22*F22</f>
        <v>26466032.462010294</v>
      </c>
      <c r="H22" s="77"/>
      <c r="I22" s="305">
        <f>'WP B.5 F'!Q22</f>
        <v>508862755</v>
      </c>
      <c r="J22" s="421">
        <f>E22</f>
        <v>0.10349999999999999</v>
      </c>
      <c r="K22" s="421">
        <f>F22</f>
        <v>0.5025136071712456</v>
      </c>
      <c r="L22" s="305">
        <f>I22*J22*K22</f>
        <v>26466032.462010294</v>
      </c>
      <c r="M22" s="310"/>
      <c r="P22" s="817">
        <f>E22*F22</f>
        <v>5.2010158342223917E-2</v>
      </c>
      <c r="Q22" s="817">
        <f>J22*K22</f>
        <v>5.2010158342223917E-2</v>
      </c>
    </row>
    <row r="23" spans="1:17">
      <c r="A23" s="2">
        <v>11</v>
      </c>
      <c r="D23" s="73"/>
      <c r="E23" s="21"/>
      <c r="F23" s="21"/>
      <c r="G23" s="73"/>
      <c r="H23" s="77"/>
      <c r="I23" s="73"/>
      <c r="J23" s="479"/>
      <c r="K23" s="479"/>
      <c r="L23" s="73"/>
      <c r="M23" s="310"/>
      <c r="P23" s="817"/>
      <c r="Q23" s="818"/>
    </row>
    <row r="24" spans="1:17">
      <c r="A24" s="2">
        <v>12</v>
      </c>
      <c r="C24" s="16" t="s">
        <v>680</v>
      </c>
      <c r="D24" s="73">
        <f>'WP B.5 F'!P24</f>
        <v>-17108074.112478223</v>
      </c>
      <c r="E24" s="397">
        <f>$E$22</f>
        <v>0.10349999999999999</v>
      </c>
      <c r="F24" s="397">
        <f>$F$22</f>
        <v>0.5025136071712456</v>
      </c>
      <c r="G24" s="73">
        <f>D24*E24*F24</f>
        <v>-889793.64352049422</v>
      </c>
      <c r="H24" s="77"/>
      <c r="I24" s="73">
        <f>'WP B.5 F'!Q24</f>
        <v>-16654266.34376389</v>
      </c>
      <c r="J24" s="421">
        <f>E24</f>
        <v>0.10349999999999999</v>
      </c>
      <c r="K24" s="421">
        <f>F24</f>
        <v>0.5025136071712456</v>
      </c>
      <c r="L24" s="73">
        <f>I24*J24*K24</f>
        <v>-866191.02961273049</v>
      </c>
      <c r="M24" s="310"/>
      <c r="P24" s="817">
        <f>E24*F24</f>
        <v>5.2010158342223917E-2</v>
      </c>
      <c r="Q24" s="817">
        <f>J24*K24</f>
        <v>5.2010158342223917E-2</v>
      </c>
    </row>
    <row r="25" spans="1:17" ht="14.25" customHeight="1">
      <c r="A25" s="2">
        <v>13</v>
      </c>
      <c r="B25" s="373"/>
      <c r="C25" s="4"/>
      <c r="D25" s="77"/>
      <c r="E25" s="21"/>
      <c r="F25" s="21"/>
      <c r="G25" s="77"/>
      <c r="H25" s="77"/>
      <c r="I25" s="77"/>
      <c r="J25" s="76"/>
      <c r="K25" s="76"/>
      <c r="L25" s="77"/>
      <c r="M25" s="310"/>
      <c r="P25" s="817"/>
      <c r="Q25" s="818"/>
    </row>
    <row r="26" spans="1:17">
      <c r="A26" s="2">
        <v>14</v>
      </c>
      <c r="C26" s="16" t="s">
        <v>681</v>
      </c>
      <c r="D26" s="73">
        <f>'WP B.5 F'!P26</f>
        <v>27259100.240345001</v>
      </c>
      <c r="E26" s="397">
        <f>$E$22</f>
        <v>0.10349999999999999</v>
      </c>
      <c r="F26" s="397">
        <f>$F$22</f>
        <v>0.5025136071712456</v>
      </c>
      <c r="G26" s="73">
        <f>D26*E26*F26</f>
        <v>1417750.1197668975</v>
      </c>
      <c r="H26" s="77"/>
      <c r="I26" s="73">
        <f>'WP B.5 F'!Q26</f>
        <v>27259100.240345001</v>
      </c>
      <c r="J26" s="421">
        <f>E26</f>
        <v>0.10349999999999999</v>
      </c>
      <c r="K26" s="421">
        <f>F26</f>
        <v>0.5025136071712456</v>
      </c>
      <c r="L26" s="73">
        <f>I26*J26*K26</f>
        <v>1417750.1197668975</v>
      </c>
      <c r="M26" s="310"/>
      <c r="P26" s="817">
        <f>E26*F26</f>
        <v>5.2010158342223917E-2</v>
      </c>
      <c r="Q26" s="817">
        <f>J26*K26</f>
        <v>5.2010158342223917E-2</v>
      </c>
    </row>
    <row r="27" spans="1:17" ht="14.25" customHeight="1">
      <c r="A27" s="2">
        <v>15</v>
      </c>
      <c r="D27" s="73"/>
      <c r="E27" s="21"/>
      <c r="F27" s="21"/>
      <c r="G27" s="73"/>
      <c r="H27" s="77"/>
      <c r="I27" s="73"/>
      <c r="J27" s="479"/>
      <c r="K27" s="479"/>
      <c r="L27" s="73"/>
      <c r="M27" s="310"/>
      <c r="P27" s="818"/>
      <c r="Q27" s="818"/>
    </row>
    <row r="28" spans="1:17">
      <c r="A28" s="2">
        <v>16</v>
      </c>
      <c r="C28" s="22" t="s">
        <v>69</v>
      </c>
      <c r="D28" s="574">
        <f>SUM(D22:D26)</f>
        <v>519013781.1278668</v>
      </c>
      <c r="E28" s="21"/>
      <c r="F28" s="21"/>
      <c r="G28" s="574">
        <f>SUM(G22:G26)</f>
        <v>26993988.9382567</v>
      </c>
      <c r="I28" s="574">
        <f>SUM(I22:I26)</f>
        <v>519467588.89658111</v>
      </c>
      <c r="J28" s="76"/>
      <c r="K28" s="76"/>
      <c r="L28" s="574">
        <f>SUM(L22:L26)</f>
        <v>27017591.552164461</v>
      </c>
      <c r="M28" s="310"/>
      <c r="P28" s="818"/>
      <c r="Q28" s="818"/>
    </row>
    <row r="29" spans="1:17" ht="15.75">
      <c r="A29" s="2">
        <v>17</v>
      </c>
      <c r="B29" s="12" t="s">
        <v>1126</v>
      </c>
      <c r="E29" s="54"/>
      <c r="F29" s="54"/>
      <c r="J29" s="54"/>
      <c r="K29" s="54"/>
      <c r="M29" s="310"/>
      <c r="P29" s="818"/>
      <c r="Q29" s="818"/>
    </row>
    <row r="30" spans="1:17">
      <c r="A30" s="2">
        <v>18</v>
      </c>
      <c r="C30" s="16" t="s">
        <v>679</v>
      </c>
      <c r="D30" s="305">
        <f>'WP B.5 F'!P30</f>
        <v>6868</v>
      </c>
      <c r="E30" s="397">
        <f>Allocation!C15</f>
        <v>0.10929999999999999</v>
      </c>
      <c r="F30" s="397">
        <f>Allocation!D15</f>
        <v>0.51883860656465508</v>
      </c>
      <c r="G30" s="305">
        <f>D30*E30*F30</f>
        <v>389.47782200254534</v>
      </c>
      <c r="H30" s="77"/>
      <c r="I30" s="305">
        <f>'WP B.5 F'!Q30</f>
        <v>6868</v>
      </c>
      <c r="J30" s="421">
        <f>E30</f>
        <v>0.10929999999999999</v>
      </c>
      <c r="K30" s="421">
        <f>F30</f>
        <v>0.51883860656465508</v>
      </c>
      <c r="L30" s="305">
        <f>I30*J30*K30</f>
        <v>389.47782200254534</v>
      </c>
      <c r="M30" s="310"/>
      <c r="P30" s="817">
        <f>E30*F30</f>
        <v>5.67090596975168E-2</v>
      </c>
      <c r="Q30" s="817">
        <f>J30*K30</f>
        <v>5.67090596975168E-2</v>
      </c>
    </row>
    <row r="31" spans="1:17">
      <c r="A31" s="2">
        <v>19</v>
      </c>
      <c r="B31" s="373"/>
      <c r="C31" s="4"/>
      <c r="D31" s="77"/>
      <c r="E31" s="21"/>
      <c r="F31" s="21"/>
      <c r="G31" s="77"/>
      <c r="H31" s="77"/>
      <c r="I31" s="77"/>
      <c r="J31" s="76"/>
      <c r="K31" s="76"/>
      <c r="L31" s="77"/>
      <c r="M31" s="310"/>
      <c r="P31" s="817"/>
      <c r="Q31" s="818"/>
    </row>
    <row r="32" spans="1:17">
      <c r="A32" s="2">
        <v>20</v>
      </c>
      <c r="C32" s="16" t="s">
        <v>680</v>
      </c>
      <c r="D32" s="73">
        <f>'WP B.5 F'!P32</f>
        <v>-14896581.685060639</v>
      </c>
      <c r="E32" s="397">
        <f>$E$30</f>
        <v>0.10929999999999999</v>
      </c>
      <c r="F32" s="397">
        <f>$F$30</f>
        <v>0.51883860656465508</v>
      </c>
      <c r="G32" s="73">
        <f>D32*E32*F32</f>
        <v>-844771.14006703917</v>
      </c>
      <c r="H32" s="77"/>
      <c r="I32" s="73">
        <f>'WP B.5 F'!Q32</f>
        <v>-15622977.684505232</v>
      </c>
      <c r="J32" s="421">
        <f>E32</f>
        <v>0.10929999999999999</v>
      </c>
      <c r="K32" s="421">
        <f>F32</f>
        <v>0.51883860656465508</v>
      </c>
      <c r="L32" s="73">
        <f>I32*J32*K32</f>
        <v>-885964.37416358001</v>
      </c>
      <c r="M32" s="310"/>
      <c r="P32" s="817">
        <f>E32*F32</f>
        <v>5.67090596975168E-2</v>
      </c>
      <c r="Q32" s="817">
        <f>J32*K32</f>
        <v>5.67090596975168E-2</v>
      </c>
    </row>
    <row r="33" spans="1:17">
      <c r="A33" s="2">
        <v>21</v>
      </c>
      <c r="B33" s="373"/>
      <c r="C33" s="4"/>
      <c r="D33" s="77"/>
      <c r="E33" s="21"/>
      <c r="F33" s="21"/>
      <c r="G33" s="77"/>
      <c r="H33" s="77"/>
      <c r="I33" s="77"/>
      <c r="J33" s="76"/>
      <c r="K33" s="76"/>
      <c r="L33" s="77"/>
      <c r="M33" s="310"/>
      <c r="P33" s="817"/>
      <c r="Q33" s="818"/>
    </row>
    <row r="34" spans="1:17">
      <c r="A34" s="2">
        <v>22</v>
      </c>
      <c r="C34" s="16" t="s">
        <v>681</v>
      </c>
      <c r="D34" s="73">
        <f>'WP B.5 F'!P34</f>
        <v>-298010</v>
      </c>
      <c r="E34" s="397">
        <f>$E$30</f>
        <v>0.10929999999999999</v>
      </c>
      <c r="F34" s="397">
        <f>$F$30</f>
        <v>0.51883860656465508</v>
      </c>
      <c r="G34" s="73">
        <f>D34*E34*F34</f>
        <v>-16899.866880456982</v>
      </c>
      <c r="H34" s="77"/>
      <c r="I34" s="73">
        <f>'WP B.5 F'!Q34</f>
        <v>-298010</v>
      </c>
      <c r="J34" s="421">
        <f>E34</f>
        <v>0.10929999999999999</v>
      </c>
      <c r="K34" s="421">
        <f>F34</f>
        <v>0.51883860656465508</v>
      </c>
      <c r="L34" s="73">
        <f>I34*J34*K34</f>
        <v>-16899.866880456982</v>
      </c>
      <c r="M34" s="310"/>
      <c r="P34" s="817">
        <f>E34*F34</f>
        <v>5.67090596975168E-2</v>
      </c>
      <c r="Q34" s="817">
        <f>J34*K34</f>
        <v>5.67090596975168E-2</v>
      </c>
    </row>
    <row r="35" spans="1:17">
      <c r="A35" s="2">
        <v>23</v>
      </c>
      <c r="D35" s="73"/>
      <c r="E35" s="21"/>
      <c r="F35" s="21"/>
      <c r="G35" s="73"/>
      <c r="H35" s="77"/>
      <c r="I35" s="73"/>
      <c r="J35" s="479"/>
      <c r="K35" s="479"/>
      <c r="L35" s="73"/>
      <c r="M35" s="310"/>
      <c r="P35" s="818"/>
      <c r="Q35" s="818"/>
    </row>
    <row r="36" spans="1:17">
      <c r="A36" s="2">
        <v>24</v>
      </c>
      <c r="C36" s="22" t="s">
        <v>725</v>
      </c>
      <c r="D36" s="574">
        <f>SUM(D30:D34)</f>
        <v>-15187723.685060639</v>
      </c>
      <c r="E36" s="21"/>
      <c r="F36" s="21"/>
      <c r="G36" s="574">
        <f>SUM(G30:G34)</f>
        <v>-861281.52912549372</v>
      </c>
      <c r="I36" s="574">
        <f>SUM(I30:I34)</f>
        <v>-15914119.684505232</v>
      </c>
      <c r="J36" s="76"/>
      <c r="K36" s="76"/>
      <c r="L36" s="574">
        <f>SUM(L30:L34)</f>
        <v>-902474.76322203455</v>
      </c>
      <c r="M36" s="310"/>
      <c r="P36" s="818"/>
      <c r="Q36" s="818"/>
    </row>
    <row r="37" spans="1:17" ht="15.75">
      <c r="A37" s="2">
        <v>25</v>
      </c>
      <c r="B37" s="12" t="s">
        <v>682</v>
      </c>
      <c r="E37" s="54"/>
      <c r="F37" s="54"/>
      <c r="J37" s="54"/>
      <c r="K37" s="54"/>
      <c r="M37" s="310"/>
      <c r="P37" s="818"/>
      <c r="Q37" s="818"/>
    </row>
    <row r="38" spans="1:17">
      <c r="A38" s="2">
        <v>26</v>
      </c>
      <c r="C38" s="16" t="s">
        <v>679</v>
      </c>
      <c r="D38" s="305">
        <f>'WP B.5 F'!P39</f>
        <v>970543</v>
      </c>
      <c r="E38" s="477">
        <v>1</v>
      </c>
      <c r="F38" s="397">
        <f>Allocation!D17</f>
        <v>0.5025136071712456</v>
      </c>
      <c r="G38" s="305">
        <f>D38*E38*F38</f>
        <v>487711.06384480221</v>
      </c>
      <c r="H38" s="77"/>
      <c r="I38" s="305">
        <f>'WP B.5 F'!Q39</f>
        <v>970543</v>
      </c>
      <c r="J38" s="477">
        <f>E38</f>
        <v>1</v>
      </c>
      <c r="K38" s="397">
        <f>F38</f>
        <v>0.5025136071712456</v>
      </c>
      <c r="L38" s="305">
        <f>I38*J38*K38</f>
        <v>487711.06384480221</v>
      </c>
      <c r="M38" s="310"/>
      <c r="P38" s="817">
        <f>E38*F38</f>
        <v>0.5025136071712456</v>
      </c>
      <c r="Q38" s="817">
        <f>J38*K38</f>
        <v>0.5025136071712456</v>
      </c>
    </row>
    <row r="39" spans="1:17">
      <c r="A39" s="2">
        <v>27</v>
      </c>
      <c r="D39" s="73"/>
      <c r="E39" s="21"/>
      <c r="F39" s="21"/>
      <c r="G39" s="73"/>
      <c r="H39" s="77"/>
      <c r="I39" s="73"/>
      <c r="J39" s="479"/>
      <c r="K39" s="479"/>
      <c r="L39" s="73"/>
      <c r="M39" s="310"/>
      <c r="P39" s="817"/>
      <c r="Q39" s="818"/>
    </row>
    <row r="40" spans="1:17">
      <c r="A40" s="2">
        <v>28</v>
      </c>
      <c r="C40" s="16" t="s">
        <v>444</v>
      </c>
      <c r="D40" s="73">
        <f>'WP B.5 F'!P45</f>
        <v>0</v>
      </c>
      <c r="E40" s="477">
        <f>$E$38</f>
        <v>1</v>
      </c>
      <c r="F40" s="397">
        <f>$F$38</f>
        <v>0.5025136071712456</v>
      </c>
      <c r="G40" s="73">
        <f>D40*E40*F40</f>
        <v>0</v>
      </c>
      <c r="H40" s="77"/>
      <c r="I40" s="73">
        <f>'WP B.5 F'!Q45</f>
        <v>0</v>
      </c>
      <c r="J40" s="477">
        <f>E40</f>
        <v>1</v>
      </c>
      <c r="K40" s="397">
        <f>F40</f>
        <v>0.5025136071712456</v>
      </c>
      <c r="L40" s="73">
        <f>I40*J40*K40</f>
        <v>0</v>
      </c>
      <c r="M40" s="310"/>
      <c r="P40" s="817">
        <f>E40*F40</f>
        <v>0.5025136071712456</v>
      </c>
      <c r="Q40" s="817">
        <f>J40*K40</f>
        <v>0.5025136071712456</v>
      </c>
    </row>
    <row r="41" spans="1:17">
      <c r="A41" s="2">
        <v>29</v>
      </c>
      <c r="D41" s="73"/>
      <c r="E41" s="21"/>
      <c r="F41" s="21"/>
      <c r="G41" s="73"/>
      <c r="H41" s="77"/>
      <c r="I41" s="73"/>
      <c r="J41" s="479"/>
      <c r="K41" s="479"/>
      <c r="L41" s="73"/>
      <c r="M41" s="310"/>
      <c r="P41" s="817"/>
      <c r="Q41" s="818"/>
    </row>
    <row r="42" spans="1:17">
      <c r="A42" s="2">
        <v>30</v>
      </c>
      <c r="C42" s="16" t="s">
        <v>680</v>
      </c>
      <c r="D42" s="73">
        <f>'WP B.5 F'!P41</f>
        <v>-7295497.4643886909</v>
      </c>
      <c r="E42" s="477">
        <f>$E$38</f>
        <v>1</v>
      </c>
      <c r="F42" s="397">
        <f>$F$38</f>
        <v>0.5025136071712456</v>
      </c>
      <c r="G42" s="73">
        <f>D42*E42*F42</f>
        <v>-3666086.746938637</v>
      </c>
      <c r="H42" s="77"/>
      <c r="I42" s="73">
        <f>'WP B.5 F'!Q41</f>
        <v>-7302626.6525414605</v>
      </c>
      <c r="J42" s="477">
        <f>E42</f>
        <v>1</v>
      </c>
      <c r="K42" s="397">
        <f>F42</f>
        <v>0.5025136071712456</v>
      </c>
      <c r="L42" s="73">
        <f>I42*J42*K42</f>
        <v>-3669669.2609934877</v>
      </c>
      <c r="M42" s="310"/>
      <c r="P42" s="817">
        <f>E42*F42</f>
        <v>0.5025136071712456</v>
      </c>
      <c r="Q42" s="817">
        <f>J42*K42</f>
        <v>0.5025136071712456</v>
      </c>
    </row>
    <row r="43" spans="1:17">
      <c r="A43" s="2">
        <v>31</v>
      </c>
      <c r="D43" s="73"/>
      <c r="E43" s="21"/>
      <c r="F43" s="21"/>
      <c r="G43" s="73"/>
      <c r="H43" s="77"/>
      <c r="I43" s="73"/>
      <c r="J43" s="479"/>
      <c r="K43" s="479"/>
      <c r="L43" s="73"/>
      <c r="M43" s="310"/>
      <c r="P43" s="818"/>
      <c r="Q43" s="818"/>
    </row>
    <row r="44" spans="1:17">
      <c r="A44" s="2">
        <v>32</v>
      </c>
      <c r="C44" s="16" t="s">
        <v>681</v>
      </c>
      <c r="D44" s="73">
        <f>'WP B.5 F'!P43</f>
        <v>-835959</v>
      </c>
      <c r="E44" s="477">
        <f>$E$38</f>
        <v>1</v>
      </c>
      <c r="F44" s="397">
        <f>$F$38</f>
        <v>0.5025136071712456</v>
      </c>
      <c r="G44" s="73">
        <f>D44*E44*F44</f>
        <v>-420080.7725372673</v>
      </c>
      <c r="H44" s="77"/>
      <c r="I44" s="73">
        <f>'WP B.5 F'!Q43</f>
        <v>-835959</v>
      </c>
      <c r="J44" s="477">
        <f>E44</f>
        <v>1</v>
      </c>
      <c r="K44" s="397">
        <f>F44</f>
        <v>0.5025136071712456</v>
      </c>
      <c r="L44" s="73">
        <f>I44*J44*K44</f>
        <v>-420080.7725372673</v>
      </c>
      <c r="M44" s="310"/>
      <c r="P44" s="817">
        <f>E44*F44</f>
        <v>0.5025136071712456</v>
      </c>
      <c r="Q44" s="817">
        <f>J44*K44</f>
        <v>0.5025136071712456</v>
      </c>
    </row>
    <row r="45" spans="1:17">
      <c r="A45" s="2">
        <v>33</v>
      </c>
      <c r="D45" s="73"/>
      <c r="E45" s="21"/>
      <c r="F45" s="21"/>
      <c r="G45" s="73"/>
      <c r="H45" s="77"/>
      <c r="I45" s="73"/>
      <c r="J45" s="479"/>
      <c r="K45" s="479"/>
      <c r="L45" s="73"/>
      <c r="M45" s="310"/>
      <c r="P45" s="397"/>
      <c r="Q45" s="397"/>
    </row>
    <row r="46" spans="1:17">
      <c r="A46" s="2">
        <v>34</v>
      </c>
      <c r="C46" s="22" t="s">
        <v>443</v>
      </c>
      <c r="D46" s="574">
        <f>SUM(D38:D44)</f>
        <v>-7160913.4643886909</v>
      </c>
      <c r="E46" s="21"/>
      <c r="F46" s="21"/>
      <c r="G46" s="574">
        <f>SUM(G38:G44)</f>
        <v>-3598456.455631102</v>
      </c>
      <c r="I46" s="574">
        <f>SUM(I38:I44)</f>
        <v>-7168042.6525414605</v>
      </c>
      <c r="J46" s="76"/>
      <c r="K46" s="76"/>
      <c r="L46" s="574">
        <f>SUM(L38:L44)</f>
        <v>-3602038.9696859526</v>
      </c>
      <c r="M46" s="310"/>
    </row>
    <row r="47" spans="1:17">
      <c r="A47" s="2">
        <v>35</v>
      </c>
      <c r="E47" s="54"/>
      <c r="F47" s="54"/>
      <c r="J47" s="54"/>
      <c r="K47" s="54"/>
      <c r="M47" s="310"/>
    </row>
    <row r="48" spans="1:17">
      <c r="A48" s="2">
        <v>36</v>
      </c>
      <c r="E48" s="54"/>
      <c r="F48" s="54"/>
      <c r="J48" s="54"/>
      <c r="K48" s="54"/>
      <c r="M48" s="310"/>
    </row>
    <row r="49" spans="1:12" ht="15.75">
      <c r="A49" s="2">
        <v>37</v>
      </c>
      <c r="B49" s="35"/>
      <c r="C49" s="513" t="s">
        <v>727</v>
      </c>
      <c r="D49" s="545">
        <f>D46+D36+D28+D19</f>
        <v>437940277.50892389</v>
      </c>
      <c r="E49" s="54"/>
      <c r="F49" s="54"/>
      <c r="G49" s="545">
        <f>G46+G36+G28+G19</f>
        <v>-36190615.515993476</v>
      </c>
      <c r="I49" s="545">
        <f>I46+I36+I28+I19</f>
        <v>438697144.11906403</v>
      </c>
      <c r="J49" s="54"/>
      <c r="K49" s="54"/>
      <c r="L49" s="545">
        <f>L46+L36+L28+L19</f>
        <v>-35175204.621213943</v>
      </c>
    </row>
    <row r="50" spans="1:12">
      <c r="A50" s="812">
        <v>38</v>
      </c>
      <c r="B50" s="35"/>
      <c r="C50" s="826" t="s">
        <v>1494</v>
      </c>
      <c r="E50" s="54"/>
      <c r="F50" s="54"/>
      <c r="J50" s="54"/>
      <c r="K50" s="54"/>
    </row>
    <row r="51" spans="1:12" ht="15.75">
      <c r="A51" s="812">
        <v>39</v>
      </c>
      <c r="B51" s="35"/>
      <c r="C51" s="102" t="s">
        <v>1488</v>
      </c>
      <c r="E51" s="54"/>
      <c r="F51" s="54"/>
      <c r="J51" s="54"/>
      <c r="K51" s="54"/>
      <c r="L51" s="1">
        <f>I73</f>
        <v>-6731374.0673868535</v>
      </c>
    </row>
    <row r="52" spans="1:12">
      <c r="A52" s="812">
        <v>40</v>
      </c>
      <c r="B52" s="35"/>
      <c r="C52" s="92"/>
      <c r="E52" s="813"/>
      <c r="F52" s="813"/>
      <c r="J52" s="813"/>
      <c r="K52" s="813"/>
    </row>
    <row r="53" spans="1:12" ht="16.5" thickBot="1">
      <c r="A53" s="812">
        <v>41</v>
      </c>
      <c r="B53" s="35"/>
      <c r="C53" s="102" t="s">
        <v>1489</v>
      </c>
      <c r="E53" s="813"/>
      <c r="F53" s="813"/>
      <c r="J53" s="813"/>
      <c r="K53" s="813"/>
      <c r="L53" s="823">
        <f>L49+L51</f>
        <v>-41906578.688600793</v>
      </c>
    </row>
    <row r="54" spans="1:12" ht="15.75" thickTop="1">
      <c r="A54" s="812">
        <v>42</v>
      </c>
      <c r="B54" s="35"/>
      <c r="E54" s="813"/>
      <c r="F54" s="813"/>
      <c r="J54" s="813"/>
      <c r="K54" s="813"/>
    </row>
    <row r="55" spans="1:12" ht="15.75">
      <c r="A55" s="812">
        <v>43</v>
      </c>
      <c r="B55" s="35"/>
      <c r="C55" s="828" t="s">
        <v>1472</v>
      </c>
      <c r="D55" s="59"/>
      <c r="E55" s="337"/>
      <c r="F55" s="337"/>
      <c r="G55" s="59"/>
      <c r="H55" s="829"/>
      <c r="I55" s="59"/>
      <c r="J55" s="54"/>
      <c r="K55" s="54"/>
    </row>
    <row r="56" spans="1:12" ht="15.75">
      <c r="A56" s="812">
        <v>44</v>
      </c>
      <c r="B56" s="35"/>
      <c r="C56" s="830" t="s">
        <v>1473</v>
      </c>
      <c r="D56" s="35"/>
      <c r="E56" s="222"/>
      <c r="F56" s="222"/>
      <c r="G56" s="35"/>
      <c r="I56" s="35"/>
      <c r="J56" s="54"/>
      <c r="K56" s="54"/>
    </row>
    <row r="57" spans="1:12">
      <c r="A57" s="812">
        <v>45</v>
      </c>
      <c r="F57" s="812" t="s">
        <v>59</v>
      </c>
      <c r="I57" s="812"/>
      <c r="J57" s="54"/>
      <c r="K57" s="54"/>
    </row>
    <row r="58" spans="1:12">
      <c r="A58" s="812">
        <v>46</v>
      </c>
      <c r="C58" s="5" t="s">
        <v>1475</v>
      </c>
      <c r="D58" s="808"/>
      <c r="E58" s="808"/>
      <c r="F58" s="815" t="s">
        <v>102</v>
      </c>
      <c r="G58" s="808"/>
      <c r="H58" s="816"/>
      <c r="I58" s="815"/>
      <c r="J58" s="54"/>
      <c r="K58" s="54"/>
    </row>
    <row r="59" spans="1:12">
      <c r="A59" s="812">
        <v>47</v>
      </c>
      <c r="B59" s="35"/>
      <c r="F59" s="813"/>
      <c r="J59" s="54"/>
      <c r="K59" s="54"/>
    </row>
    <row r="60" spans="1:12">
      <c r="A60" s="812">
        <v>48</v>
      </c>
      <c r="B60" s="35"/>
      <c r="C60" s="1" t="s">
        <v>1474</v>
      </c>
      <c r="F60" s="813" t="s">
        <v>1476</v>
      </c>
      <c r="I60" s="1">
        <f>'B.1 F '!F27</f>
        <v>427151221.15514958</v>
      </c>
      <c r="J60" s="54"/>
      <c r="K60" s="54"/>
    </row>
    <row r="61" spans="1:12">
      <c r="A61" s="812">
        <v>49</v>
      </c>
      <c r="B61" s="35"/>
      <c r="F61" s="813"/>
      <c r="J61" s="54"/>
      <c r="K61" s="54"/>
    </row>
    <row r="62" spans="1:12">
      <c r="A62" s="812">
        <v>50</v>
      </c>
      <c r="B62" s="35"/>
      <c r="C62" s="1" t="s">
        <v>1477</v>
      </c>
      <c r="F62" s="813" t="s">
        <v>1478</v>
      </c>
      <c r="I62" s="1">
        <f>A.1!G24</f>
        <v>32976074</v>
      </c>
      <c r="J62" s="54"/>
      <c r="K62" s="54"/>
    </row>
    <row r="63" spans="1:12">
      <c r="A63" s="812">
        <v>51</v>
      </c>
      <c r="B63" s="35"/>
      <c r="F63" s="813"/>
      <c r="J63" s="54"/>
      <c r="K63" s="54"/>
    </row>
    <row r="64" spans="1:12">
      <c r="A64" s="812">
        <v>52</v>
      </c>
      <c r="B64" s="35"/>
      <c r="C64" s="1" t="s">
        <v>212</v>
      </c>
      <c r="F64" s="813" t="s">
        <v>1479</v>
      </c>
      <c r="I64" s="1">
        <f>E!G32</f>
        <v>9854613.6052209362</v>
      </c>
      <c r="J64" s="54"/>
      <c r="K64" s="54"/>
    </row>
    <row r="65" spans="1:11">
      <c r="A65" s="812">
        <v>53</v>
      </c>
      <c r="B65" s="35"/>
      <c r="F65" s="813"/>
      <c r="J65" s="54"/>
      <c r="K65" s="54"/>
    </row>
    <row r="66" spans="1:11">
      <c r="A66" s="812">
        <v>54</v>
      </c>
      <c r="B66" s="35"/>
      <c r="C66" s="1" t="s">
        <v>1480</v>
      </c>
      <c r="F66" s="813" t="s">
        <v>1498</v>
      </c>
      <c r="I66" s="1">
        <f>I62-I64</f>
        <v>23121460.394779064</v>
      </c>
      <c r="J66" s="54"/>
      <c r="K66" s="54"/>
    </row>
    <row r="67" spans="1:11">
      <c r="A67" s="812">
        <v>55</v>
      </c>
      <c r="B67" s="35"/>
      <c r="F67" s="813"/>
      <c r="J67" s="54"/>
      <c r="K67" s="54"/>
    </row>
    <row r="68" spans="1:11">
      <c r="A68" s="812">
        <v>56</v>
      </c>
      <c r="B68" s="35"/>
      <c r="C68" s="1" t="s">
        <v>1481</v>
      </c>
      <c r="D68" s="413">
        <f>Allocation!E25</f>
        <v>0.25740000000000002</v>
      </c>
      <c r="F68" s="813" t="s">
        <v>1500</v>
      </c>
      <c r="I68" s="1">
        <f>I66/(1-D68)</f>
        <v>31135820.623187538</v>
      </c>
      <c r="J68" s="54"/>
      <c r="K68" s="54"/>
    </row>
    <row r="69" spans="1:11">
      <c r="A69" s="812">
        <v>57</v>
      </c>
      <c r="B69" s="35"/>
      <c r="F69" s="813"/>
      <c r="J69" s="54"/>
      <c r="K69" s="54"/>
    </row>
    <row r="70" spans="1:11">
      <c r="A70" s="812">
        <v>58</v>
      </c>
      <c r="B70" s="35"/>
      <c r="C70" s="1" t="s">
        <v>1490</v>
      </c>
      <c r="D70" s="413">
        <f>D68</f>
        <v>0.25740000000000002</v>
      </c>
      <c r="F70" s="813" t="s">
        <v>1499</v>
      </c>
      <c r="I70" s="819">
        <f>I68*D70</f>
        <v>8014360.2284084726</v>
      </c>
      <c r="J70" s="54"/>
      <c r="K70" s="54"/>
    </row>
    <row r="71" spans="1:11">
      <c r="A71" s="812">
        <v>59</v>
      </c>
      <c r="F71" s="813"/>
      <c r="J71" s="54"/>
      <c r="K71" s="54"/>
    </row>
    <row r="72" spans="1:11">
      <c r="A72" s="812">
        <v>60</v>
      </c>
      <c r="C72" s="1" t="s">
        <v>1486</v>
      </c>
      <c r="F72" s="813" t="s">
        <v>1501</v>
      </c>
      <c r="I72" s="35">
        <f>L49-'B.5 B'!G49</f>
        <v>-1282986.16102162</v>
      </c>
      <c r="J72" s="813"/>
      <c r="K72" s="813"/>
    </row>
    <row r="73" spans="1:11">
      <c r="A73" s="812">
        <v>61</v>
      </c>
      <c r="C73" s="1" t="s">
        <v>1487</v>
      </c>
      <c r="F73" s="813"/>
      <c r="I73" s="808">
        <v>-6731374.0673868535</v>
      </c>
      <c r="J73" s="813"/>
      <c r="K73" s="813">
        <f>I70+I75</f>
        <v>0</v>
      </c>
    </row>
    <row r="74" spans="1:11">
      <c r="A74" s="812">
        <v>62</v>
      </c>
      <c r="F74" s="813"/>
      <c r="J74" s="813"/>
      <c r="K74" s="813"/>
    </row>
    <row r="75" spans="1:11" ht="16.5" thickBot="1">
      <c r="A75" s="812">
        <v>63</v>
      </c>
      <c r="C75" s="102" t="s">
        <v>1492</v>
      </c>
      <c r="D75" s="102"/>
      <c r="E75" s="102"/>
      <c r="F75" s="814" t="s">
        <v>1482</v>
      </c>
      <c r="G75" s="102"/>
      <c r="H75" s="824"/>
      <c r="I75" s="825">
        <f>SUM(I72:I73)</f>
        <v>-8014360.2284084735</v>
      </c>
      <c r="J75" s="54"/>
      <c r="K75" s="54"/>
    </row>
    <row r="76" spans="1:11" ht="15.75" thickTop="1">
      <c r="A76" s="812">
        <v>64</v>
      </c>
      <c r="J76" s="54"/>
      <c r="K76" s="831">
        <f>I70+I75</f>
        <v>0</v>
      </c>
    </row>
    <row r="77" spans="1:11">
      <c r="A77" s="812">
        <v>65</v>
      </c>
      <c r="J77" s="54"/>
      <c r="K77" s="54"/>
    </row>
    <row r="78" spans="1:11" ht="15.75">
      <c r="A78" s="812">
        <v>66</v>
      </c>
      <c r="C78" s="822" t="s">
        <v>1485</v>
      </c>
      <c r="D78" s="808"/>
      <c r="E78" s="808"/>
      <c r="F78" s="808"/>
      <c r="G78" s="808"/>
      <c r="H78" s="816"/>
      <c r="I78" s="816"/>
      <c r="J78" s="54"/>
      <c r="K78" s="54"/>
    </row>
    <row r="79" spans="1:11" ht="15.75">
      <c r="A79" s="812">
        <v>67</v>
      </c>
      <c r="C79" s="102" t="s">
        <v>1698</v>
      </c>
      <c r="D79" s="102"/>
      <c r="E79" s="102"/>
      <c r="F79" s="814" t="s">
        <v>1491</v>
      </c>
      <c r="G79" s="102"/>
      <c r="H79" s="824"/>
      <c r="I79" s="946">
        <f>'B.5 B'!G49</f>
        <v>-33892218.460192323</v>
      </c>
      <c r="J79" s="54"/>
      <c r="K79" s="54"/>
    </row>
    <row r="80" spans="1:11">
      <c r="A80" s="812">
        <v>68</v>
      </c>
      <c r="I80" s="81"/>
      <c r="J80" s="813"/>
      <c r="K80" s="813"/>
    </row>
    <row r="81" spans="1:12">
      <c r="A81" s="812">
        <v>69</v>
      </c>
      <c r="C81" s="1" t="s">
        <v>1483</v>
      </c>
      <c r="F81" s="813" t="s">
        <v>1496</v>
      </c>
      <c r="I81" s="81">
        <f>L49</f>
        <v>-35175204.621213943</v>
      </c>
      <c r="J81" s="54"/>
      <c r="K81" s="54"/>
    </row>
    <row r="82" spans="1:12">
      <c r="A82" s="812">
        <v>70</v>
      </c>
      <c r="C82" s="92" t="s">
        <v>1466</v>
      </c>
      <c r="F82" s="813" t="s">
        <v>1497</v>
      </c>
      <c r="I82" s="816">
        <f>I73</f>
        <v>-6731374.0673868535</v>
      </c>
      <c r="J82" s="54"/>
      <c r="K82" s="54"/>
    </row>
    <row r="83" spans="1:12" ht="15.75">
      <c r="A83" s="812">
        <v>71</v>
      </c>
      <c r="C83" s="102" t="s">
        <v>1489</v>
      </c>
      <c r="D83" s="102"/>
      <c r="E83" s="102"/>
      <c r="F83" s="102"/>
      <c r="G83" s="102"/>
      <c r="H83" s="824"/>
      <c r="I83" s="1155">
        <f>SUM(I81:I82)</f>
        <v>-41906578.688600793</v>
      </c>
      <c r="J83" s="54"/>
      <c r="K83" s="54"/>
    </row>
    <row r="84" spans="1:12" ht="15.75">
      <c r="A84" s="812">
        <v>72</v>
      </c>
      <c r="C84" s="102"/>
      <c r="I84" s="824"/>
      <c r="J84" s="813"/>
      <c r="K84" s="813"/>
    </row>
    <row r="85" spans="1:12" ht="16.5" thickBot="1">
      <c r="A85" s="812">
        <v>73</v>
      </c>
      <c r="C85" s="102" t="s">
        <v>1484</v>
      </c>
      <c r="F85" s="1" t="s">
        <v>1495</v>
      </c>
      <c r="I85" s="1156">
        <f>I83-I79</f>
        <v>-8014360.2284084707</v>
      </c>
      <c r="J85" s="54"/>
      <c r="K85" s="54"/>
    </row>
    <row r="86" spans="1:12" ht="16.5" thickTop="1">
      <c r="A86" s="812">
        <v>74</v>
      </c>
      <c r="C86" s="102"/>
      <c r="I86" s="824"/>
      <c r="J86" s="813"/>
      <c r="K86" s="813"/>
    </row>
    <row r="87" spans="1:12">
      <c r="A87" s="812">
        <v>75</v>
      </c>
      <c r="I87" s="35"/>
      <c r="J87" s="54"/>
      <c r="K87" s="54"/>
    </row>
    <row r="88" spans="1:12">
      <c r="A88" s="812">
        <v>76</v>
      </c>
      <c r="C88" s="826" t="s">
        <v>1493</v>
      </c>
      <c r="E88" s="813"/>
      <c r="F88" s="813"/>
      <c r="J88" s="54"/>
      <c r="K88" s="54"/>
    </row>
    <row r="89" spans="1:12">
      <c r="E89" s="813"/>
      <c r="F89" s="813"/>
      <c r="J89" s="54"/>
      <c r="K89" s="54"/>
    </row>
    <row r="90" spans="1:12">
      <c r="E90" s="813"/>
      <c r="F90" s="813"/>
      <c r="J90" s="54"/>
      <c r="K90" s="54"/>
      <c r="L90" s="152"/>
    </row>
    <row r="91" spans="1:12">
      <c r="E91" s="813"/>
      <c r="F91" s="813"/>
      <c r="J91" s="54"/>
      <c r="K91" s="54"/>
      <c r="L91" s="152"/>
    </row>
    <row r="92" spans="1:12">
      <c r="E92" s="813"/>
      <c r="F92" s="813"/>
      <c r="J92" s="54"/>
      <c r="K92" s="54"/>
      <c r="L92" s="803"/>
    </row>
    <row r="93" spans="1:12">
      <c r="E93" s="813"/>
      <c r="F93" s="813"/>
      <c r="J93" s="54"/>
      <c r="K93" s="54"/>
      <c r="L93" s="152"/>
    </row>
    <row r="94" spans="1:12">
      <c r="E94" s="813"/>
      <c r="F94" s="813"/>
      <c r="J94" s="54"/>
      <c r="K94" s="54"/>
    </row>
    <row r="95" spans="1:12">
      <c r="E95" s="813"/>
      <c r="F95" s="813"/>
      <c r="J95" s="54"/>
      <c r="K95" s="54"/>
    </row>
    <row r="96" spans="1:12">
      <c r="D96" s="1">
        <v>0</v>
      </c>
      <c r="E96" s="813"/>
      <c r="F96" s="813"/>
      <c r="J96" s="54"/>
      <c r="K96" s="54"/>
    </row>
    <row r="97" spans="5:11">
      <c r="E97" s="54"/>
      <c r="F97" s="54"/>
      <c r="J97" s="54"/>
      <c r="K97" s="54"/>
    </row>
    <row r="98" spans="5:11">
      <c r="E98" s="54"/>
      <c r="F98" s="54"/>
      <c r="J98" s="54"/>
      <c r="K98" s="54"/>
    </row>
    <row r="99" spans="5:11">
      <c r="E99" s="54"/>
      <c r="F99" s="54"/>
      <c r="J99" s="54"/>
      <c r="K99" s="54"/>
    </row>
    <row r="100" spans="5:11">
      <c r="E100" s="54"/>
      <c r="F100" s="54"/>
      <c r="J100" s="54"/>
      <c r="K100" s="54"/>
    </row>
    <row r="101" spans="5:11">
      <c r="E101" s="54"/>
      <c r="F101" s="54"/>
      <c r="J101" s="54"/>
      <c r="K101" s="54"/>
    </row>
    <row r="102" spans="5:11">
      <c r="E102" s="54"/>
      <c r="F102" s="54"/>
      <c r="J102" s="54"/>
      <c r="K102" s="54"/>
    </row>
    <row r="103" spans="5:11">
      <c r="E103" s="54"/>
      <c r="F103" s="54"/>
      <c r="J103" s="54"/>
      <c r="K103" s="54"/>
    </row>
    <row r="104" spans="5:11">
      <c r="E104" s="54"/>
      <c r="F104" s="54"/>
      <c r="J104" s="54"/>
      <c r="K104" s="54"/>
    </row>
    <row r="105" spans="5:11">
      <c r="E105" s="54"/>
      <c r="F105" s="54"/>
      <c r="J105" s="54"/>
      <c r="K105" s="54"/>
    </row>
    <row r="106" spans="5:11">
      <c r="J106" s="54"/>
      <c r="K106" s="54"/>
    </row>
    <row r="107" spans="5:11">
      <c r="J107" s="54"/>
      <c r="K107" s="54"/>
    </row>
    <row r="108" spans="5:11">
      <c r="J108" s="54"/>
      <c r="K108" s="54"/>
    </row>
    <row r="109" spans="5:11">
      <c r="J109" s="54"/>
      <c r="K109" s="54"/>
    </row>
    <row r="110" spans="5:11">
      <c r="J110" s="54"/>
      <c r="K110" s="54"/>
    </row>
    <row r="111" spans="5:11">
      <c r="J111" s="54"/>
      <c r="K111" s="54"/>
    </row>
    <row r="112" spans="5:11">
      <c r="J112" s="54"/>
      <c r="K112" s="54"/>
    </row>
    <row r="113" spans="10:11">
      <c r="J113" s="54"/>
      <c r="K113" s="54"/>
    </row>
    <row r="114" spans="10:11">
      <c r="J114" s="54"/>
      <c r="K114" s="54"/>
    </row>
    <row r="115" spans="10:11">
      <c r="J115" s="54"/>
      <c r="K115" s="54"/>
    </row>
    <row r="116" spans="10:11">
      <c r="J116" s="54"/>
      <c r="K116" s="54"/>
    </row>
    <row r="117" spans="10:11">
      <c r="J117" s="54"/>
      <c r="K117" s="54"/>
    </row>
    <row r="118" spans="10:11">
      <c r="J118" s="54"/>
      <c r="K118" s="54"/>
    </row>
    <row r="119" spans="10:11">
      <c r="J119" s="54"/>
      <c r="K119" s="54"/>
    </row>
    <row r="120" spans="10:11">
      <c r="J120" s="54"/>
      <c r="K120" s="54"/>
    </row>
    <row r="121" spans="10:11">
      <c r="J121" s="54"/>
      <c r="K121" s="54"/>
    </row>
    <row r="122" spans="10:11">
      <c r="J122" s="54"/>
      <c r="K122" s="54"/>
    </row>
    <row r="123" spans="10:11">
      <c r="J123" s="54"/>
      <c r="K123" s="54"/>
    </row>
    <row r="124" spans="10:11">
      <c r="J124" s="54"/>
      <c r="K124" s="54"/>
    </row>
    <row r="125" spans="10:11">
      <c r="J125" s="54"/>
      <c r="K125" s="54"/>
    </row>
    <row r="126" spans="10:11">
      <c r="J126" s="54"/>
      <c r="K126" s="54"/>
    </row>
    <row r="127" spans="10:11">
      <c r="J127" s="54"/>
      <c r="K127" s="54"/>
    </row>
    <row r="128" spans="10:11">
      <c r="J128" s="54"/>
      <c r="K128" s="54"/>
    </row>
    <row r="129" spans="10:11">
      <c r="J129" s="54"/>
      <c r="K129" s="54"/>
    </row>
    <row r="130" spans="10:11">
      <c r="J130" s="54"/>
      <c r="K130" s="54"/>
    </row>
    <row r="131" spans="10:11">
      <c r="J131" s="54"/>
      <c r="K131" s="54"/>
    </row>
    <row r="132" spans="10:11">
      <c r="J132" s="54"/>
      <c r="K132" s="54"/>
    </row>
    <row r="133" spans="10:11">
      <c r="J133" s="54"/>
      <c r="K133" s="54"/>
    </row>
    <row r="134" spans="10:11">
      <c r="J134" s="54"/>
      <c r="K134" s="54"/>
    </row>
    <row r="135" spans="10:11">
      <c r="J135" s="54"/>
      <c r="K135" s="54"/>
    </row>
    <row r="136" spans="10:11">
      <c r="J136" s="54"/>
      <c r="K136" s="54"/>
    </row>
    <row r="137" spans="10:11">
      <c r="J137" s="54"/>
      <c r="K137" s="54"/>
    </row>
    <row r="138" spans="10:11">
      <c r="J138" s="54"/>
      <c r="K138" s="54"/>
    </row>
    <row r="139" spans="10:11">
      <c r="J139" s="54"/>
      <c r="K139" s="54"/>
    </row>
    <row r="140" spans="10:11">
      <c r="J140" s="54"/>
      <c r="K140" s="54"/>
    </row>
  </sheetData>
  <mergeCells count="4">
    <mergeCell ref="A1:L1"/>
    <mergeCell ref="A2:L2"/>
    <mergeCell ref="A3:L3"/>
    <mergeCell ref="A4:L4"/>
  </mergeCells>
  <phoneticPr fontId="22" type="noConversion"/>
  <printOptions horizontalCentered="1"/>
  <pageMargins left="0.75" right="0.75" top="0.6" bottom="0.5" header="0.5" footer="0.17"/>
  <pageSetup scale="60" fitToHeight="2" orientation="landscape" verticalDpi="300" r:id="rId1"/>
  <headerFooter alignWithMargins="0">
    <oddFooter>&amp;RSchedule &amp;A
Page &amp;P of &amp;N</oddFooter>
  </headerFooter>
  <rowBreaks count="1" manualBreakCount="1">
    <brk id="54" max="1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L44"/>
  <sheetViews>
    <sheetView view="pageBreakPreview" zoomScale="80" zoomScaleNormal="90" zoomScaleSheetLayoutView="80" workbookViewId="0">
      <selection activeCell="M7" sqref="M7"/>
    </sheetView>
  </sheetViews>
  <sheetFormatPr defaultColWidth="8.44140625" defaultRowHeight="15"/>
  <cols>
    <col min="1" max="1" width="5.77734375" style="1" customWidth="1"/>
    <col min="2" max="2" width="6.44140625" style="1" customWidth="1"/>
    <col min="3" max="3" width="49.33203125" style="1" bestFit="1" customWidth="1"/>
    <col min="4" max="4" width="11.5546875" style="1" bestFit="1" customWidth="1"/>
    <col min="5" max="5" width="11.77734375" style="54" bestFit="1" customWidth="1"/>
    <col min="6" max="6" width="11.77734375" style="54" customWidth="1"/>
    <col min="7" max="7" width="11.88671875" style="1" bestFit="1" customWidth="1"/>
    <col min="8" max="8" width="4.33203125" style="74" customWidth="1"/>
    <col min="9" max="9" width="11.5546875" style="1" bestFit="1" customWidth="1"/>
    <col min="10" max="11" width="11.88671875" style="54" customWidth="1"/>
    <col min="12" max="12" width="14.77734375" style="1" customWidth="1"/>
    <col min="13" max="16384" width="8.44140625" style="1"/>
  </cols>
  <sheetData>
    <row r="1" spans="1:12">
      <c r="A1" s="1180" t="str">
        <f>Allocation!A1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</row>
    <row r="2" spans="1:12">
      <c r="A2" s="1180" t="str">
        <f>Allocation!A2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</row>
    <row r="3" spans="1:12">
      <c r="A3" s="1180" t="s">
        <v>639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</row>
    <row r="4" spans="1:12">
      <c r="A4" s="1180" t="str">
        <f>'B.1 B'!A4</f>
        <v>as of December 31, 2017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</row>
    <row r="5" spans="1:12">
      <c r="A5" s="31"/>
      <c r="B5" s="30"/>
      <c r="C5" s="30"/>
      <c r="D5" s="30"/>
      <c r="G5" s="30"/>
      <c r="H5" s="370"/>
      <c r="I5" s="30"/>
    </row>
    <row r="6" spans="1:12">
      <c r="A6" s="48" t="s">
        <v>795</v>
      </c>
      <c r="B6" s="48"/>
      <c r="C6" s="35"/>
      <c r="L6" s="1" t="s">
        <v>1449</v>
      </c>
    </row>
    <row r="7" spans="1:12">
      <c r="A7" s="48" t="s">
        <v>1131</v>
      </c>
      <c r="B7" s="35"/>
      <c r="C7" s="48"/>
      <c r="L7" s="1" t="s">
        <v>716</v>
      </c>
    </row>
    <row r="8" spans="1:12">
      <c r="A8" s="5" t="s">
        <v>431</v>
      </c>
      <c r="B8" s="6"/>
      <c r="C8" s="6"/>
      <c r="D8" s="6"/>
      <c r="E8" s="369"/>
      <c r="F8" s="369"/>
      <c r="G8" s="33"/>
      <c r="I8" s="6"/>
      <c r="J8" s="369"/>
      <c r="K8" s="56"/>
      <c r="L8" s="33" t="str">
        <f>'B.1 B'!F8</f>
        <v>Witness:   Waller</v>
      </c>
    </row>
    <row r="9" spans="1:12">
      <c r="A9" s="587"/>
      <c r="D9" s="517"/>
      <c r="E9" s="222" t="s">
        <v>13</v>
      </c>
      <c r="F9" s="2" t="s">
        <v>11</v>
      </c>
      <c r="G9" s="481" t="s">
        <v>98</v>
      </c>
      <c r="H9" s="75"/>
      <c r="I9" s="518"/>
      <c r="J9" s="222" t="s">
        <v>13</v>
      </c>
      <c r="K9" s="2" t="s">
        <v>11</v>
      </c>
      <c r="L9" s="388"/>
    </row>
    <row r="10" spans="1:12">
      <c r="A10" s="333" t="s">
        <v>94</v>
      </c>
      <c r="B10" s="2"/>
      <c r="D10" s="334" t="s">
        <v>1065</v>
      </c>
      <c r="E10" s="2" t="s">
        <v>14</v>
      </c>
      <c r="F10" s="75" t="s">
        <v>600</v>
      </c>
      <c r="G10" s="330" t="s">
        <v>1176</v>
      </c>
      <c r="H10" s="75"/>
      <c r="I10" s="333" t="s">
        <v>93</v>
      </c>
      <c r="J10" s="2" t="s">
        <v>14</v>
      </c>
      <c r="K10" s="75" t="s">
        <v>600</v>
      </c>
      <c r="L10" s="484" t="s">
        <v>12</v>
      </c>
    </row>
    <row r="11" spans="1:12">
      <c r="A11" s="588" t="s">
        <v>100</v>
      </c>
      <c r="B11" s="9"/>
      <c r="C11" s="369" t="s">
        <v>342</v>
      </c>
      <c r="D11" s="482"/>
      <c r="E11" s="186" t="s">
        <v>633</v>
      </c>
      <c r="F11" s="186" t="s">
        <v>633</v>
      </c>
      <c r="G11" s="589" t="s">
        <v>106</v>
      </c>
      <c r="H11" s="75"/>
      <c r="I11" s="331" t="s">
        <v>99</v>
      </c>
      <c r="J11" s="186" t="s">
        <v>633</v>
      </c>
      <c r="K11" s="186" t="s">
        <v>633</v>
      </c>
      <c r="L11" s="590" t="s">
        <v>105</v>
      </c>
    </row>
    <row r="12" spans="1:12" ht="15.75">
      <c r="B12" s="12" t="s">
        <v>214</v>
      </c>
      <c r="G12" s="81"/>
    </row>
    <row r="13" spans="1:12">
      <c r="A13" s="2">
        <v>1</v>
      </c>
      <c r="B13" s="371">
        <v>15560</v>
      </c>
      <c r="C13" s="4" t="s">
        <v>53</v>
      </c>
      <c r="D13" s="499">
        <f>'WP B.6 B'!P13</f>
        <v>-1437536.5350000001</v>
      </c>
      <c r="E13" s="514">
        <v>1</v>
      </c>
      <c r="F13" s="514">
        <f>E13</f>
        <v>1</v>
      </c>
      <c r="G13" s="499">
        <f>D13*E13*F13</f>
        <v>-1437536.5350000001</v>
      </c>
      <c r="H13" s="77"/>
      <c r="I13" s="325">
        <f>'WP B.6 B'!Q13</f>
        <v>-1455773.1853846153</v>
      </c>
      <c r="J13" s="411">
        <f>E13</f>
        <v>1</v>
      </c>
      <c r="K13" s="411">
        <f>F13</f>
        <v>1</v>
      </c>
      <c r="L13" s="499">
        <f>I13*J13*K13</f>
        <v>-1455773.1853846153</v>
      </c>
    </row>
    <row r="14" spans="1:12">
      <c r="A14" s="54">
        <f>A13+1</f>
        <v>2</v>
      </c>
      <c r="B14" s="372"/>
      <c r="D14" s="77"/>
      <c r="E14" s="168"/>
      <c r="F14" s="168"/>
      <c r="G14" s="77"/>
      <c r="H14" s="77"/>
      <c r="I14" s="42"/>
      <c r="J14" s="168"/>
      <c r="K14" s="168"/>
      <c r="L14" s="42"/>
    </row>
    <row r="15" spans="1:12" ht="15.75">
      <c r="A15" s="611">
        <f t="shared" ref="A15:A24" si="0">A14+1</f>
        <v>3</v>
      </c>
      <c r="B15" s="12" t="s">
        <v>215</v>
      </c>
      <c r="D15" s="35"/>
      <c r="E15" s="222"/>
      <c r="F15" s="222"/>
      <c r="G15" s="74"/>
      <c r="I15" s="35"/>
      <c r="J15" s="222"/>
      <c r="K15" s="222"/>
      <c r="L15" s="35"/>
    </row>
    <row r="16" spans="1:12">
      <c r="A16" s="611">
        <f t="shared" si="0"/>
        <v>4</v>
      </c>
      <c r="B16" s="371">
        <v>15560</v>
      </c>
      <c r="C16" s="4" t="s">
        <v>53</v>
      </c>
      <c r="D16" s="376">
        <f>'WP B.6 B'!P16</f>
        <v>0</v>
      </c>
      <c r="E16" s="515">
        <f>Allocation!G14</f>
        <v>0.10349999999999999</v>
      </c>
      <c r="F16" s="515">
        <f>Allocation!H14</f>
        <v>0.5025136071712456</v>
      </c>
      <c r="G16" s="376">
        <f>D16*E16*F16</f>
        <v>0</v>
      </c>
      <c r="H16" s="77"/>
      <c r="I16" s="380">
        <f>'WP B.6 B'!Q16</f>
        <v>0</v>
      </c>
      <c r="J16" s="421">
        <f>E16</f>
        <v>0.10349999999999999</v>
      </c>
      <c r="K16" s="421">
        <f>F16</f>
        <v>0.5025136071712456</v>
      </c>
      <c r="L16" s="376">
        <f>I16*J16*K16</f>
        <v>0</v>
      </c>
    </row>
    <row r="17" spans="1:12">
      <c r="A17" s="611">
        <f t="shared" si="0"/>
        <v>5</v>
      </c>
      <c r="B17" s="373"/>
      <c r="C17" s="4"/>
      <c r="D17" s="77"/>
      <c r="E17" s="168"/>
      <c r="F17" s="168"/>
      <c r="G17" s="77"/>
      <c r="H17" s="77"/>
      <c r="I17" s="74"/>
      <c r="J17" s="76"/>
      <c r="K17" s="76"/>
      <c r="L17" s="77"/>
    </row>
    <row r="18" spans="1:12" ht="15.75">
      <c r="A18" s="611">
        <f t="shared" si="0"/>
        <v>6</v>
      </c>
      <c r="B18" s="12" t="s">
        <v>1126</v>
      </c>
      <c r="D18" s="35"/>
      <c r="E18" s="222"/>
      <c r="F18" s="222"/>
      <c r="G18" s="74"/>
      <c r="I18" s="35"/>
      <c r="J18" s="222"/>
      <c r="K18" s="222"/>
      <c r="L18" s="35"/>
    </row>
    <row r="19" spans="1:12">
      <c r="A19" s="611">
        <f t="shared" si="0"/>
        <v>7</v>
      </c>
      <c r="B19" s="371">
        <v>15560</v>
      </c>
      <c r="C19" s="4" t="s">
        <v>53</v>
      </c>
      <c r="D19" s="376">
        <f>'WP B.6 B'!P19</f>
        <v>0</v>
      </c>
      <c r="E19" s="515">
        <f>Allocation!G15</f>
        <v>0.10929999999999999</v>
      </c>
      <c r="F19" s="515">
        <f>Allocation!H15</f>
        <v>0.51883860656465508</v>
      </c>
      <c r="G19" s="376">
        <f>D19*E19*F19</f>
        <v>0</v>
      </c>
      <c r="H19" s="77"/>
      <c r="I19" s="380">
        <f>'WP B.6 B'!Q19</f>
        <v>0</v>
      </c>
      <c r="J19" s="421">
        <f>E19</f>
        <v>0.10929999999999999</v>
      </c>
      <c r="K19" s="421">
        <f>F19</f>
        <v>0.51883860656465508</v>
      </c>
      <c r="L19" s="376">
        <f>I19*J19*K19</f>
        <v>0</v>
      </c>
    </row>
    <row r="20" spans="1:12">
      <c r="A20" s="611">
        <f t="shared" si="0"/>
        <v>8</v>
      </c>
      <c r="B20" s="373"/>
      <c r="C20" s="4"/>
      <c r="D20" s="77"/>
      <c r="E20" s="168"/>
      <c r="F20" s="168"/>
      <c r="G20" s="77"/>
      <c r="H20" s="77"/>
      <c r="I20" s="74"/>
      <c r="J20" s="76"/>
      <c r="K20" s="76"/>
      <c r="L20" s="77"/>
    </row>
    <row r="21" spans="1:12" ht="15.75">
      <c r="A21" s="611">
        <f t="shared" si="0"/>
        <v>9</v>
      </c>
      <c r="B21" s="12" t="s">
        <v>682</v>
      </c>
      <c r="D21" s="35"/>
      <c r="E21" s="222"/>
      <c r="F21" s="222"/>
      <c r="G21" s="74"/>
      <c r="I21" s="35"/>
      <c r="J21" s="222"/>
      <c r="K21" s="222"/>
      <c r="L21" s="35"/>
    </row>
    <row r="22" spans="1:12">
      <c r="A22" s="611">
        <f t="shared" si="0"/>
        <v>10</v>
      </c>
      <c r="B22" s="371">
        <v>15560</v>
      </c>
      <c r="C22" s="4" t="s">
        <v>53</v>
      </c>
      <c r="D22" s="376">
        <f>'WP B.6 B'!P22</f>
        <v>0</v>
      </c>
      <c r="E22" s="514">
        <v>1</v>
      </c>
      <c r="F22" s="515">
        <f>Allocation!H17</f>
        <v>0.5025136071712456</v>
      </c>
      <c r="G22" s="376">
        <f>D22*E22*F22</f>
        <v>0</v>
      </c>
      <c r="H22" s="77"/>
      <c r="I22" s="380">
        <f>'WP B.6 B'!Q22</f>
        <v>0</v>
      </c>
      <c r="J22" s="516">
        <f>$E$22</f>
        <v>1</v>
      </c>
      <c r="K22" s="401">
        <f>$F$22</f>
        <v>0.5025136071712456</v>
      </c>
      <c r="L22" s="376">
        <f>I22*J22*K22</f>
        <v>0</v>
      </c>
    </row>
    <row r="23" spans="1:12">
      <c r="A23" s="611">
        <f t="shared" si="0"/>
        <v>11</v>
      </c>
      <c r="B23" s="372"/>
      <c r="D23" s="77"/>
      <c r="E23" s="168"/>
      <c r="F23" s="168"/>
      <c r="G23" s="77"/>
      <c r="H23" s="77"/>
      <c r="I23" s="77"/>
      <c r="J23" s="374"/>
      <c r="K23" s="374"/>
      <c r="L23" s="77"/>
    </row>
    <row r="24" spans="1:12" ht="15.75" thickBot="1">
      <c r="A24" s="611">
        <f t="shared" si="0"/>
        <v>12</v>
      </c>
      <c r="C24" s="66" t="s">
        <v>726</v>
      </c>
      <c r="D24" s="326">
        <f>D22+D19+D16+D13</f>
        <v>-1437536.5350000001</v>
      </c>
      <c r="E24" s="222"/>
      <c r="F24" s="222"/>
      <c r="G24" s="326">
        <f>G22+G19+G16+G13</f>
        <v>-1437536.5350000001</v>
      </c>
      <c r="I24" s="326">
        <f>I22+I19+I16+I13</f>
        <v>-1455773.1853846153</v>
      </c>
      <c r="J24" s="222"/>
      <c r="K24" s="222"/>
      <c r="L24" s="326">
        <f>L22+L19+L16+L13</f>
        <v>-1455773.1853846153</v>
      </c>
    </row>
    <row r="25" spans="1:12" ht="15.75" thickTop="1">
      <c r="A25" s="2"/>
      <c r="D25" s="35"/>
      <c r="E25" s="222"/>
      <c r="F25" s="222"/>
      <c r="G25" s="35"/>
      <c r="I25" s="35"/>
      <c r="J25" s="222"/>
      <c r="K25" s="222"/>
      <c r="L25" s="35"/>
    </row>
    <row r="26" spans="1:12">
      <c r="A26" s="54"/>
      <c r="B26" s="35"/>
      <c r="C26" s="88"/>
      <c r="D26" s="35"/>
      <c r="E26" s="222"/>
      <c r="F26" s="222"/>
      <c r="G26" s="35"/>
      <c r="I26" s="35"/>
      <c r="J26" s="222"/>
      <c r="K26" s="222"/>
      <c r="L26" s="35"/>
    </row>
    <row r="27" spans="1:12">
      <c r="A27" s="35"/>
      <c r="B27" s="35"/>
      <c r="D27" s="35"/>
      <c r="E27" s="222"/>
      <c r="F27" s="222"/>
      <c r="G27" s="35"/>
      <c r="I27" s="35"/>
      <c r="J27" s="222"/>
      <c r="K27" s="222"/>
      <c r="L27" s="35"/>
    </row>
    <row r="28" spans="1:12">
      <c r="A28" s="35"/>
      <c r="B28" s="35"/>
      <c r="C28" s="375"/>
    </row>
    <row r="29" spans="1:12">
      <c r="A29" s="35"/>
      <c r="B29" s="35"/>
    </row>
    <row r="30" spans="1:12">
      <c r="A30" s="35"/>
      <c r="B30" s="35"/>
    </row>
    <row r="31" spans="1:12">
      <c r="A31" s="35"/>
      <c r="B31" s="35"/>
    </row>
    <row r="32" spans="1:12">
      <c r="A32" s="35"/>
      <c r="B32" s="35"/>
    </row>
    <row r="33" spans="1:2">
      <c r="A33" s="35"/>
      <c r="B33" s="35"/>
    </row>
    <row r="34" spans="1:2">
      <c r="A34" s="35"/>
      <c r="B34" s="35"/>
    </row>
    <row r="35" spans="1:2">
      <c r="A35" s="35"/>
      <c r="B35" s="35"/>
    </row>
    <row r="36" spans="1:2">
      <c r="A36" s="35"/>
      <c r="B36" s="35"/>
    </row>
    <row r="37" spans="1:2">
      <c r="A37" s="35"/>
      <c r="B37" s="35"/>
    </row>
    <row r="38" spans="1:2">
      <c r="A38" s="35"/>
      <c r="B38" s="35"/>
    </row>
    <row r="39" spans="1:2">
      <c r="A39" s="35"/>
      <c r="B39" s="35"/>
    </row>
    <row r="40" spans="1:2">
      <c r="A40" s="35"/>
      <c r="B40" s="35"/>
    </row>
    <row r="41" spans="1:2">
      <c r="A41" s="35"/>
      <c r="B41" s="35"/>
    </row>
    <row r="42" spans="1:2">
      <c r="A42" s="35"/>
      <c r="B42" s="35"/>
    </row>
    <row r="43" spans="1:2">
      <c r="A43" s="35"/>
      <c r="B43" s="35"/>
    </row>
    <row r="44" spans="1:2">
      <c r="A44" s="35"/>
      <c r="B44" s="35"/>
    </row>
  </sheetData>
  <mergeCells count="4">
    <mergeCell ref="A1:L1"/>
    <mergeCell ref="A2:L2"/>
    <mergeCell ref="A3:L3"/>
    <mergeCell ref="A4:L4"/>
  </mergeCells>
  <phoneticPr fontId="22" type="noConversion"/>
  <printOptions horizontalCentered="1"/>
  <pageMargins left="0.75" right="0.75" top="1" bottom="1" header="0.5" footer="0.17"/>
  <pageSetup scale="62" orientation="landscape" verticalDpi="300" r:id="rId1"/>
  <headerFooter alignWithMargins="0">
    <oddFooter>&amp;RSchedule &amp;A
Page &amp;P of &amp;N</oddFooter>
  </headerFooter>
  <rowBreaks count="1" manualBreakCount="1">
    <brk id="17" max="1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L44"/>
  <sheetViews>
    <sheetView view="pageBreakPreview" zoomScale="70" zoomScaleNormal="80" zoomScaleSheetLayoutView="70" workbookViewId="0">
      <selection activeCell="M9" sqref="M9"/>
    </sheetView>
  </sheetViews>
  <sheetFormatPr defaultColWidth="8.44140625" defaultRowHeight="15"/>
  <cols>
    <col min="1" max="1" width="5.77734375" style="1" customWidth="1"/>
    <col min="2" max="2" width="7" style="1" customWidth="1"/>
    <col min="3" max="3" width="49.33203125" style="1" bestFit="1" customWidth="1"/>
    <col min="4" max="4" width="11.5546875" style="1" bestFit="1" customWidth="1"/>
    <col min="5" max="5" width="11.77734375" style="1" bestFit="1" customWidth="1"/>
    <col min="6" max="6" width="11.77734375" style="1" customWidth="1"/>
    <col min="7" max="7" width="11.88671875" style="1" bestFit="1" customWidth="1"/>
    <col min="8" max="8" width="4.33203125" style="74" customWidth="1"/>
    <col min="9" max="9" width="11.5546875" style="1" bestFit="1" customWidth="1"/>
    <col min="10" max="11" width="11.88671875" style="1" customWidth="1"/>
    <col min="12" max="12" width="14.77734375" style="1" customWidth="1"/>
    <col min="13" max="16384" width="8.44140625" style="1"/>
  </cols>
  <sheetData>
    <row r="1" spans="1:12">
      <c r="A1" s="1180" t="str">
        <f>Allocation!A1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</row>
    <row r="2" spans="1:12">
      <c r="A2" s="1180" t="str">
        <f>Allocation!A2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</row>
    <row r="3" spans="1:12">
      <c r="A3" s="1180" t="s">
        <v>639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</row>
    <row r="4" spans="1:12">
      <c r="A4" s="1180" t="str">
        <f>'B.1 F '!A4</f>
        <v>as of March 31, 2019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</row>
    <row r="5" spans="1:12">
      <c r="A5" s="31"/>
      <c r="B5" s="30"/>
      <c r="C5" s="30"/>
      <c r="D5" s="30"/>
      <c r="E5" s="30"/>
      <c r="F5" s="30"/>
      <c r="G5" s="30"/>
      <c r="H5" s="370"/>
      <c r="I5" s="30"/>
      <c r="J5" s="30"/>
      <c r="K5" s="30"/>
    </row>
    <row r="6" spans="1:12">
      <c r="A6" s="48" t="s">
        <v>1064</v>
      </c>
      <c r="B6" s="48"/>
      <c r="C6" s="35"/>
      <c r="L6" s="1" t="s">
        <v>1449</v>
      </c>
    </row>
    <row r="7" spans="1:12">
      <c r="A7" s="48" t="s">
        <v>1131</v>
      </c>
      <c r="B7" s="35"/>
      <c r="C7" s="48"/>
      <c r="L7" s="1" t="s">
        <v>717</v>
      </c>
    </row>
    <row r="8" spans="1:12">
      <c r="A8" s="5" t="s">
        <v>431</v>
      </c>
      <c r="B8" s="6"/>
      <c r="C8" s="6"/>
      <c r="D8" s="6"/>
      <c r="E8" s="6"/>
      <c r="F8" s="6"/>
      <c r="G8" s="33"/>
      <c r="I8" s="6"/>
      <c r="J8" s="6"/>
      <c r="K8" s="33"/>
      <c r="L8" s="33" t="str">
        <f>'B.1 F '!F8</f>
        <v>Witness:   Waller</v>
      </c>
    </row>
    <row r="9" spans="1:12">
      <c r="A9" s="587"/>
      <c r="D9" s="517"/>
      <c r="E9" s="222" t="s">
        <v>13</v>
      </c>
      <c r="F9" s="2" t="s">
        <v>11</v>
      </c>
      <c r="G9" s="481" t="s">
        <v>98</v>
      </c>
      <c r="H9" s="75"/>
      <c r="I9" s="518"/>
      <c r="J9" s="222" t="s">
        <v>13</v>
      </c>
      <c r="K9" s="2" t="s">
        <v>11</v>
      </c>
      <c r="L9" s="388"/>
    </row>
    <row r="10" spans="1:12">
      <c r="A10" s="333" t="s">
        <v>94</v>
      </c>
      <c r="B10" s="2"/>
      <c r="D10" s="334" t="s">
        <v>1065</v>
      </c>
      <c r="E10" s="2" t="s">
        <v>14</v>
      </c>
      <c r="F10" s="75" t="s">
        <v>600</v>
      </c>
      <c r="G10" s="330" t="s">
        <v>1176</v>
      </c>
      <c r="H10" s="75"/>
      <c r="I10" s="333" t="s">
        <v>93</v>
      </c>
      <c r="J10" s="2" t="s">
        <v>14</v>
      </c>
      <c r="K10" s="75" t="s">
        <v>600</v>
      </c>
      <c r="L10" s="484" t="s">
        <v>12</v>
      </c>
    </row>
    <row r="11" spans="1:12">
      <c r="A11" s="588" t="s">
        <v>100</v>
      </c>
      <c r="B11" s="9"/>
      <c r="C11" s="369" t="s">
        <v>342</v>
      </c>
      <c r="D11" s="482"/>
      <c r="E11" s="186" t="s">
        <v>633</v>
      </c>
      <c r="F11" s="186" t="s">
        <v>633</v>
      </c>
      <c r="G11" s="589" t="s">
        <v>106</v>
      </c>
      <c r="H11" s="75"/>
      <c r="I11" s="331" t="s">
        <v>99</v>
      </c>
      <c r="J11" s="186" t="s">
        <v>633</v>
      </c>
      <c r="K11" s="186" t="s">
        <v>633</v>
      </c>
      <c r="L11" s="590" t="s">
        <v>105</v>
      </c>
    </row>
    <row r="12" spans="1:12" ht="15.75">
      <c r="B12" s="12" t="s">
        <v>214</v>
      </c>
      <c r="G12" s="81"/>
    </row>
    <row r="13" spans="1:12">
      <c r="A13" s="2">
        <v>1</v>
      </c>
      <c r="B13" s="371">
        <v>15560</v>
      </c>
      <c r="C13" s="4" t="s">
        <v>53</v>
      </c>
      <c r="D13" s="499">
        <f>'WP B.6 F'!P13</f>
        <v>-1437536.5350000001</v>
      </c>
      <c r="E13" s="514">
        <v>1</v>
      </c>
      <c r="F13" s="514">
        <f>E13</f>
        <v>1</v>
      </c>
      <c r="G13" s="499">
        <f>D13*E13*F13</f>
        <v>-1437536.5350000001</v>
      </c>
      <c r="H13" s="77"/>
      <c r="I13" s="325">
        <f>'WP B.6 F'!Q13</f>
        <v>-1437536.5350000001</v>
      </c>
      <c r="J13" s="411">
        <f>E13</f>
        <v>1</v>
      </c>
      <c r="K13" s="411">
        <f>F13</f>
        <v>1</v>
      </c>
      <c r="L13" s="499">
        <f>I13*J13*K13</f>
        <v>-1437536.5350000001</v>
      </c>
    </row>
    <row r="14" spans="1:12">
      <c r="A14" s="54">
        <f>A13+1</f>
        <v>2</v>
      </c>
      <c r="B14" s="372"/>
      <c r="D14" s="77"/>
      <c r="E14" s="168"/>
      <c r="F14" s="168"/>
      <c r="G14" s="77"/>
      <c r="H14" s="77"/>
      <c r="I14" s="42"/>
      <c r="J14" s="168"/>
      <c r="K14" s="168"/>
      <c r="L14" s="42"/>
    </row>
    <row r="15" spans="1:12" ht="15.75">
      <c r="A15" s="611">
        <f t="shared" ref="A15:A24" si="0">A14+1</f>
        <v>3</v>
      </c>
      <c r="B15" s="12" t="s">
        <v>215</v>
      </c>
      <c r="D15" s="35"/>
      <c r="E15" s="222"/>
      <c r="F15" s="222"/>
      <c r="G15" s="74"/>
      <c r="I15" s="379"/>
      <c r="J15" s="222"/>
      <c r="K15" s="222"/>
      <c r="L15" s="35"/>
    </row>
    <row r="16" spans="1:12">
      <c r="A16" s="611">
        <f t="shared" si="0"/>
        <v>4</v>
      </c>
      <c r="B16" s="371">
        <v>15560</v>
      </c>
      <c r="C16" s="4" t="s">
        <v>53</v>
      </c>
      <c r="D16" s="376">
        <f>'WP B.6 F'!P16</f>
        <v>0</v>
      </c>
      <c r="E16" s="515">
        <f>Allocation!C14</f>
        <v>0.10349999999999999</v>
      </c>
      <c r="F16" s="515">
        <f>Allocation!D14</f>
        <v>0.5025136071712456</v>
      </c>
      <c r="G16" s="376">
        <f>D16*E16*F16</f>
        <v>0</v>
      </c>
      <c r="H16" s="77"/>
      <c r="I16" s="380">
        <f>'WP B.6 F'!Q16</f>
        <v>0</v>
      </c>
      <c r="J16" s="421">
        <f>E16</f>
        <v>0.10349999999999999</v>
      </c>
      <c r="K16" s="421">
        <f>F16</f>
        <v>0.5025136071712456</v>
      </c>
      <c r="L16" s="376">
        <f>I16*J16*K16</f>
        <v>0</v>
      </c>
    </row>
    <row r="17" spans="1:12">
      <c r="A17" s="611">
        <f t="shared" si="0"/>
        <v>5</v>
      </c>
      <c r="B17" s="373"/>
      <c r="C17" s="4"/>
      <c r="D17" s="77"/>
      <c r="E17" s="168"/>
      <c r="F17" s="168"/>
      <c r="G17" s="77"/>
      <c r="H17" s="77"/>
      <c r="I17" s="74"/>
      <c r="J17" s="76"/>
      <c r="K17" s="76"/>
      <c r="L17" s="77"/>
    </row>
    <row r="18" spans="1:12" ht="15.75">
      <c r="A18" s="611">
        <f t="shared" si="0"/>
        <v>6</v>
      </c>
      <c r="B18" s="12" t="s">
        <v>1126</v>
      </c>
      <c r="D18" s="35"/>
      <c r="E18" s="222"/>
      <c r="F18" s="222"/>
      <c r="G18" s="380"/>
      <c r="I18" s="35"/>
      <c r="J18" s="222"/>
      <c r="K18" s="222"/>
      <c r="L18" s="35"/>
    </row>
    <row r="19" spans="1:12">
      <c r="A19" s="611">
        <f t="shared" si="0"/>
        <v>7</v>
      </c>
      <c r="B19" s="371">
        <v>15560</v>
      </c>
      <c r="C19" s="4" t="s">
        <v>53</v>
      </c>
      <c r="D19" s="376">
        <f>'WP B.6 F'!P19</f>
        <v>0</v>
      </c>
      <c r="E19" s="515">
        <f>Allocation!C15</f>
        <v>0.10929999999999999</v>
      </c>
      <c r="F19" s="515">
        <f>Allocation!D15</f>
        <v>0.51883860656465508</v>
      </c>
      <c r="G19" s="376">
        <f>D19*E19*F19</f>
        <v>0</v>
      </c>
      <c r="H19" s="77"/>
      <c r="I19" s="380">
        <f>'WP B.6 F'!Q19</f>
        <v>0</v>
      </c>
      <c r="J19" s="421">
        <f>E19</f>
        <v>0.10929999999999999</v>
      </c>
      <c r="K19" s="421">
        <f>F19</f>
        <v>0.51883860656465508</v>
      </c>
      <c r="L19" s="376">
        <f>I19*J19*K19</f>
        <v>0</v>
      </c>
    </row>
    <row r="20" spans="1:12">
      <c r="A20" s="611">
        <f t="shared" si="0"/>
        <v>8</v>
      </c>
      <c r="B20" s="373"/>
      <c r="C20" s="4"/>
      <c r="D20" s="77"/>
      <c r="E20" s="168"/>
      <c r="F20" s="168"/>
      <c r="G20" s="77"/>
      <c r="H20" s="77"/>
      <c r="I20" s="74"/>
      <c r="J20" s="76"/>
      <c r="K20" s="76"/>
      <c r="L20" s="77"/>
    </row>
    <row r="21" spans="1:12" ht="15.75">
      <c r="A21" s="611">
        <f t="shared" si="0"/>
        <v>9</v>
      </c>
      <c r="B21" s="12" t="s">
        <v>682</v>
      </c>
      <c r="D21" s="35"/>
      <c r="E21" s="222"/>
      <c r="F21" s="222"/>
      <c r="G21" s="74"/>
      <c r="I21" s="35"/>
      <c r="J21" s="222"/>
      <c r="K21" s="222"/>
      <c r="L21" s="35"/>
    </row>
    <row r="22" spans="1:12">
      <c r="A22" s="611">
        <f t="shared" si="0"/>
        <v>10</v>
      </c>
      <c r="B22" s="371">
        <v>15560</v>
      </c>
      <c r="C22" s="4" t="s">
        <v>53</v>
      </c>
      <c r="D22" s="77">
        <f>'WP B.6 F'!P22</f>
        <v>0</v>
      </c>
      <c r="E22" s="514">
        <v>1</v>
      </c>
      <c r="F22" s="515">
        <f>Allocation!D17</f>
        <v>0.5025136071712456</v>
      </c>
      <c r="G22" s="77">
        <f>D22*$E$22*F22</f>
        <v>0</v>
      </c>
      <c r="H22" s="77"/>
      <c r="I22" s="74">
        <f>'WP B.6 F'!Q22</f>
        <v>0</v>
      </c>
      <c r="J22" s="516">
        <f>$E$22</f>
        <v>1</v>
      </c>
      <c r="K22" s="401">
        <f>$F$22</f>
        <v>0.5025136071712456</v>
      </c>
      <c r="L22" s="77">
        <f>I22*J22*K22</f>
        <v>0</v>
      </c>
    </row>
    <row r="23" spans="1:12">
      <c r="A23" s="611">
        <f t="shared" si="0"/>
        <v>11</v>
      </c>
      <c r="B23" s="372"/>
      <c r="D23" s="77"/>
      <c r="E23" s="42"/>
      <c r="F23" s="42"/>
      <c r="G23" s="77"/>
      <c r="H23" s="77"/>
      <c r="I23" s="77"/>
      <c r="J23" s="77"/>
      <c r="K23" s="77"/>
      <c r="L23" s="77"/>
    </row>
    <row r="24" spans="1:12" ht="15.75" thickBot="1">
      <c r="A24" s="611">
        <f t="shared" si="0"/>
        <v>12</v>
      </c>
      <c r="C24" s="4" t="s">
        <v>726</v>
      </c>
      <c r="D24" s="326">
        <f>D22+D19+D16+D13</f>
        <v>-1437536.5350000001</v>
      </c>
      <c r="E24" s="35"/>
      <c r="F24" s="35"/>
      <c r="G24" s="326">
        <f>G22+G19+G16+G13</f>
        <v>-1437536.5350000001</v>
      </c>
      <c r="I24" s="326">
        <f>I22+I19+I16+I13</f>
        <v>-1437536.5350000001</v>
      </c>
      <c r="J24" s="35"/>
      <c r="K24" s="35"/>
      <c r="L24" s="326">
        <f>L22+L19+L16+L13</f>
        <v>-1437536.5350000001</v>
      </c>
    </row>
    <row r="25" spans="1:12" ht="15.75" thickTop="1"/>
    <row r="26" spans="1:12">
      <c r="A26" s="35"/>
      <c r="B26" s="35"/>
      <c r="C26" s="88"/>
      <c r="D26" s="35"/>
      <c r="E26" s="35"/>
      <c r="F26" s="35"/>
      <c r="G26" s="35"/>
      <c r="I26" s="35"/>
      <c r="J26" s="35"/>
      <c r="K26" s="35"/>
      <c r="L26" s="35"/>
    </row>
    <row r="27" spans="1:12">
      <c r="A27" s="35"/>
      <c r="B27" s="35"/>
      <c r="D27" s="35"/>
      <c r="E27" s="35"/>
      <c r="F27" s="35"/>
      <c r="G27" s="35"/>
      <c r="I27" s="35"/>
      <c r="J27" s="35"/>
      <c r="K27" s="35"/>
      <c r="L27" s="35"/>
    </row>
    <row r="28" spans="1:12">
      <c r="A28" s="35"/>
      <c r="B28" s="35"/>
      <c r="C28" s="375"/>
    </row>
    <row r="29" spans="1:12">
      <c r="A29" s="35"/>
      <c r="B29" s="35"/>
    </row>
    <row r="30" spans="1:12">
      <c r="A30" s="35"/>
      <c r="B30" s="35"/>
    </row>
    <row r="31" spans="1:12">
      <c r="A31" s="35"/>
      <c r="B31" s="35"/>
    </row>
    <row r="32" spans="1:12">
      <c r="A32" s="35"/>
      <c r="B32" s="35"/>
    </row>
    <row r="33" spans="1:2">
      <c r="A33" s="35"/>
      <c r="B33" s="35"/>
    </row>
    <row r="34" spans="1:2">
      <c r="A34" s="35"/>
      <c r="B34" s="35"/>
    </row>
    <row r="35" spans="1:2">
      <c r="A35" s="35"/>
      <c r="B35" s="35"/>
    </row>
    <row r="36" spans="1:2">
      <c r="A36" s="35"/>
      <c r="B36" s="35"/>
    </row>
    <row r="37" spans="1:2">
      <c r="A37" s="35"/>
      <c r="B37" s="35"/>
    </row>
    <row r="38" spans="1:2">
      <c r="A38" s="35"/>
      <c r="B38" s="35"/>
    </row>
    <row r="39" spans="1:2">
      <c r="A39" s="35"/>
      <c r="B39" s="35"/>
    </row>
    <row r="40" spans="1:2">
      <c r="A40" s="35"/>
      <c r="B40" s="35"/>
    </row>
    <row r="41" spans="1:2">
      <c r="A41" s="35"/>
      <c r="B41" s="35"/>
    </row>
    <row r="42" spans="1:2">
      <c r="A42" s="35"/>
      <c r="B42" s="35"/>
    </row>
    <row r="43" spans="1:2">
      <c r="A43" s="35"/>
      <c r="B43" s="35"/>
    </row>
    <row r="44" spans="1:2">
      <c r="A44" s="35"/>
      <c r="B44" s="35"/>
    </row>
  </sheetData>
  <mergeCells count="4">
    <mergeCell ref="A1:L1"/>
    <mergeCell ref="A2:L2"/>
    <mergeCell ref="A3:L3"/>
    <mergeCell ref="A4:L4"/>
  </mergeCells>
  <phoneticPr fontId="22" type="noConversion"/>
  <printOptions horizontalCentered="1"/>
  <pageMargins left="0.75" right="0.75" top="1" bottom="1" header="0.5" footer="0.17"/>
  <pageSetup scale="62" orientation="landscape" verticalDpi="300" r:id="rId1"/>
  <headerFooter alignWithMargins="0">
    <oddFooter>&amp;RSchedule &amp;A
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R56"/>
  <sheetViews>
    <sheetView view="pageBreakPreview" zoomScale="70" zoomScaleNormal="80" zoomScaleSheetLayoutView="70" workbookViewId="0">
      <pane xSplit="2" ySplit="8" topLeftCell="C9" activePane="bottomRight" state="frozen"/>
      <selection activeCell="G63" sqref="G63"/>
      <selection pane="topRight" activeCell="G63" sqref="G63"/>
      <selection pane="bottomLeft" activeCell="G63" sqref="G63"/>
      <selection pane="bottomRight" activeCell="A47" sqref="A47"/>
    </sheetView>
  </sheetViews>
  <sheetFormatPr defaultRowHeight="15"/>
  <cols>
    <col min="1" max="1" width="4.33203125" style="80" bestFit="1" customWidth="1"/>
    <col min="2" max="2" width="44.21875" style="80" customWidth="1"/>
    <col min="3" max="3" width="12.5546875" style="80" bestFit="1" customWidth="1"/>
    <col min="4" max="4" width="12.6640625" style="80" bestFit="1" customWidth="1"/>
    <col min="5" max="7" width="12" style="80" bestFit="1" customWidth="1"/>
    <col min="8" max="8" width="12.44140625" style="80" customWidth="1"/>
    <col min="9" max="14" width="12" style="80" bestFit="1" customWidth="1"/>
    <col min="15" max="15" width="12.5546875" style="80" bestFit="1" customWidth="1"/>
    <col min="16" max="16" width="12" style="80" bestFit="1" customWidth="1"/>
    <col min="17" max="17" width="10.44140625" style="80" bestFit="1" customWidth="1"/>
    <col min="18" max="18" width="12" style="80" customWidth="1"/>
    <col min="19" max="16384" width="8.88671875" style="80"/>
  </cols>
  <sheetData>
    <row r="1" spans="1:18">
      <c r="A1" s="1176" t="str">
        <f>'Table of Contents'!A1:C1</f>
        <v>Atmos Energy Corporation, Kentucky/Mid-States Division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</row>
    <row r="2" spans="1:18">
      <c r="A2" s="1176" t="str">
        <f>'Table of Contents'!A2:C2</f>
        <v>Kentucky Jurisdiction Case No. 2017-00349</v>
      </c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1176"/>
      <c r="N2" s="1176"/>
      <c r="O2" s="1176"/>
      <c r="P2" s="1176"/>
    </row>
    <row r="3" spans="1:18">
      <c r="A3" s="1176" t="str">
        <f>'Table of Contents'!A4:C4</f>
        <v>Forecasted Test Period: Twelve Months Ended March 31, 2019</v>
      </c>
      <c r="B3" s="1176"/>
      <c r="C3" s="1176"/>
      <c r="D3" s="1176"/>
      <c r="E3" s="1176"/>
      <c r="F3" s="1176"/>
      <c r="G3" s="1176"/>
      <c r="H3" s="1176"/>
      <c r="I3" s="1176"/>
      <c r="J3" s="1176"/>
      <c r="K3" s="1176"/>
      <c r="L3" s="1176"/>
      <c r="M3" s="1176"/>
      <c r="N3" s="1176"/>
      <c r="O3" s="1176"/>
      <c r="P3" s="1176"/>
    </row>
    <row r="4" spans="1:18">
      <c r="A4" s="1176" t="s">
        <v>113</v>
      </c>
      <c r="B4" s="1176"/>
      <c r="C4" s="1176"/>
      <c r="D4" s="1176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</row>
    <row r="5" spans="1:18">
      <c r="P5" s="596" t="s">
        <v>1446</v>
      </c>
    </row>
    <row r="7" spans="1:18">
      <c r="A7" s="80" t="s">
        <v>94</v>
      </c>
      <c r="C7" s="857" t="s">
        <v>458</v>
      </c>
      <c r="D7" s="857" t="s">
        <v>458</v>
      </c>
      <c r="E7" s="857" t="s">
        <v>458</v>
      </c>
      <c r="F7" s="857" t="s">
        <v>458</v>
      </c>
      <c r="G7" s="857" t="s">
        <v>458</v>
      </c>
      <c r="H7" s="857" t="s">
        <v>44</v>
      </c>
      <c r="I7" s="857" t="s">
        <v>44</v>
      </c>
      <c r="J7" s="857" t="s">
        <v>44</v>
      </c>
      <c r="K7" s="857" t="s">
        <v>44</v>
      </c>
      <c r="L7" s="857" t="s">
        <v>44</v>
      </c>
      <c r="M7" s="857" t="s">
        <v>44</v>
      </c>
      <c r="N7" s="857" t="s">
        <v>44</v>
      </c>
      <c r="O7" s="857" t="s">
        <v>44</v>
      </c>
      <c r="P7" s="857" t="s">
        <v>46</v>
      </c>
    </row>
    <row r="8" spans="1:18">
      <c r="A8" s="927" t="s">
        <v>100</v>
      </c>
      <c r="B8" s="927" t="s">
        <v>993</v>
      </c>
      <c r="C8" s="612">
        <f>O8-365</f>
        <v>43160</v>
      </c>
      <c r="D8" s="612">
        <f>'C.2.2-F 09'!D10</f>
        <v>43191</v>
      </c>
      <c r="E8" s="612">
        <f>'C.2.2-F 09'!E10</f>
        <v>43221</v>
      </c>
      <c r="F8" s="612">
        <f>'C.2.2-F 09'!F10</f>
        <v>43252</v>
      </c>
      <c r="G8" s="612">
        <f>'C.2.2-F 09'!G10</f>
        <v>43282</v>
      </c>
      <c r="H8" s="612">
        <f>'C.2.2-F 09'!H10</f>
        <v>43313</v>
      </c>
      <c r="I8" s="612">
        <f>'C.2.2-F 09'!I10</f>
        <v>43344</v>
      </c>
      <c r="J8" s="612">
        <f>'C.2.2-F 09'!J10</f>
        <v>43374</v>
      </c>
      <c r="K8" s="612">
        <f>'C.2.2-F 09'!K10</f>
        <v>43405</v>
      </c>
      <c r="L8" s="612">
        <f>'C.2.2-F 09'!L10</f>
        <v>43435</v>
      </c>
      <c r="M8" s="612">
        <f>'C.2.2-F 09'!M10</f>
        <v>43466</v>
      </c>
      <c r="N8" s="612">
        <f>'C.2.2-F 09'!N10</f>
        <v>43497</v>
      </c>
      <c r="O8" s="612">
        <f>'C.2.2-F 09'!O10</f>
        <v>43525</v>
      </c>
      <c r="P8" s="933" t="s">
        <v>99</v>
      </c>
      <c r="Q8" s="670"/>
      <c r="R8" s="670"/>
    </row>
    <row r="10" spans="1:18" ht="15.75">
      <c r="A10" s="857">
        <v>1</v>
      </c>
      <c r="B10" s="513" t="s">
        <v>268</v>
      </c>
    </row>
    <row r="11" spans="1:18">
      <c r="A11" s="857">
        <v>2</v>
      </c>
      <c r="B11" s="694"/>
    </row>
    <row r="12" spans="1:18">
      <c r="A12" s="857">
        <v>3</v>
      </c>
      <c r="B12" s="694" t="s">
        <v>1181</v>
      </c>
    </row>
    <row r="13" spans="1:18">
      <c r="A13" s="857">
        <v>4</v>
      </c>
      <c r="B13" s="810" t="s">
        <v>518</v>
      </c>
      <c r="C13" s="359">
        <f>[5]summary!Z21</f>
        <v>0</v>
      </c>
      <c r="D13" s="359">
        <f>[5]summary!AA21</f>
        <v>0</v>
      </c>
      <c r="E13" s="359">
        <f>[5]summary!AB21</f>
        <v>0</v>
      </c>
      <c r="F13" s="359">
        <f>[5]summary!AC21</f>
        <v>0</v>
      </c>
      <c r="G13" s="359">
        <f>[5]summary!AD21</f>
        <v>0</v>
      </c>
      <c r="H13" s="359">
        <f>[5]summary!AE21</f>
        <v>0</v>
      </c>
      <c r="I13" s="359">
        <f>[5]summary!AF21</f>
        <v>0</v>
      </c>
      <c r="J13" s="359">
        <f>[5]summary!AG21</f>
        <v>0</v>
      </c>
      <c r="K13" s="359">
        <f>[5]summary!AH21</f>
        <v>0</v>
      </c>
      <c r="L13" s="359">
        <f>[5]summary!AI21</f>
        <v>0</v>
      </c>
      <c r="M13" s="359">
        <f>[5]summary!AJ21</f>
        <v>0</v>
      </c>
      <c r="N13" s="359">
        <f>[5]summary!AK21</f>
        <v>0</v>
      </c>
      <c r="O13" s="359">
        <f>[5]summary!AL21</f>
        <v>0</v>
      </c>
    </row>
    <row r="14" spans="1:18">
      <c r="A14" s="857">
        <v>5</v>
      </c>
      <c r="B14" s="810" t="s">
        <v>519</v>
      </c>
      <c r="C14" s="359">
        <f>[5]summary!Z22</f>
        <v>-270521.8133333333</v>
      </c>
      <c r="D14" s="359">
        <f>[5]summary!AA22</f>
        <v>-270521.8133333333</v>
      </c>
      <c r="E14" s="359">
        <f>[5]summary!AB22</f>
        <v>-270521.8133333333</v>
      </c>
      <c r="F14" s="359">
        <f>[5]summary!AC22</f>
        <v>-270521.8133333333</v>
      </c>
      <c r="G14" s="359">
        <f>[5]summary!AD22</f>
        <v>-270521.8133333333</v>
      </c>
      <c r="H14" s="359">
        <f>[5]summary!AE22</f>
        <v>-270521.8133333333</v>
      </c>
      <c r="I14" s="359">
        <f>[5]summary!AF22</f>
        <v>-270521.8133333333</v>
      </c>
      <c r="J14" s="359">
        <f>[5]summary!AG22</f>
        <v>-270521.8133333333</v>
      </c>
      <c r="K14" s="359">
        <f>[5]summary!AH22</f>
        <v>-270521.8133333333</v>
      </c>
      <c r="L14" s="359">
        <f>[5]summary!AI22</f>
        <v>-270521.8133333333</v>
      </c>
      <c r="M14" s="359">
        <f>[5]summary!AJ22</f>
        <v>-270521.8133333333</v>
      </c>
      <c r="N14" s="359">
        <f>[5]summary!AK22</f>
        <v>-270521.8133333333</v>
      </c>
      <c r="O14" s="359">
        <f>[5]summary!AL22</f>
        <v>-270521.8133333333</v>
      </c>
    </row>
    <row r="15" spans="1:18">
      <c r="A15" s="857">
        <v>6</v>
      </c>
      <c r="B15" s="1074" t="s">
        <v>520</v>
      </c>
      <c r="C15" s="723">
        <f t="shared" ref="C15" si="0">SUM(C13:C14)</f>
        <v>-270521.8133333333</v>
      </c>
      <c r="D15" s="724">
        <f t="shared" ref="D15:O15" si="1">SUM(D13:D14)</f>
        <v>-270521.8133333333</v>
      </c>
      <c r="E15" s="724">
        <f t="shared" si="1"/>
        <v>-270521.8133333333</v>
      </c>
      <c r="F15" s="724">
        <f t="shared" si="1"/>
        <v>-270521.8133333333</v>
      </c>
      <c r="G15" s="724">
        <f t="shared" si="1"/>
        <v>-270521.8133333333</v>
      </c>
      <c r="H15" s="724">
        <f t="shared" si="1"/>
        <v>-270521.8133333333</v>
      </c>
      <c r="I15" s="724">
        <f t="shared" si="1"/>
        <v>-270521.8133333333</v>
      </c>
      <c r="J15" s="724">
        <f t="shared" si="1"/>
        <v>-270521.8133333333</v>
      </c>
      <c r="K15" s="724">
        <f t="shared" si="1"/>
        <v>-270521.8133333333</v>
      </c>
      <c r="L15" s="724">
        <f t="shared" si="1"/>
        <v>-270521.8133333333</v>
      </c>
      <c r="M15" s="724">
        <f t="shared" si="1"/>
        <v>-270521.8133333333</v>
      </c>
      <c r="N15" s="724">
        <f t="shared" si="1"/>
        <v>-270521.8133333333</v>
      </c>
      <c r="O15" s="724">
        <f t="shared" si="1"/>
        <v>-270521.8133333333</v>
      </c>
      <c r="P15" s="345">
        <f>(SUM(C15:O15))/13</f>
        <v>-270521.81333333335</v>
      </c>
    </row>
    <row r="16" spans="1:18">
      <c r="A16" s="857">
        <v>7</v>
      </c>
      <c r="B16" s="810"/>
    </row>
    <row r="17" spans="1:16">
      <c r="A17" s="857">
        <v>8</v>
      </c>
      <c r="B17" s="810" t="s">
        <v>1182</v>
      </c>
    </row>
    <row r="18" spans="1:16">
      <c r="A18" s="857">
        <v>9</v>
      </c>
      <c r="B18" s="810" t="s">
        <v>518</v>
      </c>
      <c r="C18" s="359">
        <f>[5]summary!Z16</f>
        <v>76075.44</v>
      </c>
      <c r="D18" s="359">
        <f>[5]summary!AA16</f>
        <v>76075.44</v>
      </c>
      <c r="E18" s="359">
        <f>[5]summary!AB16</f>
        <v>76075.44</v>
      </c>
      <c r="F18" s="359">
        <f>[5]summary!AC16</f>
        <v>76075.44</v>
      </c>
      <c r="G18" s="359">
        <f>[5]summary!AD16</f>
        <v>76075.44</v>
      </c>
      <c r="H18" s="359">
        <f>[5]summary!AE16</f>
        <v>76075.44</v>
      </c>
      <c r="I18" s="359">
        <f>[5]summary!AF16</f>
        <v>76075.44</v>
      </c>
      <c r="J18" s="359">
        <f>[5]summary!AG16</f>
        <v>76075.44</v>
      </c>
      <c r="K18" s="359">
        <f>[5]summary!AH16</f>
        <v>76075.44</v>
      </c>
      <c r="L18" s="359">
        <f>[5]summary!AI16</f>
        <v>76075.44</v>
      </c>
      <c r="M18" s="359">
        <f>[5]summary!AJ16</f>
        <v>76075.44</v>
      </c>
      <c r="N18" s="359">
        <f>[5]summary!AK16</f>
        <v>76075.44</v>
      </c>
      <c r="O18" s="359">
        <f>[5]summary!AL16</f>
        <v>76075.44</v>
      </c>
    </row>
    <row r="19" spans="1:16">
      <c r="A19" s="857">
        <v>10</v>
      </c>
      <c r="B19" s="810" t="s">
        <v>519</v>
      </c>
      <c r="C19" s="359">
        <f>[5]summary!Z17</f>
        <v>879375.69666666677</v>
      </c>
      <c r="D19" s="359">
        <f>[5]summary!AA17</f>
        <v>879375.69666666677</v>
      </c>
      <c r="E19" s="359">
        <f>[5]summary!AB17</f>
        <v>879375.69666666677</v>
      </c>
      <c r="F19" s="359">
        <f>[5]summary!AC17</f>
        <v>879375.69666666677</v>
      </c>
      <c r="G19" s="359">
        <f>[5]summary!AD17</f>
        <v>879375.69666666677</v>
      </c>
      <c r="H19" s="359">
        <f>[5]summary!AE17</f>
        <v>879375.69666666677</v>
      </c>
      <c r="I19" s="359">
        <f>[5]summary!AF17</f>
        <v>879375.69666666677</v>
      </c>
      <c r="J19" s="359">
        <f>[5]summary!AG17</f>
        <v>879375.69666666677</v>
      </c>
      <c r="K19" s="359">
        <f>[5]summary!AH17</f>
        <v>879375.69666666677</v>
      </c>
      <c r="L19" s="359">
        <f>[5]summary!AI17</f>
        <v>879375.69666666677</v>
      </c>
      <c r="M19" s="359">
        <f>[5]summary!AJ17</f>
        <v>879375.69666666677</v>
      </c>
      <c r="N19" s="359">
        <f>[5]summary!AK17</f>
        <v>879375.69666666677</v>
      </c>
      <c r="O19" s="359">
        <f>[5]summary!AL17</f>
        <v>879375.69666666677</v>
      </c>
    </row>
    <row r="20" spans="1:16">
      <c r="A20" s="857">
        <v>11</v>
      </c>
      <c r="B20" s="1074" t="s">
        <v>520</v>
      </c>
      <c r="C20" s="723">
        <f t="shared" ref="C20" si="2">SUM(C18:C19)</f>
        <v>955451.13666666672</v>
      </c>
      <c r="D20" s="724">
        <f t="shared" ref="D20:O20" si="3">SUM(D18:D19)</f>
        <v>955451.13666666672</v>
      </c>
      <c r="E20" s="724">
        <f t="shared" si="3"/>
        <v>955451.13666666672</v>
      </c>
      <c r="F20" s="724">
        <f t="shared" si="3"/>
        <v>955451.13666666672</v>
      </c>
      <c r="G20" s="724">
        <f t="shared" si="3"/>
        <v>955451.13666666672</v>
      </c>
      <c r="H20" s="724">
        <f t="shared" si="3"/>
        <v>955451.13666666672</v>
      </c>
      <c r="I20" s="724">
        <f t="shared" si="3"/>
        <v>955451.13666666672</v>
      </c>
      <c r="J20" s="724">
        <f t="shared" si="3"/>
        <v>955451.13666666672</v>
      </c>
      <c r="K20" s="724">
        <f t="shared" si="3"/>
        <v>955451.13666666672</v>
      </c>
      <c r="L20" s="724">
        <f t="shared" si="3"/>
        <v>955451.13666666672</v>
      </c>
      <c r="M20" s="724">
        <f t="shared" si="3"/>
        <v>955451.13666666672</v>
      </c>
      <c r="N20" s="724">
        <f t="shared" si="3"/>
        <v>955451.13666666672</v>
      </c>
      <c r="O20" s="724">
        <f t="shared" si="3"/>
        <v>955451.13666666672</v>
      </c>
      <c r="P20" s="345">
        <f>(SUM(C20:O20))/13</f>
        <v>955451.13666666672</v>
      </c>
    </row>
    <row r="21" spans="1:16">
      <c r="A21" s="857">
        <v>12</v>
      </c>
      <c r="B21" s="810"/>
    </row>
    <row r="22" spans="1:16">
      <c r="A22" s="857">
        <v>13</v>
      </c>
      <c r="B22" s="810" t="s">
        <v>1183</v>
      </c>
    </row>
    <row r="23" spans="1:16">
      <c r="A23" s="857">
        <v>14</v>
      </c>
      <c r="B23" s="810" t="s">
        <v>518</v>
      </c>
      <c r="C23" s="1075">
        <f>[5]summary!Z$6</f>
        <v>0</v>
      </c>
      <c r="D23" s="1075">
        <f>[5]summary!AA$6</f>
        <v>0</v>
      </c>
      <c r="E23" s="1075">
        <f>[5]summary!AB$6</f>
        <v>0</v>
      </c>
      <c r="F23" s="1075">
        <f>[5]summary!AC$6</f>
        <v>0</v>
      </c>
      <c r="G23" s="1075">
        <f>[5]summary!AD$6</f>
        <v>0</v>
      </c>
      <c r="H23" s="1075">
        <f>[5]summary!AE$6</f>
        <v>0</v>
      </c>
      <c r="I23" s="1075">
        <f>[5]summary!AF$6</f>
        <v>0</v>
      </c>
      <c r="J23" s="1075">
        <f>[5]summary!AG$6</f>
        <v>0</v>
      </c>
      <c r="K23" s="1075">
        <f>[5]summary!AH$6</f>
        <v>0</v>
      </c>
      <c r="L23" s="1075">
        <f>[5]summary!AI$6</f>
        <v>0</v>
      </c>
      <c r="M23" s="1075">
        <f>[5]summary!AJ$6</f>
        <v>0</v>
      </c>
      <c r="N23" s="1075">
        <f>[5]summary!AK$6</f>
        <v>0</v>
      </c>
      <c r="O23" s="1075">
        <f>[5]summary!AL$6</f>
        <v>0</v>
      </c>
    </row>
    <row r="24" spans="1:16">
      <c r="A24" s="857">
        <v>15</v>
      </c>
      <c r="B24" s="810" t="s">
        <v>519</v>
      </c>
      <c r="C24" s="1075">
        <f>[5]summary!Z$7</f>
        <v>0</v>
      </c>
      <c r="D24" s="1075">
        <f>[5]summary!AA$7</f>
        <v>0</v>
      </c>
      <c r="E24" s="1075">
        <f>[5]summary!AB$7</f>
        <v>0</v>
      </c>
      <c r="F24" s="1075">
        <f>[5]summary!AC$7</f>
        <v>0</v>
      </c>
      <c r="G24" s="1075">
        <f>[5]summary!AD$7</f>
        <v>0</v>
      </c>
      <c r="H24" s="1075">
        <f>[5]summary!AE$7</f>
        <v>0</v>
      </c>
      <c r="I24" s="1075">
        <f>[5]summary!AF$7</f>
        <v>0</v>
      </c>
      <c r="J24" s="1075">
        <f>[5]summary!AG$7</f>
        <v>0</v>
      </c>
      <c r="K24" s="1075">
        <f>[5]summary!AH$7</f>
        <v>0</v>
      </c>
      <c r="L24" s="1075">
        <f>[5]summary!AI$7</f>
        <v>0</v>
      </c>
      <c r="M24" s="1075">
        <f>[5]summary!AJ$7</f>
        <v>0</v>
      </c>
      <c r="N24" s="1075">
        <f>[5]summary!AK$7</f>
        <v>0</v>
      </c>
      <c r="O24" s="1075">
        <f>[5]summary!AL$7</f>
        <v>0</v>
      </c>
    </row>
    <row r="25" spans="1:16">
      <c r="A25" s="857">
        <v>16</v>
      </c>
      <c r="B25" s="1074" t="s">
        <v>520</v>
      </c>
      <c r="C25" s="723">
        <f t="shared" ref="C25" si="4">SUM(C23:C24)</f>
        <v>0</v>
      </c>
      <c r="D25" s="724">
        <f t="shared" ref="D25:O25" si="5">SUM(D23:D24)</f>
        <v>0</v>
      </c>
      <c r="E25" s="724">
        <f t="shared" si="5"/>
        <v>0</v>
      </c>
      <c r="F25" s="724">
        <f t="shared" si="5"/>
        <v>0</v>
      </c>
      <c r="G25" s="724">
        <f t="shared" si="5"/>
        <v>0</v>
      </c>
      <c r="H25" s="724">
        <f t="shared" si="5"/>
        <v>0</v>
      </c>
      <c r="I25" s="724">
        <f t="shared" si="5"/>
        <v>0</v>
      </c>
      <c r="J25" s="724">
        <f t="shared" si="5"/>
        <v>0</v>
      </c>
      <c r="K25" s="724">
        <f t="shared" si="5"/>
        <v>0</v>
      </c>
      <c r="L25" s="724">
        <f t="shared" si="5"/>
        <v>0</v>
      </c>
      <c r="M25" s="724">
        <f t="shared" si="5"/>
        <v>0</v>
      </c>
      <c r="N25" s="724">
        <f t="shared" si="5"/>
        <v>0</v>
      </c>
      <c r="O25" s="724">
        <f t="shared" si="5"/>
        <v>0</v>
      </c>
      <c r="P25" s="345">
        <f>(SUM(C25:O25))/13</f>
        <v>0</v>
      </c>
    </row>
    <row r="26" spans="1:16">
      <c r="A26" s="857">
        <v>17</v>
      </c>
      <c r="B26" s="810"/>
    </row>
    <row r="27" spans="1:16">
      <c r="A27" s="857">
        <v>18</v>
      </c>
      <c r="B27" s="810" t="s">
        <v>1184</v>
      </c>
    </row>
    <row r="28" spans="1:16">
      <c r="A28" s="857">
        <v>19</v>
      </c>
      <c r="B28" s="810" t="s">
        <v>518</v>
      </c>
      <c r="C28" s="1075" t="str">
        <f>[5]summary!Z$11</f>
        <v>0</v>
      </c>
      <c r="D28" s="1075" t="str">
        <f>[5]summary!AA$11</f>
        <v>0</v>
      </c>
      <c r="E28" s="1075" t="str">
        <f>[5]summary!AB$11</f>
        <v>0</v>
      </c>
      <c r="F28" s="1075" t="str">
        <f>[5]summary!AC$11</f>
        <v>0</v>
      </c>
      <c r="G28" s="1075" t="str">
        <f>[5]summary!AD$11</f>
        <v>0</v>
      </c>
      <c r="H28" s="1075" t="str">
        <f>[5]summary!AE$11</f>
        <v>0</v>
      </c>
      <c r="I28" s="1075" t="str">
        <f>[5]summary!AF$11</f>
        <v>0</v>
      </c>
      <c r="J28" s="1075" t="str">
        <f>[5]summary!AG$11</f>
        <v>0</v>
      </c>
      <c r="K28" s="1075" t="str">
        <f>[5]summary!AH$11</f>
        <v>0</v>
      </c>
      <c r="L28" s="1075" t="str">
        <f>[5]summary!AI$11</f>
        <v>0</v>
      </c>
      <c r="M28" s="1075" t="str">
        <f>[5]summary!AJ$11</f>
        <v>0</v>
      </c>
      <c r="N28" s="1075" t="str">
        <f>[5]summary!AK$11</f>
        <v>0</v>
      </c>
      <c r="O28" s="1075" t="str">
        <f>[5]summary!AL$11</f>
        <v>0</v>
      </c>
    </row>
    <row r="29" spans="1:16">
      <c r="A29" s="857">
        <v>20</v>
      </c>
      <c r="B29" s="810" t="s">
        <v>519</v>
      </c>
      <c r="C29" s="1075" t="str">
        <f>[5]summary!Z$12</f>
        <v>0</v>
      </c>
      <c r="D29" s="1075" t="str">
        <f>[5]summary!AA$12</f>
        <v>0</v>
      </c>
      <c r="E29" s="1075" t="str">
        <f>[5]summary!AB$12</f>
        <v>0</v>
      </c>
      <c r="F29" s="1075" t="str">
        <f>[5]summary!AC$12</f>
        <v>0</v>
      </c>
      <c r="G29" s="1075" t="str">
        <f>[5]summary!AD$12</f>
        <v>0</v>
      </c>
      <c r="H29" s="1075" t="str">
        <f>[5]summary!AE$12</f>
        <v>0</v>
      </c>
      <c r="I29" s="1075" t="str">
        <f>[5]summary!AF$12</f>
        <v>0</v>
      </c>
      <c r="J29" s="1075" t="str">
        <f>[5]summary!AG$12</f>
        <v>0</v>
      </c>
      <c r="K29" s="1075" t="str">
        <f>[5]summary!AH$12</f>
        <v>0</v>
      </c>
      <c r="L29" s="1075" t="str">
        <f>[5]summary!AI$12</f>
        <v>0</v>
      </c>
      <c r="M29" s="1075" t="str">
        <f>[5]summary!AJ$12</f>
        <v>0</v>
      </c>
      <c r="N29" s="1075" t="str">
        <f>[5]summary!AK$12</f>
        <v>0</v>
      </c>
      <c r="O29" s="1075" t="str">
        <f>[5]summary!AL$12</f>
        <v>0</v>
      </c>
    </row>
    <row r="30" spans="1:16">
      <c r="A30" s="857">
        <v>21</v>
      </c>
      <c r="B30" s="1074" t="s">
        <v>520</v>
      </c>
      <c r="C30" s="724">
        <f t="shared" ref="C30:O30" si="6">SUM(C28:C29)</f>
        <v>0</v>
      </c>
      <c r="D30" s="724">
        <f t="shared" si="6"/>
        <v>0</v>
      </c>
      <c r="E30" s="724">
        <f t="shared" si="6"/>
        <v>0</v>
      </c>
      <c r="F30" s="724">
        <f t="shared" si="6"/>
        <v>0</v>
      </c>
      <c r="G30" s="724">
        <f t="shared" si="6"/>
        <v>0</v>
      </c>
      <c r="H30" s="724">
        <f t="shared" si="6"/>
        <v>0</v>
      </c>
      <c r="I30" s="724">
        <f t="shared" si="6"/>
        <v>0</v>
      </c>
      <c r="J30" s="724">
        <f t="shared" si="6"/>
        <v>0</v>
      </c>
      <c r="K30" s="724">
        <f t="shared" si="6"/>
        <v>0</v>
      </c>
      <c r="L30" s="724">
        <f t="shared" si="6"/>
        <v>0</v>
      </c>
      <c r="M30" s="724">
        <f t="shared" si="6"/>
        <v>0</v>
      </c>
      <c r="N30" s="724">
        <f t="shared" si="6"/>
        <v>0</v>
      </c>
      <c r="O30" s="724">
        <f t="shared" si="6"/>
        <v>0</v>
      </c>
      <c r="P30" s="345">
        <f>(SUM(C30:O30))/13</f>
        <v>0</v>
      </c>
    </row>
    <row r="31" spans="1:16">
      <c r="A31" s="857">
        <v>22</v>
      </c>
      <c r="B31" s="810"/>
    </row>
    <row r="32" spans="1:16" ht="15.75">
      <c r="A32" s="857">
        <v>23</v>
      </c>
      <c r="B32" s="513" t="s">
        <v>521</v>
      </c>
    </row>
    <row r="33" spans="1:18">
      <c r="A33" s="857">
        <v>24</v>
      </c>
      <c r="B33" s="96"/>
      <c r="R33" s="670"/>
    </row>
    <row r="34" spans="1:18">
      <c r="A34" s="857">
        <v>25</v>
      </c>
      <c r="B34" s="810" t="s">
        <v>1181</v>
      </c>
      <c r="C34" s="345">
        <f>'[6]Summary of Revenue'!$R$32</f>
        <v>-5040824.6396281663</v>
      </c>
      <c r="D34" s="345">
        <f>'[6]Summary of Revenue'!T32</f>
        <v>-1178144.3829036904</v>
      </c>
      <c r="E34" s="345">
        <f>'[6]Summary of Revenue'!U32</f>
        <v>2639752.0972308498</v>
      </c>
      <c r="F34" s="345">
        <f>'[6]Summary of Revenue'!V32</f>
        <v>6490577.8248579893</v>
      </c>
      <c r="G34" s="345">
        <f>'[6]Summary of Revenue'!W32</f>
        <v>10375649.969877433</v>
      </c>
      <c r="H34" s="345">
        <f>'[6]Summary of Revenue'!X32</f>
        <v>14265990.794495691</v>
      </c>
      <c r="I34" s="345">
        <f>'[6]Summary of Revenue'!Y32</f>
        <v>18124719.541521054</v>
      </c>
      <c r="J34" s="345">
        <f>'[6]Summary of Revenue'!Z32</f>
        <v>22008474.516640794</v>
      </c>
      <c r="K34" s="345">
        <f>'[6]Summary of Revenue'!AA32</f>
        <v>19939491.454701804</v>
      </c>
      <c r="L34" s="345">
        <f>'[6]Summary of Revenue'!AB32</f>
        <v>14923260.591732655</v>
      </c>
      <c r="M34" s="345">
        <f>'[6]Summary of Revenue'!AC32</f>
        <v>8081737.9360851143</v>
      </c>
      <c r="N34" s="345">
        <f>'[6]Summary of Revenue'!AD32</f>
        <v>900905.5114067141</v>
      </c>
      <c r="O34" s="345">
        <f>'[6]Summary of Revenue'!AE32</f>
        <v>-4156777.4433354605</v>
      </c>
      <c r="P34" s="345">
        <f>(SUM(C34:O34))/13</f>
        <v>8259601.0594371371</v>
      </c>
      <c r="R34" s="670"/>
    </row>
    <row r="35" spans="1:18">
      <c r="A35" s="857">
        <v>26</v>
      </c>
      <c r="B35" s="810"/>
      <c r="K35" s="345"/>
      <c r="L35" s="345"/>
      <c r="M35" s="345"/>
      <c r="N35" s="345"/>
      <c r="O35" s="345"/>
    </row>
    <row r="36" spans="1:18">
      <c r="A36" s="857">
        <v>27</v>
      </c>
      <c r="B36" s="810" t="s">
        <v>1182</v>
      </c>
      <c r="C36" s="345">
        <v>0</v>
      </c>
      <c r="D36" s="345">
        <v>0</v>
      </c>
      <c r="E36" s="345">
        <v>0</v>
      </c>
      <c r="F36" s="345">
        <v>0</v>
      </c>
      <c r="G36" s="345">
        <v>0</v>
      </c>
      <c r="H36" s="345">
        <v>0</v>
      </c>
      <c r="I36" s="345">
        <v>0</v>
      </c>
      <c r="J36" s="345">
        <v>0</v>
      </c>
      <c r="K36" s="345">
        <v>0</v>
      </c>
      <c r="L36" s="345">
        <v>0</v>
      </c>
      <c r="M36" s="345">
        <v>0</v>
      </c>
      <c r="N36" s="345">
        <v>0</v>
      </c>
      <c r="O36" s="345">
        <v>0</v>
      </c>
      <c r="P36" s="345">
        <f>(SUM(C36:O36))/13</f>
        <v>0</v>
      </c>
    </row>
    <row r="37" spans="1:18">
      <c r="A37" s="857">
        <v>28</v>
      </c>
      <c r="B37" s="810"/>
    </row>
    <row r="38" spans="1:18">
      <c r="A38" s="857">
        <v>29</v>
      </c>
      <c r="B38" s="810" t="s">
        <v>1183</v>
      </c>
      <c r="C38" s="345">
        <v>0</v>
      </c>
      <c r="D38" s="345">
        <v>0</v>
      </c>
      <c r="E38" s="345">
        <v>0</v>
      </c>
      <c r="F38" s="345">
        <v>0</v>
      </c>
      <c r="G38" s="345">
        <v>0</v>
      </c>
      <c r="H38" s="345">
        <v>0</v>
      </c>
      <c r="I38" s="345">
        <v>0</v>
      </c>
      <c r="J38" s="345">
        <v>0</v>
      </c>
      <c r="K38" s="345">
        <v>0</v>
      </c>
      <c r="L38" s="345">
        <v>0</v>
      </c>
      <c r="M38" s="345">
        <v>0</v>
      </c>
      <c r="N38" s="345">
        <v>0</v>
      </c>
      <c r="O38" s="345">
        <v>0</v>
      </c>
      <c r="P38" s="345">
        <f>(SUM(C38:O38))/13</f>
        <v>0</v>
      </c>
    </row>
    <row r="39" spans="1:18">
      <c r="A39" s="857">
        <v>30</v>
      </c>
      <c r="B39" s="810"/>
    </row>
    <row r="40" spans="1:18">
      <c r="A40" s="857">
        <v>31</v>
      </c>
      <c r="B40" s="810" t="s">
        <v>1184</v>
      </c>
      <c r="C40" s="345">
        <v>0</v>
      </c>
      <c r="D40" s="345">
        <v>0</v>
      </c>
      <c r="E40" s="345">
        <v>0</v>
      </c>
      <c r="F40" s="345">
        <v>0</v>
      </c>
      <c r="G40" s="345">
        <v>0</v>
      </c>
      <c r="H40" s="345">
        <v>0</v>
      </c>
      <c r="I40" s="345">
        <v>0</v>
      </c>
      <c r="J40" s="345">
        <v>0</v>
      </c>
      <c r="K40" s="345">
        <v>0</v>
      </c>
      <c r="L40" s="345">
        <v>0</v>
      </c>
      <c r="M40" s="345">
        <v>0</v>
      </c>
      <c r="N40" s="345">
        <v>0</v>
      </c>
      <c r="O40" s="345">
        <v>0</v>
      </c>
      <c r="P40" s="345">
        <f>(SUM(C40:O40))/13</f>
        <v>0</v>
      </c>
    </row>
    <row r="41" spans="1:18">
      <c r="A41" s="857">
        <v>32</v>
      </c>
      <c r="B41" s="1074"/>
    </row>
    <row r="42" spans="1:18" ht="15.75">
      <c r="A42" s="857">
        <v>33</v>
      </c>
      <c r="B42" s="513" t="s">
        <v>522</v>
      </c>
    </row>
    <row r="43" spans="1:18">
      <c r="A43" s="857">
        <v>34</v>
      </c>
      <c r="B43" s="694"/>
    </row>
    <row r="44" spans="1:18">
      <c r="A44" s="857">
        <v>35</v>
      </c>
      <c r="B44" s="810" t="s">
        <v>1181</v>
      </c>
      <c r="C44" s="359">
        <f>0</f>
        <v>0</v>
      </c>
      <c r="D44" s="359">
        <f>0</f>
        <v>0</v>
      </c>
      <c r="E44" s="359">
        <f>0</f>
        <v>0</v>
      </c>
      <c r="F44" s="359">
        <f>0</f>
        <v>0</v>
      </c>
      <c r="G44" s="359">
        <f>0</f>
        <v>0</v>
      </c>
      <c r="H44" s="359">
        <f>0</f>
        <v>0</v>
      </c>
      <c r="I44" s="359">
        <f>0</f>
        <v>0</v>
      </c>
      <c r="J44" s="359">
        <f>0</f>
        <v>0</v>
      </c>
      <c r="K44" s="359">
        <f>0</f>
        <v>0</v>
      </c>
      <c r="L44" s="359">
        <f>0</f>
        <v>0</v>
      </c>
      <c r="M44" s="359">
        <f>0</f>
        <v>0</v>
      </c>
      <c r="N44" s="359">
        <f>0</f>
        <v>0</v>
      </c>
      <c r="O44" s="359">
        <f>0</f>
        <v>0</v>
      </c>
      <c r="P44" s="345">
        <f>(SUM(C44:O44))/13</f>
        <v>0</v>
      </c>
    </row>
    <row r="45" spans="1:18">
      <c r="A45" s="857">
        <v>36</v>
      </c>
      <c r="B45" s="810"/>
    </row>
    <row r="46" spans="1:18">
      <c r="A46" s="857">
        <v>37</v>
      </c>
      <c r="B46" s="810" t="s">
        <v>1182</v>
      </c>
      <c r="C46" s="359">
        <f>0</f>
        <v>0</v>
      </c>
      <c r="D46" s="359">
        <f>0</f>
        <v>0</v>
      </c>
      <c r="E46" s="359">
        <f>0</f>
        <v>0</v>
      </c>
      <c r="F46" s="359">
        <f>0</f>
        <v>0</v>
      </c>
      <c r="G46" s="359">
        <f>0</f>
        <v>0</v>
      </c>
      <c r="H46" s="359">
        <f>0</f>
        <v>0</v>
      </c>
      <c r="I46" s="359">
        <f>0</f>
        <v>0</v>
      </c>
      <c r="J46" s="359">
        <f>0</f>
        <v>0</v>
      </c>
      <c r="K46" s="359">
        <f>0</f>
        <v>0</v>
      </c>
      <c r="L46" s="359">
        <f>0</f>
        <v>0</v>
      </c>
      <c r="M46" s="359">
        <f>0</f>
        <v>0</v>
      </c>
      <c r="N46" s="359">
        <f>0</f>
        <v>0</v>
      </c>
      <c r="O46" s="359">
        <f>0</f>
        <v>0</v>
      </c>
      <c r="P46" s="345">
        <f>(SUM(C46:O46))/13</f>
        <v>0</v>
      </c>
    </row>
    <row r="47" spans="1:18">
      <c r="A47" s="857">
        <v>38</v>
      </c>
      <c r="B47" s="810"/>
    </row>
    <row r="48" spans="1:18">
      <c r="A48" s="857">
        <v>39</v>
      </c>
      <c r="B48" s="810" t="s">
        <v>1183</v>
      </c>
      <c r="C48" s="359">
        <f>0</f>
        <v>0</v>
      </c>
      <c r="D48" s="359">
        <f>0</f>
        <v>0</v>
      </c>
      <c r="E48" s="359">
        <f>0</f>
        <v>0</v>
      </c>
      <c r="F48" s="359">
        <f>0</f>
        <v>0</v>
      </c>
      <c r="G48" s="359">
        <f>0</f>
        <v>0</v>
      </c>
      <c r="H48" s="359">
        <f>0</f>
        <v>0</v>
      </c>
      <c r="I48" s="359">
        <f>0</f>
        <v>0</v>
      </c>
      <c r="J48" s="359">
        <f>0</f>
        <v>0</v>
      </c>
      <c r="K48" s="359">
        <f>0</f>
        <v>0</v>
      </c>
      <c r="L48" s="359">
        <f>0</f>
        <v>0</v>
      </c>
      <c r="M48" s="359">
        <f>0</f>
        <v>0</v>
      </c>
      <c r="N48" s="359">
        <f>0</f>
        <v>0</v>
      </c>
      <c r="O48" s="359">
        <f>0</f>
        <v>0</v>
      </c>
      <c r="P48" s="345">
        <f>(SUM(C48:O48))/13</f>
        <v>0</v>
      </c>
    </row>
    <row r="49" spans="1:16">
      <c r="A49" s="857">
        <v>40</v>
      </c>
      <c r="B49" s="810"/>
    </row>
    <row r="50" spans="1:16">
      <c r="A50" s="857">
        <v>41</v>
      </c>
      <c r="B50" s="810" t="s">
        <v>1184</v>
      </c>
      <c r="C50" s="1075">
        <f>0</f>
        <v>0</v>
      </c>
      <c r="D50" s="1075">
        <f>0</f>
        <v>0</v>
      </c>
      <c r="E50" s="1075">
        <f>0</f>
        <v>0</v>
      </c>
      <c r="F50" s="1075">
        <f>0</f>
        <v>0</v>
      </c>
      <c r="G50" s="1075">
        <f>0</f>
        <v>0</v>
      </c>
      <c r="H50" s="1075">
        <f>0</f>
        <v>0</v>
      </c>
      <c r="I50" s="1075">
        <f>0</f>
        <v>0</v>
      </c>
      <c r="J50" s="1075">
        <f>0</f>
        <v>0</v>
      </c>
      <c r="K50" s="1075">
        <f>0</f>
        <v>0</v>
      </c>
      <c r="L50" s="1075">
        <f>0</f>
        <v>0</v>
      </c>
      <c r="M50" s="1075">
        <f>0</f>
        <v>0</v>
      </c>
      <c r="N50" s="1075">
        <f>0</f>
        <v>0</v>
      </c>
      <c r="O50" s="1075">
        <f>0</f>
        <v>0</v>
      </c>
      <c r="P50" s="345">
        <f>(SUM(C50:O50))/13</f>
        <v>0</v>
      </c>
    </row>
    <row r="54" spans="1:16">
      <c r="L54" s="80" t="s">
        <v>327</v>
      </c>
    </row>
    <row r="55" spans="1:16">
      <c r="B55" s="80" t="s">
        <v>523</v>
      </c>
      <c r="C55" s="670"/>
    </row>
    <row r="56" spans="1:16">
      <c r="B56" s="80" t="s">
        <v>1653</v>
      </c>
      <c r="C56" s="670"/>
    </row>
  </sheetData>
  <mergeCells count="4">
    <mergeCell ref="A1:P1"/>
    <mergeCell ref="A2:P2"/>
    <mergeCell ref="A3:P3"/>
    <mergeCell ref="A4:P4"/>
  </mergeCells>
  <phoneticPr fontId="22" type="noConversion"/>
  <printOptions horizontalCentered="1"/>
  <pageMargins left="0.62" right="0.44" top="1" bottom="1" header="0.5" footer="0.5"/>
  <pageSetup scale="48" orientation="landscape" r:id="rId1"/>
  <headerFooter alignWithMargins="0">
    <oddFooter>&amp;R&amp;A
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R60"/>
  <sheetViews>
    <sheetView view="pageBreakPreview" zoomScale="70" zoomScaleNormal="80" zoomScaleSheetLayoutView="70" workbookViewId="0">
      <pane xSplit="2" ySplit="8" topLeftCell="C9" activePane="bottomRight" state="frozen"/>
      <selection activeCell="G63" sqref="G63"/>
      <selection pane="topRight" activeCell="G63" sqref="G63"/>
      <selection pane="bottomLeft" activeCell="G63" sqref="G63"/>
      <selection pane="bottomRight" activeCell="C52" sqref="C52"/>
    </sheetView>
  </sheetViews>
  <sheetFormatPr defaultRowHeight="15"/>
  <cols>
    <col min="1" max="1" width="4.33203125" style="80" bestFit="1" customWidth="1"/>
    <col min="2" max="2" width="44.21875" style="80" customWidth="1"/>
    <col min="3" max="11" width="12" style="80" bestFit="1" customWidth="1"/>
    <col min="12" max="12" width="12.6640625" style="80" customWidth="1"/>
    <col min="13" max="13" width="12.5546875" style="80" bestFit="1" customWidth="1"/>
    <col min="14" max="14" width="12" style="80" bestFit="1" customWidth="1"/>
    <col min="15" max="15" width="11.88671875" style="80" customWidth="1"/>
    <col min="16" max="16" width="12" style="80" bestFit="1" customWidth="1"/>
    <col min="17" max="17" width="10.44140625" style="80" bestFit="1" customWidth="1"/>
    <col min="18" max="18" width="7.109375" style="80" customWidth="1"/>
    <col min="19" max="16384" width="8.88671875" style="80"/>
  </cols>
  <sheetData>
    <row r="1" spans="1:18">
      <c r="A1" s="1176" t="str">
        <f>'Table of Contents'!A1:C1</f>
        <v>Atmos Energy Corporation, Kentucky/Mid-States Division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</row>
    <row r="2" spans="1:18">
      <c r="A2" s="1176" t="str">
        <f>'Table of Contents'!A2:C2</f>
        <v>Kentucky Jurisdiction Case No. 2017-00349</v>
      </c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1176"/>
      <c r="N2" s="1176"/>
      <c r="O2" s="1176"/>
      <c r="P2" s="1176"/>
    </row>
    <row r="3" spans="1:18">
      <c r="A3" s="1176" t="str">
        <f>'Table of Contents'!A3:C3</f>
        <v>Base Period: Twelve Months Ended December 31, 2017</v>
      </c>
      <c r="B3" s="1176"/>
      <c r="C3" s="1176"/>
      <c r="D3" s="1176"/>
      <c r="E3" s="1176"/>
      <c r="F3" s="1176"/>
      <c r="G3" s="1176"/>
      <c r="H3" s="1176"/>
      <c r="I3" s="1176"/>
      <c r="J3" s="1176"/>
      <c r="K3" s="1176"/>
      <c r="L3" s="1176"/>
      <c r="M3" s="1176"/>
      <c r="N3" s="1176"/>
      <c r="O3" s="1176"/>
      <c r="P3" s="1176"/>
    </row>
    <row r="4" spans="1:18">
      <c r="A4" s="1176" t="s">
        <v>113</v>
      </c>
      <c r="B4" s="1176"/>
      <c r="C4" s="1176"/>
      <c r="D4" s="1176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</row>
    <row r="5" spans="1:18">
      <c r="P5" s="596" t="s">
        <v>1446</v>
      </c>
    </row>
    <row r="7" spans="1:18">
      <c r="A7" s="80" t="s">
        <v>94</v>
      </c>
      <c r="C7" s="857" t="s">
        <v>108</v>
      </c>
      <c r="D7" s="857" t="s">
        <v>108</v>
      </c>
      <c r="E7" s="857" t="s">
        <v>108</v>
      </c>
      <c r="F7" s="857" t="s">
        <v>108</v>
      </c>
      <c r="G7" s="857" t="s">
        <v>108</v>
      </c>
      <c r="H7" s="857" t="s">
        <v>108</v>
      </c>
      <c r="I7" s="857" t="s">
        <v>108</v>
      </c>
      <c r="J7" s="857" t="s">
        <v>1408</v>
      </c>
      <c r="K7" s="857" t="s">
        <v>458</v>
      </c>
      <c r="L7" s="857" t="s">
        <v>458</v>
      </c>
      <c r="M7" s="857" t="s">
        <v>458</v>
      </c>
      <c r="N7" s="857" t="s">
        <v>458</v>
      </c>
      <c r="O7" s="857" t="s">
        <v>458</v>
      </c>
      <c r="P7" s="857" t="s">
        <v>46</v>
      </c>
    </row>
    <row r="8" spans="1:18">
      <c r="A8" s="927" t="s">
        <v>100</v>
      </c>
      <c r="B8" s="927" t="s">
        <v>993</v>
      </c>
      <c r="C8" s="612">
        <f>O8-365</f>
        <v>42705</v>
      </c>
      <c r="D8" s="612">
        <f>'C.2.2 B 09'!D10</f>
        <v>42736</v>
      </c>
      <c r="E8" s="612">
        <f>'C.2.2 B 09'!E10</f>
        <v>42767</v>
      </c>
      <c r="F8" s="612">
        <f>'C.2.2 B 09'!F10</f>
        <v>42795</v>
      </c>
      <c r="G8" s="612">
        <f>'C.2.2 B 09'!G10</f>
        <v>42826</v>
      </c>
      <c r="H8" s="612">
        <f>'C.2.2 B 09'!H10</f>
        <v>42856</v>
      </c>
      <c r="I8" s="612">
        <f>'C.2.2 B 09'!I10</f>
        <v>42887</v>
      </c>
      <c r="J8" s="612">
        <f>'C.2.2 B 09'!J10</f>
        <v>42917</v>
      </c>
      <c r="K8" s="612">
        <f>'C.2.2 B 09'!K10</f>
        <v>42948</v>
      </c>
      <c r="L8" s="612">
        <f>'C.2.2 B 09'!L10</f>
        <v>42979</v>
      </c>
      <c r="M8" s="612">
        <f>'C.2.2 B 09'!M10</f>
        <v>43009</v>
      </c>
      <c r="N8" s="612">
        <f>'C.2.2 B 09'!N10</f>
        <v>43040</v>
      </c>
      <c r="O8" s="612">
        <f>'C.2.2 B 09'!O10</f>
        <v>43070</v>
      </c>
      <c r="P8" s="933" t="s">
        <v>99</v>
      </c>
      <c r="Q8" s="670"/>
      <c r="R8" s="670"/>
    </row>
    <row r="10" spans="1:18" ht="15.75">
      <c r="A10" s="857">
        <v>1</v>
      </c>
      <c r="B10" s="513" t="s">
        <v>268</v>
      </c>
    </row>
    <row r="11" spans="1:18">
      <c r="A11" s="857">
        <v>2</v>
      </c>
      <c r="B11" s="694"/>
      <c r="R11" s="690"/>
    </row>
    <row r="12" spans="1:18">
      <c r="A12" s="857">
        <v>3</v>
      </c>
      <c r="B12" s="694" t="s">
        <v>1181</v>
      </c>
    </row>
    <row r="13" spans="1:18">
      <c r="A13" s="857">
        <v>4</v>
      </c>
      <c r="B13" s="810" t="s">
        <v>518</v>
      </c>
      <c r="C13" s="359">
        <f>[5]summary!K$21</f>
        <v>0</v>
      </c>
      <c r="D13" s="359">
        <f>[5]summary!L$21</f>
        <v>0</v>
      </c>
      <c r="E13" s="359">
        <f>[5]summary!M$21</f>
        <v>0</v>
      </c>
      <c r="F13" s="359">
        <f>[5]summary!N$21</f>
        <v>0</v>
      </c>
      <c r="G13" s="359">
        <f>[5]summary!O$21</f>
        <v>0</v>
      </c>
      <c r="H13" s="359">
        <f>[5]summary!P$21</f>
        <v>0</v>
      </c>
      <c r="I13" s="359">
        <f>[5]summary!Q$21</f>
        <v>0</v>
      </c>
      <c r="J13" s="359">
        <f>[5]summary!R$21</f>
        <v>0</v>
      </c>
      <c r="K13" s="359">
        <f>[5]summary!S$21</f>
        <v>0</v>
      </c>
      <c r="L13" s="359">
        <f>[5]summary!T$21</f>
        <v>0</v>
      </c>
      <c r="M13" s="359">
        <f>[5]summary!U$21</f>
        <v>0</v>
      </c>
      <c r="N13" s="359">
        <f>[5]summary!V$21</f>
        <v>0</v>
      </c>
      <c r="O13" s="359">
        <f>[5]summary!W$21</f>
        <v>0</v>
      </c>
      <c r="R13" s="690"/>
    </row>
    <row r="14" spans="1:18">
      <c r="A14" s="857">
        <v>5</v>
      </c>
      <c r="B14" s="810" t="s">
        <v>519</v>
      </c>
      <c r="C14" s="359">
        <f>[5]summary!K$22</f>
        <v>-57155.38</v>
      </c>
      <c r="D14" s="359">
        <f>[5]summary!L$22</f>
        <v>-62145.880000000005</v>
      </c>
      <c r="E14" s="359">
        <f>[5]summary!M$22</f>
        <v>-86324.529999999984</v>
      </c>
      <c r="F14" s="359">
        <f>[5]summary!N$22</f>
        <v>-278876.51</v>
      </c>
      <c r="G14" s="359">
        <f>[5]summary!O$22</f>
        <v>-351177.04000000004</v>
      </c>
      <c r="H14" s="359">
        <f>[5]summary!P$22</f>
        <v>-398764.01999999996</v>
      </c>
      <c r="I14" s="359">
        <f>[5]summary!Q$22</f>
        <v>-445842.89999999997</v>
      </c>
      <c r="J14" s="359">
        <f>[5]summary!R$22</f>
        <v>-270521.8133333333</v>
      </c>
      <c r="K14" s="359">
        <f>[5]summary!S$22</f>
        <v>-270521.8133333333</v>
      </c>
      <c r="L14" s="359">
        <f>[5]summary!T$22</f>
        <v>-270521.8133333333</v>
      </c>
      <c r="M14" s="359">
        <f>[5]summary!U$22</f>
        <v>-270521.8133333333</v>
      </c>
      <c r="N14" s="359">
        <f>[5]summary!V$22</f>
        <v>-270521.8133333333</v>
      </c>
      <c r="O14" s="359">
        <f>[5]summary!W$22</f>
        <v>-270521.8133333333</v>
      </c>
    </row>
    <row r="15" spans="1:18">
      <c r="A15" s="857">
        <v>6</v>
      </c>
      <c r="B15" s="1074" t="s">
        <v>520</v>
      </c>
      <c r="C15" s="723">
        <f>SUM(C13:C14)</f>
        <v>-57155.38</v>
      </c>
      <c r="D15" s="723">
        <f t="shared" ref="D15:O15" si="0">SUM(D13:D14)</f>
        <v>-62145.880000000005</v>
      </c>
      <c r="E15" s="723">
        <f t="shared" si="0"/>
        <v>-86324.529999999984</v>
      </c>
      <c r="F15" s="723">
        <f t="shared" si="0"/>
        <v>-278876.51</v>
      </c>
      <c r="G15" s="723">
        <f t="shared" si="0"/>
        <v>-351177.04000000004</v>
      </c>
      <c r="H15" s="723">
        <f t="shared" si="0"/>
        <v>-398764.01999999996</v>
      </c>
      <c r="I15" s="723">
        <f t="shared" si="0"/>
        <v>-445842.89999999997</v>
      </c>
      <c r="J15" s="723">
        <f t="shared" si="0"/>
        <v>-270521.8133333333</v>
      </c>
      <c r="K15" s="723">
        <f t="shared" si="0"/>
        <v>-270521.8133333333</v>
      </c>
      <c r="L15" s="723">
        <f t="shared" si="0"/>
        <v>-270521.8133333333</v>
      </c>
      <c r="M15" s="723">
        <f t="shared" si="0"/>
        <v>-270521.8133333333</v>
      </c>
      <c r="N15" s="723">
        <f t="shared" si="0"/>
        <v>-270521.8133333333</v>
      </c>
      <c r="O15" s="723">
        <f t="shared" si="0"/>
        <v>-270521.8133333333</v>
      </c>
      <c r="P15" s="359">
        <f>(SUM(C15:O15))/13</f>
        <v>-254109.01076923081</v>
      </c>
    </row>
    <row r="16" spans="1:18">
      <c r="A16" s="857">
        <v>7</v>
      </c>
      <c r="B16" s="810"/>
    </row>
    <row r="17" spans="1:16">
      <c r="A17" s="857">
        <v>8</v>
      </c>
      <c r="B17" s="810" t="s">
        <v>1182</v>
      </c>
    </row>
    <row r="18" spans="1:16">
      <c r="A18" s="857">
        <v>9</v>
      </c>
      <c r="B18" s="810" t="s">
        <v>518</v>
      </c>
      <c r="C18" s="359">
        <f>[5]summary!K$16</f>
        <v>76075.44</v>
      </c>
      <c r="D18" s="359">
        <f>[5]summary!L$16</f>
        <v>76075.44</v>
      </c>
      <c r="E18" s="359">
        <f>[5]summary!M$16</f>
        <v>76075.44</v>
      </c>
      <c r="F18" s="359">
        <f>[5]summary!N$16</f>
        <v>76075.44</v>
      </c>
      <c r="G18" s="359">
        <f>[5]summary!O$16</f>
        <v>76075.44</v>
      </c>
      <c r="H18" s="359">
        <f>[5]summary!P$16</f>
        <v>76075.44</v>
      </c>
      <c r="I18" s="359">
        <f>[5]summary!Q$16</f>
        <v>76075.44</v>
      </c>
      <c r="J18" s="359">
        <f>[5]summary!R$16</f>
        <v>76075.44</v>
      </c>
      <c r="K18" s="359">
        <f>[5]summary!S$16</f>
        <v>76075.44</v>
      </c>
      <c r="L18" s="359">
        <f>[5]summary!T$16</f>
        <v>76075.44</v>
      </c>
      <c r="M18" s="359">
        <f>[5]summary!U$16</f>
        <v>76075.44</v>
      </c>
      <c r="N18" s="359">
        <f>[5]summary!V$16</f>
        <v>76075.44</v>
      </c>
      <c r="O18" s="359">
        <f>[5]summary!W$16</f>
        <v>76075.44</v>
      </c>
    </row>
    <row r="19" spans="1:16">
      <c r="A19" s="857">
        <v>10</v>
      </c>
      <c r="B19" s="810" t="s">
        <v>519</v>
      </c>
      <c r="C19" s="359">
        <f>[5]summary!K$17</f>
        <v>585342.82000000007</v>
      </c>
      <c r="D19" s="359">
        <f>[5]summary!L$17</f>
        <v>656724.80000000005</v>
      </c>
      <c r="E19" s="359">
        <f>[5]summary!M$17</f>
        <v>760358.21000000008</v>
      </c>
      <c r="F19" s="359">
        <f>[5]summary!N$17</f>
        <v>853995.7200000002</v>
      </c>
      <c r="G19" s="359">
        <f>[5]summary!O$17</f>
        <v>913349.68999999983</v>
      </c>
      <c r="H19" s="359">
        <f>[5]summary!P$17</f>
        <v>1012172.2599999999</v>
      </c>
      <c r="I19" s="359">
        <f>[5]summary!Q$17</f>
        <v>1079653.4999999998</v>
      </c>
      <c r="J19" s="359">
        <f>[5]summary!R$17</f>
        <v>879375.69666666677</v>
      </c>
      <c r="K19" s="359">
        <f>[5]summary!S$17</f>
        <v>879375.69666666677</v>
      </c>
      <c r="L19" s="359">
        <f>[5]summary!T$17</f>
        <v>879375.69666666677</v>
      </c>
      <c r="M19" s="359">
        <f>[5]summary!U$17</f>
        <v>879375.69666666677</v>
      </c>
      <c r="N19" s="359">
        <f>[5]summary!V$17</f>
        <v>879375.69666666677</v>
      </c>
      <c r="O19" s="359">
        <f>[5]summary!W$17</f>
        <v>879375.69666666677</v>
      </c>
    </row>
    <row r="20" spans="1:16">
      <c r="A20" s="857">
        <v>11</v>
      </c>
      <c r="B20" s="1074" t="s">
        <v>520</v>
      </c>
      <c r="C20" s="723">
        <f>SUM(C18:C19)</f>
        <v>661418.26</v>
      </c>
      <c r="D20" s="723">
        <f t="shared" ref="D20:O20" si="1">SUM(D18:D19)</f>
        <v>732800.24</v>
      </c>
      <c r="E20" s="723">
        <f t="shared" si="1"/>
        <v>836433.65000000014</v>
      </c>
      <c r="F20" s="723">
        <f t="shared" si="1"/>
        <v>930071.16000000015</v>
      </c>
      <c r="G20" s="723">
        <f t="shared" si="1"/>
        <v>989425.12999999989</v>
      </c>
      <c r="H20" s="723">
        <f t="shared" si="1"/>
        <v>1088247.7</v>
      </c>
      <c r="I20" s="723">
        <f t="shared" si="1"/>
        <v>1155728.9399999997</v>
      </c>
      <c r="J20" s="723">
        <f t="shared" si="1"/>
        <v>955451.13666666672</v>
      </c>
      <c r="K20" s="723">
        <f t="shared" si="1"/>
        <v>955451.13666666672</v>
      </c>
      <c r="L20" s="723">
        <f t="shared" si="1"/>
        <v>955451.13666666672</v>
      </c>
      <c r="M20" s="723">
        <f t="shared" si="1"/>
        <v>955451.13666666672</v>
      </c>
      <c r="N20" s="723">
        <f t="shared" si="1"/>
        <v>955451.13666666672</v>
      </c>
      <c r="O20" s="723">
        <f t="shared" si="1"/>
        <v>955451.13666666672</v>
      </c>
      <c r="P20" s="359">
        <f>(SUM(C20:O20))/13</f>
        <v>932833.22307692305</v>
      </c>
    </row>
    <row r="21" spans="1:16">
      <c r="A21" s="857">
        <v>12</v>
      </c>
      <c r="B21" s="810"/>
    </row>
    <row r="22" spans="1:16">
      <c r="A22" s="857">
        <v>13</v>
      </c>
      <c r="B22" s="810" t="s">
        <v>1183</v>
      </c>
    </row>
    <row r="23" spans="1:16">
      <c r="A23" s="857">
        <v>14</v>
      </c>
      <c r="B23" s="810" t="s">
        <v>518</v>
      </c>
      <c r="C23" s="1075">
        <f>[5]summary!K6</f>
        <v>0</v>
      </c>
      <c r="D23" s="1075">
        <f>[5]summary!L6</f>
        <v>0</v>
      </c>
      <c r="E23" s="1075">
        <f>[5]summary!M6</f>
        <v>0</v>
      </c>
      <c r="F23" s="1075">
        <f>[5]summary!N6</f>
        <v>0</v>
      </c>
      <c r="G23" s="1075">
        <f>[5]summary!O6</f>
        <v>0</v>
      </c>
      <c r="H23" s="1075">
        <f>[5]summary!P6</f>
        <v>0</v>
      </c>
      <c r="I23" s="1075">
        <f>[5]summary!Q6</f>
        <v>0</v>
      </c>
      <c r="J23" s="1075">
        <f>[5]summary!R6</f>
        <v>0</v>
      </c>
      <c r="K23" s="1075">
        <f>[5]summary!S6</f>
        <v>0</v>
      </c>
      <c r="L23" s="1075">
        <f>[5]summary!T6</f>
        <v>0</v>
      </c>
      <c r="M23" s="1075">
        <f>[5]summary!U6</f>
        <v>0</v>
      </c>
      <c r="N23" s="1075">
        <f>[5]summary!V6</f>
        <v>0</v>
      </c>
      <c r="O23" s="1075">
        <f>[5]summary!W6</f>
        <v>0</v>
      </c>
    </row>
    <row r="24" spans="1:16">
      <c r="A24" s="857">
        <v>15</v>
      </c>
      <c r="B24" s="810" t="s">
        <v>519</v>
      </c>
      <c r="C24" s="1075">
        <f>[5]summary!K7</f>
        <v>0</v>
      </c>
      <c r="D24" s="1075">
        <f>[5]summary!L7</f>
        <v>0</v>
      </c>
      <c r="E24" s="1075">
        <f>[5]summary!M7</f>
        <v>0</v>
      </c>
      <c r="F24" s="1075">
        <f>[5]summary!N7</f>
        <v>0</v>
      </c>
      <c r="G24" s="1075">
        <f>[5]summary!O7</f>
        <v>0</v>
      </c>
      <c r="H24" s="1075">
        <f>[5]summary!P7</f>
        <v>0</v>
      </c>
      <c r="I24" s="1075">
        <f>[5]summary!Q7</f>
        <v>0</v>
      </c>
      <c r="J24" s="1075">
        <f>[5]summary!R7</f>
        <v>0</v>
      </c>
      <c r="K24" s="1075">
        <f>[5]summary!S7</f>
        <v>0</v>
      </c>
      <c r="L24" s="1075">
        <f>[5]summary!T7</f>
        <v>0</v>
      </c>
      <c r="M24" s="1075">
        <f>[5]summary!U7</f>
        <v>0</v>
      </c>
      <c r="N24" s="1075">
        <f>[5]summary!V7</f>
        <v>0</v>
      </c>
      <c r="O24" s="1075">
        <f>[5]summary!W7</f>
        <v>0</v>
      </c>
    </row>
    <row r="25" spans="1:16">
      <c r="A25" s="857">
        <v>16</v>
      </c>
      <c r="B25" s="1074" t="s">
        <v>520</v>
      </c>
      <c r="C25" s="723">
        <f>SUM(C23:C24)</f>
        <v>0</v>
      </c>
      <c r="D25" s="723">
        <f t="shared" ref="D25:O25" si="2">SUM(D23:D24)</f>
        <v>0</v>
      </c>
      <c r="E25" s="723">
        <f t="shared" si="2"/>
        <v>0</v>
      </c>
      <c r="F25" s="723">
        <f t="shared" si="2"/>
        <v>0</v>
      </c>
      <c r="G25" s="723">
        <f t="shared" si="2"/>
        <v>0</v>
      </c>
      <c r="H25" s="723">
        <f t="shared" si="2"/>
        <v>0</v>
      </c>
      <c r="I25" s="723">
        <f t="shared" si="2"/>
        <v>0</v>
      </c>
      <c r="J25" s="723">
        <f t="shared" si="2"/>
        <v>0</v>
      </c>
      <c r="K25" s="723">
        <f t="shared" si="2"/>
        <v>0</v>
      </c>
      <c r="L25" s="723">
        <f t="shared" si="2"/>
        <v>0</v>
      </c>
      <c r="M25" s="723">
        <f t="shared" si="2"/>
        <v>0</v>
      </c>
      <c r="N25" s="723">
        <f t="shared" si="2"/>
        <v>0</v>
      </c>
      <c r="O25" s="723">
        <f t="shared" si="2"/>
        <v>0</v>
      </c>
      <c r="P25" s="359">
        <f>(SUM(C25:O25))/13</f>
        <v>0</v>
      </c>
    </row>
    <row r="26" spans="1:16">
      <c r="A26" s="857">
        <v>17</v>
      </c>
      <c r="B26" s="810"/>
    </row>
    <row r="27" spans="1:16">
      <c r="A27" s="857">
        <v>18</v>
      </c>
      <c r="B27" s="810" t="s">
        <v>1184</v>
      </c>
    </row>
    <row r="28" spans="1:16">
      <c r="A28" s="857">
        <v>19</v>
      </c>
      <c r="B28" s="810" t="s">
        <v>518</v>
      </c>
      <c r="C28" s="1075" t="str">
        <f>[5]summary!K11</f>
        <v>0</v>
      </c>
      <c r="D28" s="1075" t="str">
        <f>[5]summary!L11</f>
        <v>0</v>
      </c>
      <c r="E28" s="1075" t="str">
        <f>[5]summary!M11</f>
        <v>0</v>
      </c>
      <c r="F28" s="1075" t="str">
        <f>[5]summary!N11</f>
        <v>0</v>
      </c>
      <c r="G28" s="1075" t="str">
        <f>[5]summary!O11</f>
        <v>0</v>
      </c>
      <c r="H28" s="1075" t="str">
        <f>[5]summary!P11</f>
        <v>0</v>
      </c>
      <c r="I28" s="1075" t="str">
        <f>[5]summary!Q11</f>
        <v>0</v>
      </c>
      <c r="J28" s="1075" t="str">
        <f>[5]summary!R11</f>
        <v>0</v>
      </c>
      <c r="K28" s="1075" t="str">
        <f>[5]summary!S11</f>
        <v>0</v>
      </c>
      <c r="L28" s="1075" t="str">
        <f>[5]summary!T11</f>
        <v>0</v>
      </c>
      <c r="M28" s="1075" t="str">
        <f>[5]summary!U11</f>
        <v>0</v>
      </c>
      <c r="N28" s="1075" t="str">
        <f>[5]summary!V11</f>
        <v>0</v>
      </c>
      <c r="O28" s="1075" t="str">
        <f>[5]summary!W11</f>
        <v>0</v>
      </c>
    </row>
    <row r="29" spans="1:16">
      <c r="A29" s="857">
        <v>20</v>
      </c>
      <c r="B29" s="810" t="s">
        <v>519</v>
      </c>
      <c r="C29" s="1075" t="str">
        <f>[5]summary!K12</f>
        <v>0</v>
      </c>
      <c r="D29" s="1075" t="str">
        <f>[5]summary!L12</f>
        <v>0</v>
      </c>
      <c r="E29" s="1075" t="str">
        <f>[5]summary!M12</f>
        <v>0</v>
      </c>
      <c r="F29" s="1075" t="str">
        <f>[5]summary!N12</f>
        <v>0</v>
      </c>
      <c r="G29" s="1075" t="str">
        <f>[5]summary!O12</f>
        <v>0</v>
      </c>
      <c r="H29" s="1075" t="str">
        <f>[5]summary!P12</f>
        <v>0</v>
      </c>
      <c r="I29" s="1075" t="str">
        <f>[5]summary!Q12</f>
        <v>0</v>
      </c>
      <c r="J29" s="1075" t="str">
        <f>[5]summary!R12</f>
        <v>0</v>
      </c>
      <c r="K29" s="1075" t="str">
        <f>[5]summary!S12</f>
        <v>0</v>
      </c>
      <c r="L29" s="1075" t="str">
        <f>[5]summary!T12</f>
        <v>0</v>
      </c>
      <c r="M29" s="1075" t="str">
        <f>[5]summary!U12</f>
        <v>0</v>
      </c>
      <c r="N29" s="1075" t="str">
        <f>[5]summary!V12</f>
        <v>0</v>
      </c>
      <c r="O29" s="1075" t="str">
        <f>[5]summary!W12</f>
        <v>0</v>
      </c>
    </row>
    <row r="30" spans="1:16">
      <c r="A30" s="857">
        <v>21</v>
      </c>
      <c r="B30" s="1074" t="s">
        <v>520</v>
      </c>
      <c r="C30" s="723">
        <f>SUM(C28:C29)</f>
        <v>0</v>
      </c>
      <c r="D30" s="723">
        <f t="shared" ref="D30:J30" si="3">SUM(D28:D29)</f>
        <v>0</v>
      </c>
      <c r="E30" s="723">
        <f t="shared" si="3"/>
        <v>0</v>
      </c>
      <c r="F30" s="723">
        <f t="shared" si="3"/>
        <v>0</v>
      </c>
      <c r="G30" s="723">
        <f t="shared" si="3"/>
        <v>0</v>
      </c>
      <c r="H30" s="723">
        <f t="shared" si="3"/>
        <v>0</v>
      </c>
      <c r="I30" s="723">
        <f t="shared" si="3"/>
        <v>0</v>
      </c>
      <c r="J30" s="723">
        <f t="shared" si="3"/>
        <v>0</v>
      </c>
      <c r="K30" s="723">
        <f>SUM(K28:K29)</f>
        <v>0</v>
      </c>
      <c r="L30" s="723">
        <f>SUM(L28:L29)</f>
        <v>0</v>
      </c>
      <c r="M30" s="723">
        <f>SUM(M28:M29)</f>
        <v>0</v>
      </c>
      <c r="N30" s="723">
        <f>SUM(N28:N29)</f>
        <v>0</v>
      </c>
      <c r="O30" s="723">
        <f>SUM(O28:O29)</f>
        <v>0</v>
      </c>
      <c r="P30" s="359">
        <f>(SUM(C30:O30))/13</f>
        <v>0</v>
      </c>
    </row>
    <row r="31" spans="1:16">
      <c r="A31" s="857">
        <v>22</v>
      </c>
      <c r="B31" s="810"/>
    </row>
    <row r="32" spans="1:16" ht="15.75">
      <c r="A32" s="857">
        <v>23</v>
      </c>
      <c r="B32" s="513" t="s">
        <v>521</v>
      </c>
    </row>
    <row r="33" spans="1:18">
      <c r="A33" s="857">
        <v>24</v>
      </c>
      <c r="B33" s="96"/>
    </row>
    <row r="34" spans="1:18">
      <c r="A34" s="857">
        <v>25</v>
      </c>
      <c r="B34" s="810" t="s">
        <v>1181</v>
      </c>
      <c r="C34" s="359">
        <f>'[7]2017 dollars'!E126</f>
        <v>14824454.549999999</v>
      </c>
      <c r="D34" s="359">
        <f>'[7]2017 dollars'!F126</f>
        <v>6741670.5500000017</v>
      </c>
      <c r="E34" s="359">
        <f>'[7]2017 dollars'!G126</f>
        <v>2380328.580000001</v>
      </c>
      <c r="F34" s="359">
        <f>'[7]2017 dollars'!H126</f>
        <v>-1585227.1199999996</v>
      </c>
      <c r="G34" s="359">
        <f>'[7]2017 dollars'!I126</f>
        <v>1123327.4100000001</v>
      </c>
      <c r="H34" s="359">
        <f>'[7]2017 dollars'!J126</f>
        <v>2873790.4</v>
      </c>
      <c r="I34" s="359">
        <f>'[7]2017 dollars'!K126</f>
        <v>5812075.6500000004</v>
      </c>
      <c r="J34" s="359">
        <f>'[7]2017 dollars'!L126</f>
        <v>8272783.7200000007</v>
      </c>
      <c r="K34" s="359">
        <f>'[7]2017 dollars'!M126</f>
        <v>11340753.880000001</v>
      </c>
      <c r="L34" s="359">
        <f>'[7]2017 dollars'!N126</f>
        <v>14331314.09</v>
      </c>
      <c r="M34" s="359">
        <f>'[7]2017 dollars'!C139</f>
        <v>17779375.599999998</v>
      </c>
      <c r="N34" s="359">
        <f>'[7]2017 dollars'!D139</f>
        <v>15668363.290000003</v>
      </c>
      <c r="O34" s="359">
        <f>'[7]2017 dollars'!E139</f>
        <v>12337277.359999999</v>
      </c>
      <c r="P34" s="359">
        <f>(SUM(C34:O34))/13</f>
        <v>8607714.4584615398</v>
      </c>
      <c r="Q34" s="670"/>
      <c r="R34" s="670"/>
    </row>
    <row r="35" spans="1:18">
      <c r="A35" s="857">
        <v>26</v>
      </c>
      <c r="B35" s="810"/>
      <c r="K35" s="359"/>
      <c r="L35" s="359"/>
      <c r="M35" s="359"/>
      <c r="N35" s="359"/>
      <c r="O35" s="359"/>
    </row>
    <row r="36" spans="1:18">
      <c r="A36" s="857">
        <v>27</v>
      </c>
      <c r="B36" s="810" t="s">
        <v>1182</v>
      </c>
      <c r="C36" s="457">
        <v>0</v>
      </c>
      <c r="D36" s="457">
        <v>0</v>
      </c>
      <c r="E36" s="457">
        <v>0</v>
      </c>
      <c r="F36" s="457">
        <v>0</v>
      </c>
      <c r="G36" s="457">
        <v>0</v>
      </c>
      <c r="H36" s="457">
        <v>0</v>
      </c>
      <c r="I36" s="457">
        <v>0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457">
        <v>0</v>
      </c>
      <c r="P36" s="359">
        <f>(SUM(C36:O36))/13</f>
        <v>0</v>
      </c>
    </row>
    <row r="37" spans="1:18">
      <c r="A37" s="857">
        <v>28</v>
      </c>
      <c r="B37" s="810"/>
    </row>
    <row r="38" spans="1:18">
      <c r="A38" s="857">
        <v>29</v>
      </c>
      <c r="B38" s="810" t="s">
        <v>1183</v>
      </c>
      <c r="C38" s="457">
        <v>0</v>
      </c>
      <c r="D38" s="457">
        <v>0</v>
      </c>
      <c r="E38" s="457">
        <v>0</v>
      </c>
      <c r="F38" s="457">
        <v>0</v>
      </c>
      <c r="G38" s="457">
        <v>0</v>
      </c>
      <c r="H38" s="457">
        <v>0</v>
      </c>
      <c r="I38" s="457">
        <v>0</v>
      </c>
      <c r="J38" s="457">
        <v>0</v>
      </c>
      <c r="K38" s="457">
        <v>0</v>
      </c>
      <c r="L38" s="457">
        <v>0</v>
      </c>
      <c r="M38" s="457">
        <v>0</v>
      </c>
      <c r="N38" s="457">
        <v>0</v>
      </c>
      <c r="O38" s="457">
        <v>0</v>
      </c>
      <c r="P38" s="359">
        <f>(SUM(C38:O38))/13</f>
        <v>0</v>
      </c>
    </row>
    <row r="39" spans="1:18">
      <c r="A39" s="857">
        <v>30</v>
      </c>
      <c r="B39" s="810"/>
    </row>
    <row r="40" spans="1:18">
      <c r="A40" s="857">
        <v>31</v>
      </c>
      <c r="B40" s="810" t="s">
        <v>1184</v>
      </c>
      <c r="C40" s="457">
        <v>0</v>
      </c>
      <c r="D40" s="457">
        <v>0</v>
      </c>
      <c r="E40" s="457">
        <v>0</v>
      </c>
      <c r="F40" s="457">
        <v>0</v>
      </c>
      <c r="G40" s="457">
        <v>0</v>
      </c>
      <c r="H40" s="457">
        <v>0</v>
      </c>
      <c r="I40" s="457">
        <v>0</v>
      </c>
      <c r="J40" s="457">
        <v>0</v>
      </c>
      <c r="K40" s="457">
        <v>0</v>
      </c>
      <c r="L40" s="457">
        <v>0</v>
      </c>
      <c r="M40" s="457">
        <v>0</v>
      </c>
      <c r="N40" s="457">
        <v>0</v>
      </c>
      <c r="O40" s="457">
        <v>0</v>
      </c>
      <c r="P40" s="359">
        <f>(SUM(C40:O40))/13</f>
        <v>0</v>
      </c>
    </row>
    <row r="41" spans="1:18">
      <c r="A41" s="857">
        <v>32</v>
      </c>
      <c r="B41" s="1074"/>
    </row>
    <row r="42" spans="1:18" ht="15.75">
      <c r="A42" s="857">
        <v>33</v>
      </c>
      <c r="B42" s="513" t="s">
        <v>522</v>
      </c>
    </row>
    <row r="43" spans="1:18">
      <c r="A43" s="857">
        <v>34</v>
      </c>
      <c r="B43" s="694"/>
    </row>
    <row r="44" spans="1:18">
      <c r="A44" s="857">
        <v>35</v>
      </c>
      <c r="B44" s="810" t="s">
        <v>1181</v>
      </c>
      <c r="C44" s="359">
        <f>0</f>
        <v>0</v>
      </c>
      <c r="D44" s="359">
        <f>0</f>
        <v>0</v>
      </c>
      <c r="E44" s="359">
        <f>0</f>
        <v>0</v>
      </c>
      <c r="F44" s="359">
        <f>0</f>
        <v>0</v>
      </c>
      <c r="G44" s="359">
        <f>0</f>
        <v>0</v>
      </c>
      <c r="H44" s="359">
        <f>0</f>
        <v>0</v>
      </c>
      <c r="I44" s="359">
        <f>0</f>
        <v>0</v>
      </c>
      <c r="J44" s="359">
        <f>0</f>
        <v>0</v>
      </c>
      <c r="K44" s="359">
        <f>0</f>
        <v>0</v>
      </c>
      <c r="L44" s="359">
        <f>0</f>
        <v>0</v>
      </c>
      <c r="M44" s="359">
        <f>0</f>
        <v>0</v>
      </c>
      <c r="N44" s="359">
        <f>0</f>
        <v>0</v>
      </c>
      <c r="O44" s="359">
        <f>0</f>
        <v>0</v>
      </c>
      <c r="P44" s="359">
        <f>(SUM(C44:O44))/13</f>
        <v>0</v>
      </c>
    </row>
    <row r="45" spans="1:18">
      <c r="A45" s="857">
        <v>36</v>
      </c>
      <c r="B45" s="810"/>
    </row>
    <row r="46" spans="1:18">
      <c r="A46" s="857">
        <v>37</v>
      </c>
      <c r="B46" s="810" t="s">
        <v>1182</v>
      </c>
      <c r="C46" s="359">
        <f>0</f>
        <v>0</v>
      </c>
      <c r="D46" s="359">
        <f>0</f>
        <v>0</v>
      </c>
      <c r="E46" s="359">
        <f>0</f>
        <v>0</v>
      </c>
      <c r="F46" s="359">
        <f>0</f>
        <v>0</v>
      </c>
      <c r="G46" s="359">
        <f>0</f>
        <v>0</v>
      </c>
      <c r="H46" s="359">
        <f>0</f>
        <v>0</v>
      </c>
      <c r="I46" s="359">
        <f>0</f>
        <v>0</v>
      </c>
      <c r="J46" s="359">
        <f>0</f>
        <v>0</v>
      </c>
      <c r="K46" s="359">
        <f>0</f>
        <v>0</v>
      </c>
      <c r="L46" s="359">
        <f>0</f>
        <v>0</v>
      </c>
      <c r="M46" s="359">
        <f>0</f>
        <v>0</v>
      </c>
      <c r="N46" s="359">
        <f>0</f>
        <v>0</v>
      </c>
      <c r="O46" s="359">
        <f>0</f>
        <v>0</v>
      </c>
      <c r="P46" s="359">
        <f>(SUM(C46:O46))/13</f>
        <v>0</v>
      </c>
    </row>
    <row r="47" spans="1:18">
      <c r="A47" s="857">
        <v>38</v>
      </c>
      <c r="B47" s="810"/>
    </row>
    <row r="48" spans="1:18">
      <c r="A48" s="857">
        <v>39</v>
      </c>
      <c r="B48" s="810" t="s">
        <v>1183</v>
      </c>
      <c r="C48" s="359">
        <f>0</f>
        <v>0</v>
      </c>
      <c r="D48" s="359">
        <f>0</f>
        <v>0</v>
      </c>
      <c r="E48" s="359">
        <f>0</f>
        <v>0</v>
      </c>
      <c r="F48" s="359">
        <f>0</f>
        <v>0</v>
      </c>
      <c r="G48" s="359">
        <f>0</f>
        <v>0</v>
      </c>
      <c r="H48" s="359">
        <f>0</f>
        <v>0</v>
      </c>
      <c r="I48" s="359">
        <f>0</f>
        <v>0</v>
      </c>
      <c r="J48" s="359">
        <f>0</f>
        <v>0</v>
      </c>
      <c r="K48" s="359">
        <f>0</f>
        <v>0</v>
      </c>
      <c r="L48" s="359">
        <f>0</f>
        <v>0</v>
      </c>
      <c r="M48" s="359">
        <f>0</f>
        <v>0</v>
      </c>
      <c r="N48" s="359">
        <f>0</f>
        <v>0</v>
      </c>
      <c r="O48" s="359">
        <f>0</f>
        <v>0</v>
      </c>
      <c r="P48" s="359">
        <f>(SUM(C48:O48))/13</f>
        <v>0</v>
      </c>
    </row>
    <row r="49" spans="1:16">
      <c r="A49" s="857">
        <v>40</v>
      </c>
      <c r="B49" s="810"/>
    </row>
    <row r="50" spans="1:16">
      <c r="A50" s="857">
        <v>41</v>
      </c>
      <c r="B50" s="810" t="s">
        <v>1184</v>
      </c>
      <c r="C50" s="359">
        <f>0</f>
        <v>0</v>
      </c>
      <c r="D50" s="359">
        <f>0</f>
        <v>0</v>
      </c>
      <c r="E50" s="359">
        <f>0</f>
        <v>0</v>
      </c>
      <c r="F50" s="359">
        <f>0</f>
        <v>0</v>
      </c>
      <c r="G50" s="359">
        <f>0</f>
        <v>0</v>
      </c>
      <c r="H50" s="359">
        <f>0</f>
        <v>0</v>
      </c>
      <c r="I50" s="359">
        <f>0</f>
        <v>0</v>
      </c>
      <c r="J50" s="359">
        <f>0</f>
        <v>0</v>
      </c>
      <c r="K50" s="359">
        <f>0</f>
        <v>0</v>
      </c>
      <c r="L50" s="359">
        <f>0</f>
        <v>0</v>
      </c>
      <c r="M50" s="359">
        <f>0</f>
        <v>0</v>
      </c>
      <c r="N50" s="359">
        <f>0</f>
        <v>0</v>
      </c>
      <c r="O50" s="359">
        <f>0</f>
        <v>0</v>
      </c>
      <c r="P50" s="359">
        <f>(SUM(C50:O50))/13</f>
        <v>0</v>
      </c>
    </row>
    <row r="55" spans="1:16">
      <c r="B55" s="80" t="s">
        <v>523</v>
      </c>
    </row>
    <row r="56" spans="1:16">
      <c r="B56" s="80" t="s">
        <v>1653</v>
      </c>
    </row>
    <row r="59" spans="1:16">
      <c r="C59" s="670"/>
    </row>
    <row r="60" spans="1:16">
      <c r="C60" s="670"/>
    </row>
  </sheetData>
  <mergeCells count="4">
    <mergeCell ref="A1:P1"/>
    <mergeCell ref="A2:P2"/>
    <mergeCell ref="A3:P3"/>
    <mergeCell ref="A4:P4"/>
  </mergeCells>
  <phoneticPr fontId="22" type="noConversion"/>
  <pageMargins left="0.56000000000000005" right="0.47" top="1" bottom="1" header="0.5" footer="0.5"/>
  <pageSetup scale="49" orientation="landscape" r:id="rId1"/>
  <headerFooter alignWithMargins="0">
    <oddFooter>&amp;R&amp;A
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R78"/>
  <sheetViews>
    <sheetView view="pageBreakPreview" zoomScale="70" zoomScaleNormal="70" zoomScaleSheetLayoutView="70" workbookViewId="0">
      <pane xSplit="3" ySplit="11" topLeftCell="D12" activePane="bottomRight" state="frozen"/>
      <selection activeCell="G63" sqref="G63"/>
      <selection pane="topRight" activeCell="G63" sqref="G63"/>
      <selection pane="bottomLeft" activeCell="G63" sqref="G63"/>
      <selection pane="bottomRight" activeCell="L54" sqref="L54"/>
    </sheetView>
  </sheetViews>
  <sheetFormatPr defaultColWidth="8.44140625" defaultRowHeight="15"/>
  <cols>
    <col min="1" max="1" width="5.77734375" style="81" customWidth="1"/>
    <col min="2" max="2" width="7.109375" style="81" customWidth="1"/>
    <col min="3" max="3" width="48.33203125" style="81" customWidth="1"/>
    <col min="4" max="4" width="13.21875" style="81" bestFit="1" customWidth="1"/>
    <col min="5" max="7" width="13.109375" style="81" bestFit="1" customWidth="1"/>
    <col min="8" max="8" width="13.109375" style="74" bestFit="1" customWidth="1"/>
    <col min="9" max="10" width="13.109375" style="81" bestFit="1" customWidth="1"/>
    <col min="11" max="14" width="16.21875" style="81" customWidth="1"/>
    <col min="15" max="15" width="13.5546875" style="81" customWidth="1"/>
    <col min="16" max="16" width="13.21875" style="81" customWidth="1"/>
    <col min="17" max="17" width="13.77734375" style="81" customWidth="1"/>
    <col min="18" max="16384" width="8.44140625" style="81"/>
  </cols>
  <sheetData>
    <row r="1" spans="1:18">
      <c r="A1" s="1180" t="str">
        <f>Allocation!A1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  <c r="O1" s="1180"/>
      <c r="P1" s="1180"/>
      <c r="Q1" s="1180"/>
    </row>
    <row r="2" spans="1:18">
      <c r="A2" s="1180" t="str">
        <f>Allocation!A2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</row>
    <row r="3" spans="1:18">
      <c r="A3" s="1180" t="s">
        <v>515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  <c r="M3" s="1180"/>
      <c r="N3" s="1180"/>
      <c r="O3" s="1180"/>
      <c r="P3" s="1180"/>
      <c r="Q3" s="1180"/>
      <c r="R3" s="690"/>
    </row>
    <row r="4" spans="1:18">
      <c r="A4" s="699" t="str">
        <f>Allocation!A3</f>
        <v>Base Period: Twelve Months Ended December 31, 2017</v>
      </c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9"/>
    </row>
    <row r="5" spans="1:18">
      <c r="A5" s="167"/>
      <c r="B5" s="150"/>
      <c r="C5" s="150"/>
      <c r="D5" s="150"/>
      <c r="E5" s="150"/>
      <c r="F5" s="150"/>
      <c r="G5" s="150"/>
      <c r="H5" s="370"/>
      <c r="I5" s="150"/>
      <c r="J5" s="150"/>
      <c r="K5" s="150"/>
    </row>
    <row r="6" spans="1:18">
      <c r="A6" s="1033" t="str">
        <f>'B.1 B'!A6</f>
        <v>Data:__X___Base Period______Forecasted Period</v>
      </c>
      <c r="B6" s="1033"/>
      <c r="C6" s="74"/>
      <c r="P6" s="81" t="s">
        <v>1448</v>
      </c>
    </row>
    <row r="7" spans="1:18">
      <c r="A7" s="1033" t="str">
        <f>'B.1 B'!A7</f>
        <v>Type of Filing:___X____Original________Updated ________Revised</v>
      </c>
      <c r="B7" s="74"/>
      <c r="C7" s="1033"/>
      <c r="P7" s="81" t="s">
        <v>724</v>
      </c>
    </row>
    <row r="8" spans="1:18">
      <c r="A8" s="390" t="str">
        <f>'B.1 B'!A8</f>
        <v>Workpaper Reference No(s).</v>
      </c>
      <c r="B8" s="151"/>
      <c r="C8" s="151"/>
      <c r="D8" s="151"/>
      <c r="E8" s="151"/>
      <c r="F8" s="151"/>
      <c r="G8" s="82"/>
      <c r="H8" s="82"/>
      <c r="I8" s="151"/>
      <c r="J8" s="151"/>
      <c r="K8" s="82"/>
      <c r="L8" s="151"/>
      <c r="M8" s="82"/>
      <c r="N8" s="82"/>
      <c r="O8" s="82"/>
      <c r="P8" s="82"/>
      <c r="Q8" s="82"/>
    </row>
    <row r="9" spans="1:18">
      <c r="D9" s="860"/>
      <c r="E9" s="76"/>
      <c r="F9" s="858"/>
      <c r="G9" s="858"/>
      <c r="H9" s="75"/>
      <c r="I9" s="858"/>
      <c r="J9" s="76"/>
      <c r="K9" s="858"/>
    </row>
    <row r="10" spans="1:18">
      <c r="A10" s="858" t="s">
        <v>94</v>
      </c>
      <c r="B10" s="858" t="s">
        <v>95</v>
      </c>
      <c r="D10" s="857" t="s">
        <v>108</v>
      </c>
      <c r="E10" s="857" t="s">
        <v>108</v>
      </c>
      <c r="F10" s="857" t="s">
        <v>108</v>
      </c>
      <c r="G10" s="857" t="s">
        <v>108</v>
      </c>
      <c r="H10" s="857" t="s">
        <v>108</v>
      </c>
      <c r="I10" s="857" t="s">
        <v>108</v>
      </c>
      <c r="J10" s="857" t="s">
        <v>108</v>
      </c>
      <c r="K10" s="1171" t="s">
        <v>108</v>
      </c>
      <c r="L10" s="1171" t="s">
        <v>108</v>
      </c>
      <c r="M10" s="1171" t="s">
        <v>108</v>
      </c>
      <c r="N10" s="1171" t="s">
        <v>108</v>
      </c>
      <c r="O10" s="1171" t="s">
        <v>108</v>
      </c>
      <c r="P10" s="1171" t="s">
        <v>108</v>
      </c>
      <c r="Q10" s="960" t="s">
        <v>319</v>
      </c>
    </row>
    <row r="11" spans="1:18">
      <c r="A11" s="433" t="s">
        <v>100</v>
      </c>
      <c r="B11" s="433" t="s">
        <v>101</v>
      </c>
      <c r="C11" s="151"/>
      <c r="D11" s="612">
        <f>'WP B.4.1B'!C8</f>
        <v>42705</v>
      </c>
      <c r="E11" s="612">
        <f>'WP B.4.1B'!D8</f>
        <v>42736</v>
      </c>
      <c r="F11" s="612">
        <f>'WP B.4.1B'!E8</f>
        <v>42767</v>
      </c>
      <c r="G11" s="612">
        <f>'WP B.4.1B'!F8</f>
        <v>42795</v>
      </c>
      <c r="H11" s="612">
        <f>'WP B.4.1B'!G8</f>
        <v>42826</v>
      </c>
      <c r="I11" s="612">
        <f>'WP B.4.1B'!H8</f>
        <v>42856</v>
      </c>
      <c r="J11" s="612">
        <f>'WP B.4.1B'!I8</f>
        <v>42887</v>
      </c>
      <c r="K11" s="612">
        <f>'WP B.4.1B'!J8</f>
        <v>42917</v>
      </c>
      <c r="L11" s="612">
        <f>'WP B.4.1B'!K8</f>
        <v>42948</v>
      </c>
      <c r="M11" s="612">
        <f>'WP B.4.1B'!L8</f>
        <v>42979</v>
      </c>
      <c r="N11" s="612">
        <f>'WP B.4.1B'!M8</f>
        <v>43009</v>
      </c>
      <c r="O11" s="612">
        <f>'WP B.4.1B'!N8</f>
        <v>43040</v>
      </c>
      <c r="P11" s="612">
        <f>'WP B.4.1B'!O8</f>
        <v>43070</v>
      </c>
      <c r="Q11" s="519" t="s">
        <v>99</v>
      </c>
    </row>
    <row r="12" spans="1:18" ht="15.75">
      <c r="B12" s="925" t="s">
        <v>214</v>
      </c>
    </row>
    <row r="13" spans="1:18">
      <c r="A13" s="858">
        <v>1</v>
      </c>
      <c r="C13" s="619" t="s">
        <v>679</v>
      </c>
      <c r="D13" s="1076">
        <f>'[8]Division 009'!CO$130+'[8]Division 009'!CO$131</f>
        <v>2519497.8199999998</v>
      </c>
      <c r="E13" s="1076">
        <f>'[8]Division 009'!CP$130+'[8]Division 009'!CP$131</f>
        <v>2519497.8199999998</v>
      </c>
      <c r="F13" s="1076">
        <f>'[8]Division 009'!CQ$130+'[8]Division 009'!CQ$131</f>
        <v>2519497.8199999998</v>
      </c>
      <c r="G13" s="1076">
        <f>'[8]Division 009'!CR$130+'[8]Division 009'!CR$131</f>
        <v>2519497.8199999998</v>
      </c>
      <c r="H13" s="1076">
        <f>'[8]Division 009'!CS$130+'[8]Division 009'!CS$131</f>
        <v>2519497.8199999998</v>
      </c>
      <c r="I13" s="1076">
        <f>'[8]Division 009'!CT$130+'[8]Division 009'!CT$131</f>
        <v>2519497.8199999998</v>
      </c>
      <c r="J13" s="1076">
        <f>'[8]Division 009'!CU$130+'[8]Division 009'!CU$131</f>
        <v>2519497.8199999998</v>
      </c>
      <c r="K13" s="1076">
        <f>'[8]Division 009'!CV$130+'[8]Division 009'!CV$131</f>
        <v>2519497.8199999998</v>
      </c>
      <c r="L13" s="1076">
        <f>'[8]Division 009'!CW$130+'[8]Division 009'!CW$131</f>
        <v>2519497.8199999998</v>
      </c>
      <c r="M13" s="1076">
        <f>'[8]Division 009'!CX$130+'[8]Division 009'!CX$131</f>
        <v>3698601.82</v>
      </c>
      <c r="N13" s="1076">
        <f>'[8]Division 009'!CY$130+'[8]Division 009'!CY$131</f>
        <v>3698601.82</v>
      </c>
      <c r="O13" s="1076">
        <f>'[8]Division 009'!CZ$130+'[8]Division 009'!CZ$131</f>
        <v>3698601.82</v>
      </c>
      <c r="P13" s="1076">
        <f>'[8]Division 009'!DA$130+'[8]Division 009'!DA$131</f>
        <v>58597635.010000005</v>
      </c>
      <c r="Q13" s="552">
        <f>(SUM(D13:P13))/13</f>
        <v>7105301.6038461532</v>
      </c>
    </row>
    <row r="14" spans="1:18" ht="14.25" customHeight="1">
      <c r="A14" s="858">
        <f>A13+1</f>
        <v>2</v>
      </c>
      <c r="B14" s="1077"/>
      <c r="C14" s="88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170"/>
    </row>
    <row r="15" spans="1:18">
      <c r="A15" s="858">
        <f t="shared" ref="A15:A49" si="0">A14+1</f>
        <v>3</v>
      </c>
      <c r="C15" s="619" t="s">
        <v>680</v>
      </c>
      <c r="D15" s="607">
        <f>SUM('[8]Division 009'!CO$132:CO$133)</f>
        <v>-98603125.820000008</v>
      </c>
      <c r="E15" s="607">
        <f>SUM('[8]Division 009'!CP$132:CP$133)</f>
        <v>-98603125.820000008</v>
      </c>
      <c r="F15" s="607">
        <f>SUM('[8]Division 009'!CQ$132:CQ$133)</f>
        <v>-98603125.820000008</v>
      </c>
      <c r="G15" s="607">
        <f>SUM('[8]Division 009'!CR$132:CR$133)</f>
        <v>-98603125.820000008</v>
      </c>
      <c r="H15" s="607">
        <f>SUM('[8]Division 009'!CS$132:CS$133)</f>
        <v>-98603125.820000008</v>
      </c>
      <c r="I15" s="607">
        <f>SUM('[8]Division 009'!CT$132:CT$133)</f>
        <v>-98603125.820000008</v>
      </c>
      <c r="J15" s="607">
        <f>SUM('[8]Division 009'!CU$132:CU$133)</f>
        <v>-98603125.820000008</v>
      </c>
      <c r="K15" s="607">
        <f>SUM('[8]Division 009'!CV$132:CV$133)</f>
        <v>-98603125.820000008</v>
      </c>
      <c r="L15" s="607">
        <f>SUM('[8]Division 009'!CW$132:CW$133)</f>
        <v>-98603125.820000008</v>
      </c>
      <c r="M15" s="607">
        <f>SUM('[8]Division 009'!CX$132:CX$133)</f>
        <v>-111956139.82000001</v>
      </c>
      <c r="N15" s="607">
        <f>SUM('[8]Division 009'!CY$132:CY$133)</f>
        <v>-111956139.82000001</v>
      </c>
      <c r="O15" s="607">
        <f>SUM('[8]Division 009'!CZ$132:CZ$133)</f>
        <v>-111956139.82000001</v>
      </c>
      <c r="P15" s="607">
        <f>SUM('[8]Division 009'!DA$132:DA$133)</f>
        <v>-111956139.82000001</v>
      </c>
      <c r="Q15" s="609">
        <f>(SUM(D15:P15))/13</f>
        <v>-102711745.5123077</v>
      </c>
    </row>
    <row r="16" spans="1:18">
      <c r="A16" s="858">
        <f t="shared" si="0"/>
        <v>4</v>
      </c>
      <c r="B16" s="1077"/>
      <c r="C16" s="8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9"/>
    </row>
    <row r="17" spans="1:18">
      <c r="A17" s="858">
        <f t="shared" si="0"/>
        <v>5</v>
      </c>
      <c r="C17" s="619" t="s">
        <v>681</v>
      </c>
      <c r="D17" s="607">
        <f>SUM('[8]Division 009'!CO$134:CO$136)</f>
        <v>-831636.20000000007</v>
      </c>
      <c r="E17" s="607">
        <f>SUM('[8]Division 009'!CP$134:CP$136)</f>
        <v>-831636.20000000007</v>
      </c>
      <c r="F17" s="607">
        <f>SUM('[8]Division 009'!CQ$134:CQ$136)</f>
        <v>-831636.20000000007</v>
      </c>
      <c r="G17" s="607">
        <f>SUM('[8]Division 009'!CR$134:CR$136)</f>
        <v>-831636.20000000007</v>
      </c>
      <c r="H17" s="607">
        <f>SUM('[8]Division 009'!CS$134:CS$136)</f>
        <v>-831636.20000000007</v>
      </c>
      <c r="I17" s="607">
        <f>SUM('[8]Division 009'!CT$134:CT$136)</f>
        <v>-831636.20000000007</v>
      </c>
      <c r="J17" s="607">
        <f>SUM('[8]Division 009'!CU$134:CU$136)</f>
        <v>-831636.20000000007</v>
      </c>
      <c r="K17" s="607">
        <f>SUM('[8]Division 009'!CV$134:CV$136)</f>
        <v>-831636.20000000007</v>
      </c>
      <c r="L17" s="607">
        <f>SUM('[8]Division 009'!CW$134:CW$136)</f>
        <v>-831636.20000000007</v>
      </c>
      <c r="M17" s="607">
        <f>SUM('[8]Division 009'!CX$134:CX$136)</f>
        <v>-4189005.2</v>
      </c>
      <c r="N17" s="607">
        <f>SUM('[8]Division 009'!CY$134:CY$136)</f>
        <v>-4189005.2</v>
      </c>
      <c r="O17" s="607">
        <f>SUM('[8]Division 009'!CZ$134:CZ$136)</f>
        <v>-4189005.2</v>
      </c>
      <c r="P17" s="607">
        <f>SUM('[8]Division 009'!DA$134:DA$136)</f>
        <v>-4189005.2</v>
      </c>
      <c r="Q17" s="609">
        <f>(SUM(D17:P17))/13</f>
        <v>-1864672.8153846152</v>
      </c>
    </row>
    <row r="18" spans="1:18" ht="14.25" customHeight="1">
      <c r="A18" s="858">
        <f t="shared" si="0"/>
        <v>6</v>
      </c>
      <c r="B18" s="1077"/>
      <c r="C18" s="88"/>
      <c r="D18" s="77"/>
      <c r="E18" s="77"/>
      <c r="F18" s="77"/>
      <c r="G18" s="77"/>
      <c r="H18" s="77"/>
      <c r="I18" s="74"/>
      <c r="J18" s="74"/>
      <c r="K18" s="74"/>
      <c r="L18" s="428"/>
      <c r="M18" s="428"/>
      <c r="N18" s="428"/>
      <c r="O18" s="428"/>
    </row>
    <row r="19" spans="1:18">
      <c r="A19" s="858">
        <f t="shared" si="0"/>
        <v>7</v>
      </c>
      <c r="C19" s="861" t="s">
        <v>31</v>
      </c>
      <c r="D19" s="574">
        <f t="shared" ref="D19:P19" si="1">SUM(D13:D17)</f>
        <v>-96915264.200000018</v>
      </c>
      <c r="E19" s="574">
        <f t="shared" si="1"/>
        <v>-96915264.200000018</v>
      </c>
      <c r="F19" s="574">
        <f t="shared" si="1"/>
        <v>-96915264.200000018</v>
      </c>
      <c r="G19" s="574">
        <f t="shared" si="1"/>
        <v>-96915264.200000018</v>
      </c>
      <c r="H19" s="574">
        <f t="shared" si="1"/>
        <v>-96915264.200000018</v>
      </c>
      <c r="I19" s="574">
        <f t="shared" si="1"/>
        <v>-96915264.200000018</v>
      </c>
      <c r="J19" s="574">
        <f t="shared" si="1"/>
        <v>-96915264.200000018</v>
      </c>
      <c r="K19" s="574">
        <f t="shared" si="1"/>
        <v>-96915264.200000018</v>
      </c>
      <c r="L19" s="574">
        <f t="shared" si="1"/>
        <v>-96915264.200000018</v>
      </c>
      <c r="M19" s="574">
        <f t="shared" si="1"/>
        <v>-112446543.20000002</v>
      </c>
      <c r="N19" s="574">
        <f t="shared" si="1"/>
        <v>-112446543.20000002</v>
      </c>
      <c r="O19" s="574">
        <f t="shared" si="1"/>
        <v>-112446543.20000002</v>
      </c>
      <c r="P19" s="544">
        <f t="shared" si="1"/>
        <v>-57547510.010000005</v>
      </c>
      <c r="Q19" s="544">
        <f>(SUM(D19:P19))/13</f>
        <v>-97471116.723846182</v>
      </c>
      <c r="R19" s="609"/>
    </row>
    <row r="20" spans="1:18" ht="14.25" customHeight="1">
      <c r="A20" s="858">
        <f t="shared" si="0"/>
        <v>8</v>
      </c>
      <c r="B20" s="1077"/>
      <c r="C20" s="88"/>
      <c r="D20" s="77"/>
      <c r="E20" s="77"/>
      <c r="F20" s="77"/>
      <c r="G20" s="77"/>
      <c r="H20" s="77"/>
      <c r="I20" s="74"/>
      <c r="J20" s="74"/>
      <c r="K20" s="74"/>
      <c r="L20" s="428"/>
      <c r="M20" s="428"/>
      <c r="N20" s="428"/>
      <c r="O20" s="428"/>
    </row>
    <row r="21" spans="1:18" ht="15.75">
      <c r="A21" s="858">
        <f t="shared" si="0"/>
        <v>9</v>
      </c>
      <c r="B21" s="925" t="s">
        <v>215</v>
      </c>
      <c r="D21" s="74"/>
      <c r="E21" s="74"/>
      <c r="F21" s="74"/>
      <c r="G21" s="74"/>
      <c r="I21" s="74"/>
      <c r="J21" s="74"/>
      <c r="K21" s="74"/>
      <c r="L21" s="428"/>
      <c r="M21" s="428"/>
      <c r="N21" s="428"/>
      <c r="O21" s="428"/>
    </row>
    <row r="22" spans="1:18">
      <c r="A22" s="858">
        <f t="shared" si="0"/>
        <v>10</v>
      </c>
      <c r="C22" s="619" t="s">
        <v>679</v>
      </c>
      <c r="D22" s="1076">
        <f>'[8]Division 002'!CO133</f>
        <v>814487516.05999994</v>
      </c>
      <c r="E22" s="1076">
        <f>'[8]Division 002'!CP133</f>
        <v>814487516.05999994</v>
      </c>
      <c r="F22" s="1076">
        <f>'[8]Division 002'!CQ133</f>
        <v>814487516.05999994</v>
      </c>
      <c r="G22" s="1076">
        <f>'[8]Division 002'!CR133</f>
        <v>828348814.62766099</v>
      </c>
      <c r="H22" s="1076">
        <f>'[8]Division 002'!CS133</f>
        <v>828348814.62766099</v>
      </c>
      <c r="I22" s="1076">
        <f>'[8]Division 002'!CT133</f>
        <v>828348814.62766099</v>
      </c>
      <c r="J22" s="1076">
        <f>'[8]Division 002'!CU133</f>
        <v>831419397.12216103</v>
      </c>
      <c r="K22" s="1076">
        <f>'[8]Division 002'!CV133</f>
        <v>831419397.12216103</v>
      </c>
      <c r="L22" s="1076">
        <f>'[8]Division 002'!CW133</f>
        <v>831419397.12216103</v>
      </c>
      <c r="M22" s="1076">
        <f>'[8]Division 002'!CX133</f>
        <v>861644589.62</v>
      </c>
      <c r="N22" s="1076">
        <f>'[8]Division 002'!CY133</f>
        <v>861644589.62</v>
      </c>
      <c r="O22" s="1076">
        <f>'[8]Division 002'!CZ133</f>
        <v>861644589.62</v>
      </c>
      <c r="P22" s="1076">
        <f>'[8]Division 002'!DA133</f>
        <v>515666099.09999996</v>
      </c>
      <c r="Q22" s="552">
        <f>(SUM(D22:P22))/13</f>
        <v>809489773.18380523</v>
      </c>
      <c r="R22" s="670"/>
    </row>
    <row r="23" spans="1:18">
      <c r="A23" s="858">
        <f t="shared" si="0"/>
        <v>11</v>
      </c>
      <c r="D23" s="607"/>
      <c r="E23" s="607"/>
      <c r="F23" s="607"/>
      <c r="G23" s="607"/>
      <c r="H23" s="607"/>
      <c r="I23" s="607"/>
      <c r="J23" s="607"/>
      <c r="K23" s="607"/>
      <c r="L23" s="607"/>
      <c r="M23" s="607"/>
      <c r="N23" s="607"/>
      <c r="O23" s="607"/>
      <c r="P23" s="607"/>
      <c r="Q23" s="170"/>
    </row>
    <row r="24" spans="1:18">
      <c r="A24" s="858">
        <f t="shared" si="0"/>
        <v>12</v>
      </c>
      <c r="C24" s="619" t="s">
        <v>680</v>
      </c>
      <c r="D24" s="607">
        <f>SUM('[8]Division 002'!CO$136:CO$137)</f>
        <v>823198.37999999989</v>
      </c>
      <c r="E24" s="607">
        <f>SUM('[8]Division 002'!CP$136:CP$137)</f>
        <v>823198.37999999989</v>
      </c>
      <c r="F24" s="607">
        <f>SUM('[8]Division 002'!CQ$136:CQ$137)</f>
        <v>823198.37999999989</v>
      </c>
      <c r="G24" s="607">
        <f>SUM('[8]Division 002'!CR$136:CR$137)</f>
        <v>-49976378.779999994</v>
      </c>
      <c r="H24" s="607">
        <f>SUM('[8]Division 002'!CS$136:CS$137)</f>
        <v>-49976378.779999994</v>
      </c>
      <c r="I24" s="607">
        <f>SUM('[8]Division 002'!CT$136:CT$137)</f>
        <v>-49976378.779999994</v>
      </c>
      <c r="J24" s="607">
        <f>SUM('[8]Division 002'!CU$136:CU$137)</f>
        <v>-35492391.189999998</v>
      </c>
      <c r="K24" s="607">
        <f>SUM('[8]Division 002'!CV$136:CV$137)</f>
        <v>-35492391.189999998</v>
      </c>
      <c r="L24" s="607">
        <f>SUM('[8]Division 002'!CW$136:CW$137)</f>
        <v>-35492391.189999998</v>
      </c>
      <c r="M24" s="607">
        <f>SUM('[8]Division 002'!CX$136:CX$137)</f>
        <v>-27246885.509999998</v>
      </c>
      <c r="N24" s="607">
        <f>SUM('[8]Division 002'!CY$136:CY$137)</f>
        <v>-27246885.509999998</v>
      </c>
      <c r="O24" s="607">
        <f>SUM('[8]Division 002'!CZ$136:CZ$137)</f>
        <v>-27246885.509999998</v>
      </c>
      <c r="P24" s="607">
        <f>SUM('[8]Division 002'!DA$136:DA$137)</f>
        <v>-6689770.5099999998</v>
      </c>
      <c r="Q24" s="609">
        <f>(SUM(D24:P24))/13</f>
        <v>-26335933.98538461</v>
      </c>
    </row>
    <row r="25" spans="1:18" ht="14.25" customHeight="1">
      <c r="A25" s="858">
        <f t="shared" si="0"/>
        <v>13</v>
      </c>
      <c r="B25" s="1077"/>
      <c r="C25" s="88"/>
      <c r="D25" s="608"/>
      <c r="E25" s="608"/>
      <c r="F25" s="608"/>
      <c r="G25" s="608"/>
      <c r="H25" s="608"/>
      <c r="I25" s="608"/>
      <c r="J25" s="608"/>
      <c r="K25" s="608"/>
      <c r="L25" s="608"/>
      <c r="M25" s="608"/>
      <c r="N25" s="608"/>
      <c r="O25" s="608"/>
      <c r="P25" s="608"/>
      <c r="Q25" s="609"/>
    </row>
    <row r="26" spans="1:18">
      <c r="A26" s="858">
        <f t="shared" si="0"/>
        <v>14</v>
      </c>
      <c r="C26" s="619" t="s">
        <v>681</v>
      </c>
      <c r="D26" s="607">
        <f>SUM('[8]Division 002'!CO$138:CO$140)</f>
        <v>18200873.68</v>
      </c>
      <c r="E26" s="607">
        <f>SUM('[8]Division 002'!CP$138:CP$140)</f>
        <v>15873893.98</v>
      </c>
      <c r="F26" s="607">
        <f>SUM('[8]Division 002'!CQ$138:CQ$140)</f>
        <v>14260639.09</v>
      </c>
      <c r="G26" s="607">
        <f>SUM('[8]Division 002'!CR$138:CR$140)</f>
        <v>14934608.549999999</v>
      </c>
      <c r="H26" s="607">
        <f>SUM('[8]Division 002'!CS$138:CS$140)</f>
        <v>22864483.030000001</v>
      </c>
      <c r="I26" s="607">
        <f>SUM('[8]Division 002'!CT$138:CT$140)</f>
        <v>28876846.380000003</v>
      </c>
      <c r="J26" s="607">
        <f>SUM('[8]Division 002'!CU$138:CU$140)</f>
        <v>25114926.609999999</v>
      </c>
      <c r="K26" s="607">
        <f>SUM('[8]Division 002'!CV$138:CV$140)</f>
        <v>24367392.060000002</v>
      </c>
      <c r="L26" s="607">
        <f>SUM('[8]Division 002'!CW$138:CW$140)</f>
        <v>31965570.829999998</v>
      </c>
      <c r="M26" s="607">
        <f>SUM('[8]Division 002'!CX$138:CX$140)</f>
        <v>39734596.469999999</v>
      </c>
      <c r="N26" s="607">
        <f>SUM('[8]Division 002'!CY$138:CY$140)</f>
        <v>37249730.960000001</v>
      </c>
      <c r="O26" s="607">
        <f>SUM('[8]Division 002'!CZ$138:CZ$140)</f>
        <v>36948088.18</v>
      </c>
      <c r="P26" s="607">
        <f>SUM('[8]Division 002'!DA$138:DA$140)</f>
        <v>23059258.109999999</v>
      </c>
      <c r="Q26" s="609">
        <f>(SUM(D26:P26))/13</f>
        <v>25650069.840769231</v>
      </c>
    </row>
    <row r="27" spans="1:18" ht="14.25" customHeight="1">
      <c r="A27" s="858">
        <f t="shared" si="0"/>
        <v>15</v>
      </c>
      <c r="B27" s="1077"/>
      <c r="C27" s="88"/>
      <c r="D27" s="77"/>
      <c r="E27" s="77"/>
      <c r="F27" s="77"/>
      <c r="G27" s="77"/>
      <c r="H27" s="77"/>
      <c r="I27" s="74"/>
      <c r="J27" s="74"/>
      <c r="K27" s="74"/>
      <c r="L27" s="428"/>
      <c r="M27" s="428"/>
      <c r="N27" s="428"/>
      <c r="O27" s="428"/>
    </row>
    <row r="28" spans="1:18">
      <c r="A28" s="858">
        <f t="shared" si="0"/>
        <v>16</v>
      </c>
      <c r="C28" s="861" t="s">
        <v>69</v>
      </c>
      <c r="D28" s="574">
        <f t="shared" ref="D28:P28" si="2">SUM(D22:D26)</f>
        <v>833511588.11999989</v>
      </c>
      <c r="E28" s="574">
        <f t="shared" si="2"/>
        <v>831184608.41999996</v>
      </c>
      <c r="F28" s="574">
        <f t="shared" si="2"/>
        <v>829571353.52999997</v>
      </c>
      <c r="G28" s="574">
        <f t="shared" si="2"/>
        <v>793307044.39766097</v>
      </c>
      <c r="H28" s="574">
        <f t="shared" si="2"/>
        <v>801236918.87766099</v>
      </c>
      <c r="I28" s="574">
        <f t="shared" si="2"/>
        <v>807249282.22766101</v>
      </c>
      <c r="J28" s="574">
        <f t="shared" si="2"/>
        <v>821041932.54216111</v>
      </c>
      <c r="K28" s="574">
        <f t="shared" si="2"/>
        <v>820294397.99216104</v>
      </c>
      <c r="L28" s="574">
        <f t="shared" si="2"/>
        <v>827892576.76216114</v>
      </c>
      <c r="M28" s="574">
        <f t="shared" si="2"/>
        <v>874132300.58000004</v>
      </c>
      <c r="N28" s="574">
        <f t="shared" si="2"/>
        <v>871647435.07000005</v>
      </c>
      <c r="O28" s="574">
        <f t="shared" si="2"/>
        <v>871345792.28999996</v>
      </c>
      <c r="P28" s="544">
        <f t="shared" si="2"/>
        <v>532035586.69999999</v>
      </c>
      <c r="Q28" s="544">
        <f>(SUM(D28:P28))/13</f>
        <v>808803909.03918982</v>
      </c>
      <c r="R28" s="609"/>
    </row>
    <row r="29" spans="1:18" ht="15.75">
      <c r="A29" s="858">
        <f t="shared" si="0"/>
        <v>17</v>
      </c>
      <c r="B29" s="925" t="s">
        <v>1126</v>
      </c>
      <c r="C29" s="861"/>
      <c r="D29" s="374"/>
      <c r="E29" s="374"/>
      <c r="F29" s="374"/>
      <c r="G29" s="76"/>
      <c r="H29" s="76"/>
      <c r="I29" s="76"/>
      <c r="J29" s="76"/>
      <c r="K29" s="76"/>
      <c r="L29" s="428"/>
      <c r="M29" s="428"/>
      <c r="N29" s="428"/>
      <c r="O29" s="428"/>
    </row>
    <row r="30" spans="1:18">
      <c r="A30" s="858">
        <f t="shared" si="0"/>
        <v>18</v>
      </c>
      <c r="C30" s="619" t="s">
        <v>679</v>
      </c>
      <c r="D30" s="1076">
        <f>SUM('[8]Division 012'!CO$130:CO$131)</f>
        <v>-0.41000000000000003</v>
      </c>
      <c r="E30" s="1076">
        <f>SUM('[8]Division 012'!CP$130:CP$131)</f>
        <v>-0.41000000000000003</v>
      </c>
      <c r="F30" s="1076">
        <f>SUM('[8]Division 012'!CQ$130:CQ$131)</f>
        <v>-0.41000000000000003</v>
      </c>
      <c r="G30" s="1076">
        <f>SUM('[8]Division 012'!CR$130:CR$131)</f>
        <v>-0.41000000000000003</v>
      </c>
      <c r="H30" s="1076">
        <f>SUM('[8]Division 012'!CS$130:CS$131)</f>
        <v>-0.41000000000000003</v>
      </c>
      <c r="I30" s="1076">
        <f>SUM('[8]Division 012'!CT$130:CT$131)</f>
        <v>-0.41000000000000003</v>
      </c>
      <c r="J30" s="1076">
        <f>SUM('[8]Division 012'!CU$130:CU$131)</f>
        <v>-0.41000000000000003</v>
      </c>
      <c r="K30" s="1076">
        <f>SUM('[8]Division 012'!CV$130:CV$131)</f>
        <v>-0.41000000000000003</v>
      </c>
      <c r="L30" s="1076">
        <f>SUM('[8]Division 012'!CW$130:CW$131)</f>
        <v>-0.41000000000000003</v>
      </c>
      <c r="M30" s="1076">
        <f>SUM('[8]Division 012'!CX$130:CX$131)</f>
        <v>10985.59</v>
      </c>
      <c r="N30" s="1076">
        <f>SUM('[8]Division 012'!CY$130:CY$131)</f>
        <v>10985.59</v>
      </c>
      <c r="O30" s="1076">
        <f>SUM('[8]Division 012'!CZ$130:CZ$131)</f>
        <v>10985.59</v>
      </c>
      <c r="P30" s="1076">
        <f>SUM('[8]Division 012'!DA$130:DA$131)</f>
        <v>10835399.149999999</v>
      </c>
      <c r="Q30" s="552">
        <f>(SUM(D30:P30))/13</f>
        <v>836027.09461538447</v>
      </c>
    </row>
    <row r="31" spans="1:18">
      <c r="A31" s="858">
        <f t="shared" si="0"/>
        <v>19</v>
      </c>
      <c r="D31" s="607"/>
      <c r="E31" s="607"/>
      <c r="F31" s="607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170"/>
    </row>
    <row r="32" spans="1:18">
      <c r="A32" s="858">
        <f t="shared" si="0"/>
        <v>20</v>
      </c>
      <c r="C32" s="619" t="s">
        <v>680</v>
      </c>
      <c r="D32" s="607">
        <f>SUM('[8]Division 012'!CO$132:CO$133)</f>
        <v>-27916937.350000001</v>
      </c>
      <c r="E32" s="607">
        <f>SUM('[8]Division 012'!CP$132:CP$133)</f>
        <v>-27916937.350000001</v>
      </c>
      <c r="F32" s="607">
        <f>SUM('[8]Division 012'!CQ$132:CQ$133)</f>
        <v>-27916937.350000001</v>
      </c>
      <c r="G32" s="607">
        <f>SUM('[8]Division 012'!CR$132:CR$133)</f>
        <v>-27916937.350000001</v>
      </c>
      <c r="H32" s="607">
        <f>SUM('[8]Division 012'!CS$132:CS$133)</f>
        <v>-27916937.350000001</v>
      </c>
      <c r="I32" s="607">
        <f>SUM('[8]Division 012'!CT$132:CT$133)</f>
        <v>-27916937.350000001</v>
      </c>
      <c r="J32" s="607">
        <f>SUM('[8]Division 012'!CU$132:CU$133)</f>
        <v>-27916937.350000001</v>
      </c>
      <c r="K32" s="607">
        <f>SUM('[8]Division 012'!CV$132:CV$133)</f>
        <v>-27916937.350000001</v>
      </c>
      <c r="L32" s="607">
        <f>SUM('[8]Division 012'!CW$132:CW$133)</f>
        <v>-27916937.350000001</v>
      </c>
      <c r="M32" s="607">
        <f>SUM('[8]Division 012'!CX$132:CX$133)</f>
        <v>-27565559.350000001</v>
      </c>
      <c r="N32" s="607">
        <f>SUM('[8]Division 012'!CY$132:CY$133)</f>
        <v>-27565559.350000001</v>
      </c>
      <c r="O32" s="607">
        <f>SUM('[8]Division 012'!CZ$132:CZ$133)</f>
        <v>-27565559.350000001</v>
      </c>
      <c r="P32" s="607">
        <f>SUM('[8]Division 012'!DA$132:DA$133)</f>
        <v>-27565559.350000001</v>
      </c>
      <c r="Q32" s="609">
        <f>(SUM(D32:P32))/13</f>
        <v>-27808821.042307697</v>
      </c>
    </row>
    <row r="33" spans="1:18">
      <c r="A33" s="858">
        <f t="shared" si="0"/>
        <v>21</v>
      </c>
      <c r="B33" s="1077"/>
      <c r="C33" s="88"/>
      <c r="D33" s="608"/>
      <c r="E33" s="608"/>
      <c r="F33" s="608"/>
      <c r="G33" s="608"/>
      <c r="H33" s="608"/>
      <c r="I33" s="608"/>
      <c r="J33" s="608"/>
      <c r="K33" s="608"/>
      <c r="L33" s="608"/>
      <c r="M33" s="608"/>
      <c r="N33" s="608"/>
      <c r="O33" s="608"/>
      <c r="P33" s="608"/>
      <c r="Q33" s="170"/>
    </row>
    <row r="34" spans="1:18">
      <c r="A34" s="858">
        <f t="shared" si="0"/>
        <v>22</v>
      </c>
      <c r="C34" s="619" t="s">
        <v>681</v>
      </c>
      <c r="D34" s="607">
        <f>SUM('[8]Division 012'!CO$134:CO$136)</f>
        <v>-574779</v>
      </c>
      <c r="E34" s="607">
        <f>SUM('[8]Division 012'!CP$134:CP$136)</f>
        <v>-574779</v>
      </c>
      <c r="F34" s="607">
        <f>SUM('[8]Division 012'!CQ$134:CQ$136)</f>
        <v>-574779</v>
      </c>
      <c r="G34" s="607">
        <f>SUM('[8]Division 012'!CR$134:CR$136)</f>
        <v>-574779</v>
      </c>
      <c r="H34" s="607">
        <f>SUM('[8]Division 012'!CS$134:CS$136)</f>
        <v>-574779</v>
      </c>
      <c r="I34" s="607">
        <f>SUM('[8]Division 012'!CT$134:CT$136)</f>
        <v>-574779</v>
      </c>
      <c r="J34" s="607">
        <f>SUM('[8]Division 012'!CU$134:CU$136)</f>
        <v>-574779</v>
      </c>
      <c r="K34" s="607">
        <f>SUM('[8]Division 012'!CV$134:CV$136)</f>
        <v>-574779</v>
      </c>
      <c r="L34" s="607">
        <f>SUM('[8]Division 012'!CW$134:CW$136)</f>
        <v>-574779</v>
      </c>
      <c r="M34" s="607">
        <f>SUM('[8]Division 012'!CX$134:CX$136)</f>
        <v>-1326618</v>
      </c>
      <c r="N34" s="607">
        <f>SUM('[8]Division 012'!CY$134:CY$136)</f>
        <v>-1326618</v>
      </c>
      <c r="O34" s="607">
        <f>SUM('[8]Division 012'!CZ$134:CZ$136)</f>
        <v>-1326618</v>
      </c>
      <c r="P34" s="607">
        <f>SUM('[8]Division 012'!DA$134:DA$136)</f>
        <v>-1326618</v>
      </c>
      <c r="Q34" s="609">
        <f>(SUM(D34:P34))/13</f>
        <v>-806114.07692307688</v>
      </c>
    </row>
    <row r="35" spans="1:18">
      <c r="A35" s="858">
        <f t="shared" si="0"/>
        <v>23</v>
      </c>
      <c r="B35" s="1077"/>
      <c r="C35" s="88"/>
      <c r="D35" s="77"/>
      <c r="E35" s="77"/>
      <c r="F35" s="77"/>
      <c r="G35" s="77"/>
      <c r="H35" s="77"/>
      <c r="I35" s="74"/>
      <c r="J35" s="74"/>
      <c r="K35" s="74"/>
      <c r="L35" s="428"/>
      <c r="M35" s="428"/>
      <c r="N35" s="428"/>
      <c r="O35" s="428"/>
    </row>
    <row r="36" spans="1:18">
      <c r="A36" s="858">
        <f t="shared" si="0"/>
        <v>24</v>
      </c>
      <c r="C36" s="861" t="s">
        <v>725</v>
      </c>
      <c r="D36" s="574">
        <f t="shared" ref="D36:P36" si="3">SUM(D30:D34)</f>
        <v>-28491716.760000002</v>
      </c>
      <c r="E36" s="574">
        <f t="shared" si="3"/>
        <v>-28491716.760000002</v>
      </c>
      <c r="F36" s="574">
        <f t="shared" si="3"/>
        <v>-28491716.760000002</v>
      </c>
      <c r="G36" s="574">
        <f t="shared" si="3"/>
        <v>-28491716.760000002</v>
      </c>
      <c r="H36" s="574">
        <f t="shared" si="3"/>
        <v>-28491716.760000002</v>
      </c>
      <c r="I36" s="574">
        <f t="shared" si="3"/>
        <v>-28491716.760000002</v>
      </c>
      <c r="J36" s="574">
        <f t="shared" si="3"/>
        <v>-28491716.760000002</v>
      </c>
      <c r="K36" s="574">
        <f>SUM(K30:K34)</f>
        <v>-28491716.760000002</v>
      </c>
      <c r="L36" s="574">
        <f t="shared" si="3"/>
        <v>-28491716.760000002</v>
      </c>
      <c r="M36" s="574">
        <f t="shared" si="3"/>
        <v>-28881191.760000002</v>
      </c>
      <c r="N36" s="574">
        <f t="shared" si="3"/>
        <v>-28881191.760000002</v>
      </c>
      <c r="O36" s="574">
        <f t="shared" si="3"/>
        <v>-28881191.760000002</v>
      </c>
      <c r="P36" s="544">
        <f t="shared" si="3"/>
        <v>-18056778.200000003</v>
      </c>
      <c r="Q36" s="544">
        <f>(SUM(D36:P36))/13</f>
        <v>-27778908.024615381</v>
      </c>
      <c r="R36" s="609"/>
    </row>
    <row r="37" spans="1:18">
      <c r="A37" s="858">
        <f t="shared" si="0"/>
        <v>25</v>
      </c>
      <c r="C37" s="861"/>
      <c r="D37" s="77"/>
      <c r="E37" s="77"/>
      <c r="F37" s="77"/>
      <c r="G37" s="74"/>
      <c r="I37" s="74"/>
      <c r="J37" s="74"/>
      <c r="K37" s="74"/>
      <c r="L37" s="428"/>
      <c r="M37" s="428"/>
      <c r="N37" s="428"/>
      <c r="O37" s="428"/>
    </row>
    <row r="38" spans="1:18" ht="15.75">
      <c r="A38" s="858">
        <f t="shared" si="0"/>
        <v>26</v>
      </c>
      <c r="B38" s="925" t="s">
        <v>682</v>
      </c>
      <c r="D38" s="74"/>
      <c r="E38" s="74"/>
      <c r="F38" s="74"/>
      <c r="G38" s="74"/>
      <c r="I38" s="74"/>
      <c r="J38" s="74"/>
      <c r="K38" s="74"/>
      <c r="L38" s="428"/>
      <c r="M38" s="428"/>
      <c r="N38" s="428"/>
      <c r="O38" s="428"/>
    </row>
    <row r="39" spans="1:18">
      <c r="A39" s="858">
        <f t="shared" si="0"/>
        <v>27</v>
      </c>
      <c r="C39" s="619" t="s">
        <v>679</v>
      </c>
      <c r="D39" s="1076">
        <f>SUM('[8]Division 091'!CO$130:CO$131)</f>
        <v>5723472.1400000006</v>
      </c>
      <c r="E39" s="1076">
        <f>SUM('[8]Division 091'!CP$130:CP$131)</f>
        <v>5723472.1400000006</v>
      </c>
      <c r="F39" s="1076">
        <f>SUM('[8]Division 091'!CQ$130:CQ$131)</f>
        <v>5723472.1400000006</v>
      </c>
      <c r="G39" s="1076">
        <f>SUM('[8]Division 091'!CR$130:CR$131)</f>
        <v>5723472.1400000006</v>
      </c>
      <c r="H39" s="1076">
        <f>SUM('[8]Division 091'!CS$130:CS$131)</f>
        <v>5723472.1400000006</v>
      </c>
      <c r="I39" s="1076">
        <f>SUM('[8]Division 091'!CT$130:CT$131)</f>
        <v>5723472.1400000006</v>
      </c>
      <c r="J39" s="1076">
        <f>SUM('[8]Division 091'!CU$130:CU$131)</f>
        <v>5723472.1400000006</v>
      </c>
      <c r="K39" s="1076">
        <f>SUM('[8]Division 091'!CV$130:CV$131)</f>
        <v>5723472.1400000006</v>
      </c>
      <c r="L39" s="1076">
        <f>SUM('[8]Division 091'!CW$130:CW$131)</f>
        <v>5723472.1400000006</v>
      </c>
      <c r="M39" s="1076">
        <f>SUM('[8]Division 091'!CX$130:CX$131)</f>
        <v>1375632.1400000001</v>
      </c>
      <c r="N39" s="1076">
        <f>SUM('[8]Division 091'!CY$130:CY$131)</f>
        <v>1375632.1400000001</v>
      </c>
      <c r="O39" s="1076">
        <f>SUM('[8]Division 091'!CZ$130:CZ$131)</f>
        <v>1375632.1400000001</v>
      </c>
      <c r="P39" s="1076">
        <f>SUM('[8]Division 091'!DA$130:DA$131)</f>
        <v>-92981851.459999993</v>
      </c>
      <c r="Q39" s="552">
        <f>(SUM(D39:P39))/13</f>
        <v>-2872592.7523076911</v>
      </c>
    </row>
    <row r="40" spans="1:18">
      <c r="A40" s="858">
        <f t="shared" si="0"/>
        <v>28</v>
      </c>
      <c r="D40" s="607"/>
      <c r="E40" s="607"/>
      <c r="F40" s="607"/>
      <c r="G40" s="607"/>
      <c r="H40" s="607"/>
      <c r="I40" s="607"/>
      <c r="J40" s="607"/>
      <c r="K40" s="607"/>
      <c r="L40" s="607"/>
      <c r="M40" s="607"/>
      <c r="N40" s="607"/>
      <c r="O40" s="607"/>
      <c r="P40" s="607"/>
      <c r="Q40" s="170"/>
    </row>
    <row r="41" spans="1:18">
      <c r="A41" s="858">
        <f t="shared" si="0"/>
        <v>29</v>
      </c>
      <c r="C41" s="619" t="s">
        <v>680</v>
      </c>
      <c r="D41" s="607">
        <f>SUM('[8]Division 091'!CO$132:CO$133)</f>
        <v>-4004703.2100000009</v>
      </c>
      <c r="E41" s="607">
        <f>SUM('[8]Division 091'!CP$132:CP$133)</f>
        <v>-4004703.2100000009</v>
      </c>
      <c r="F41" s="607">
        <f>SUM('[8]Division 091'!CQ$132:CQ$133)</f>
        <v>-4004703.2100000009</v>
      </c>
      <c r="G41" s="607">
        <f>SUM('[8]Division 091'!CR$132:CR$133)</f>
        <v>-10319370.01</v>
      </c>
      <c r="H41" s="607">
        <f>SUM('[8]Division 091'!CS$132:CS$133)</f>
        <v>-10319370.01</v>
      </c>
      <c r="I41" s="607">
        <f>SUM('[8]Division 091'!CT$132:CT$133)</f>
        <v>-10319370.01</v>
      </c>
      <c r="J41" s="607">
        <f>SUM('[8]Division 091'!CU$132:CU$133)</f>
        <v>-13731308.210000001</v>
      </c>
      <c r="K41" s="607">
        <f>SUM('[8]Division 091'!CV$132:CV$133)</f>
        <v>-13731308.210000001</v>
      </c>
      <c r="L41" s="607">
        <f>SUM('[8]Division 091'!CW$132:CW$133)</f>
        <v>-13731308.210000001</v>
      </c>
      <c r="M41" s="607">
        <f>SUM('[8]Division 091'!CX$132:CX$133)</f>
        <v>5115449.5</v>
      </c>
      <c r="N41" s="607">
        <f>SUM('[8]Division 091'!CY$132:CY$133)</f>
        <v>5115449.5</v>
      </c>
      <c r="O41" s="607">
        <f>SUM('[8]Division 091'!CZ$132:CZ$133)</f>
        <v>5115449.5</v>
      </c>
      <c r="P41" s="607">
        <f>SUM('[8]Division 091'!DA$132:DA$133)</f>
        <v>87637610.5</v>
      </c>
      <c r="Q41" s="609">
        <f>(SUM(D41:P41))/13</f>
        <v>1447524.2084615391</v>
      </c>
    </row>
    <row r="42" spans="1:18">
      <c r="A42" s="858">
        <f t="shared" si="0"/>
        <v>30</v>
      </c>
      <c r="B42" s="858"/>
      <c r="C42" s="88"/>
      <c r="D42" s="608"/>
      <c r="E42" s="608"/>
      <c r="F42" s="608"/>
      <c r="G42" s="608"/>
      <c r="H42" s="608"/>
      <c r="I42" s="608"/>
      <c r="J42" s="608"/>
      <c r="K42" s="608"/>
      <c r="L42" s="608"/>
      <c r="M42" s="608"/>
      <c r="N42" s="608"/>
      <c r="O42" s="608"/>
      <c r="P42" s="608"/>
      <c r="Q42" s="170"/>
    </row>
    <row r="43" spans="1:18">
      <c r="A43" s="858">
        <f t="shared" si="0"/>
        <v>31</v>
      </c>
      <c r="C43" s="619" t="s">
        <v>681</v>
      </c>
      <c r="D43" s="607">
        <f>SUM('[8]Division 091'!CO$134:CO$136)</f>
        <v>-1653672.15</v>
      </c>
      <c r="E43" s="607">
        <f>SUM('[8]Division 091'!CP$134:CP$136)</f>
        <v>-1653672.15</v>
      </c>
      <c r="F43" s="607">
        <f>SUM('[8]Division 091'!CQ$134:CQ$136)</f>
        <v>-1653672.15</v>
      </c>
      <c r="G43" s="607">
        <f>SUM('[8]Division 091'!CR$134:CR$136)</f>
        <v>-1653672.15</v>
      </c>
      <c r="H43" s="607">
        <f>SUM('[8]Division 091'!CS$134:CS$136)</f>
        <v>-1653672.15</v>
      </c>
      <c r="I43" s="607">
        <f>SUM('[8]Division 091'!CT$134:CT$136)</f>
        <v>-1653672.15</v>
      </c>
      <c r="J43" s="607">
        <f>SUM('[8]Division 091'!CU$134:CU$136)</f>
        <v>-1653672.15</v>
      </c>
      <c r="K43" s="607">
        <f>SUM('[8]Division 091'!CV$134:CV$136)</f>
        <v>-1653672.15</v>
      </c>
      <c r="L43" s="607">
        <f>SUM('[8]Division 091'!CW$134:CW$136)</f>
        <v>-1653672.15</v>
      </c>
      <c r="M43" s="607">
        <f>SUM('[8]Division 091'!CX$134:CX$136)</f>
        <v>-1597956.15</v>
      </c>
      <c r="N43" s="607">
        <f>SUM('[8]Division 091'!CY$134:CY$136)</f>
        <v>-1597956.15</v>
      </c>
      <c r="O43" s="607">
        <f>SUM('[8]Division 091'!CZ$134:CZ$136)</f>
        <v>-1597956.15</v>
      </c>
      <c r="P43" s="607">
        <f>SUM('[8]Division 091'!DA$134:DA$136)</f>
        <v>-609788.14999999991</v>
      </c>
      <c r="Q43" s="609">
        <f>(SUM(D43:P43))/13</f>
        <v>-1560515.8423076922</v>
      </c>
    </row>
    <row r="44" spans="1:18">
      <c r="A44" s="858">
        <f t="shared" si="0"/>
        <v>32</v>
      </c>
      <c r="C44" s="88"/>
      <c r="D44" s="607"/>
      <c r="E44" s="607"/>
      <c r="F44" s="607"/>
      <c r="G44" s="607"/>
      <c r="H44" s="607"/>
      <c r="I44" s="607"/>
      <c r="J44" s="607"/>
      <c r="K44" s="607"/>
      <c r="L44" s="609"/>
      <c r="M44" s="609"/>
      <c r="N44" s="609"/>
      <c r="O44" s="609"/>
      <c r="P44" s="609"/>
      <c r="Q44" s="170"/>
    </row>
    <row r="45" spans="1:18">
      <c r="A45" s="858">
        <f t="shared" si="0"/>
        <v>33</v>
      </c>
      <c r="C45" s="619" t="s">
        <v>444</v>
      </c>
      <c r="D45" s="607">
        <v>0</v>
      </c>
      <c r="E45" s="607">
        <v>0</v>
      </c>
      <c r="F45" s="607">
        <v>0</v>
      </c>
      <c r="G45" s="607">
        <v>0</v>
      </c>
      <c r="H45" s="607">
        <v>0</v>
      </c>
      <c r="I45" s="607">
        <v>0</v>
      </c>
      <c r="J45" s="607">
        <v>0</v>
      </c>
      <c r="K45" s="607">
        <v>0</v>
      </c>
      <c r="L45" s="607">
        <v>0</v>
      </c>
      <c r="M45" s="607">
        <v>0</v>
      </c>
      <c r="N45" s="607">
        <v>0</v>
      </c>
      <c r="O45" s="607">
        <v>0</v>
      </c>
      <c r="P45" s="607">
        <v>0</v>
      </c>
      <c r="Q45" s="609">
        <f>(SUM(D45:P45))/13</f>
        <v>0</v>
      </c>
    </row>
    <row r="46" spans="1:18">
      <c r="A46" s="858">
        <f t="shared" si="0"/>
        <v>34</v>
      </c>
      <c r="B46" s="1077"/>
      <c r="C46" s="88"/>
      <c r="D46" s="77"/>
      <c r="E46" s="77"/>
      <c r="F46" s="77"/>
      <c r="G46" s="77"/>
      <c r="H46" s="77"/>
      <c r="I46" s="74"/>
      <c r="J46" s="74"/>
      <c r="K46" s="74"/>
      <c r="L46" s="376"/>
      <c r="M46" s="428"/>
      <c r="N46" s="428"/>
      <c r="O46" s="428"/>
      <c r="P46" s="428"/>
    </row>
    <row r="47" spans="1:18">
      <c r="A47" s="858">
        <f t="shared" si="0"/>
        <v>35</v>
      </c>
      <c r="C47" s="861" t="s">
        <v>443</v>
      </c>
      <c r="D47" s="574">
        <f>SUM(D39:D46)</f>
        <v>65096.779999999795</v>
      </c>
      <c r="E47" s="574">
        <f t="shared" ref="E47:P47" si="4">SUM(E39:E46)</f>
        <v>65096.779999999795</v>
      </c>
      <c r="F47" s="574">
        <f t="shared" si="4"/>
        <v>65096.779999999795</v>
      </c>
      <c r="G47" s="574">
        <f t="shared" si="4"/>
        <v>-6249570.0199999996</v>
      </c>
      <c r="H47" s="574">
        <f t="shared" si="4"/>
        <v>-6249570.0199999996</v>
      </c>
      <c r="I47" s="574">
        <f t="shared" si="4"/>
        <v>-6249570.0199999996</v>
      </c>
      <c r="J47" s="574">
        <f t="shared" si="4"/>
        <v>-9661508.2200000007</v>
      </c>
      <c r="K47" s="574">
        <f t="shared" si="4"/>
        <v>-9661508.2200000007</v>
      </c>
      <c r="L47" s="574">
        <f t="shared" si="4"/>
        <v>-9661508.2200000007</v>
      </c>
      <c r="M47" s="574">
        <f t="shared" si="4"/>
        <v>4893125.49</v>
      </c>
      <c r="N47" s="574">
        <f t="shared" si="4"/>
        <v>4893125.49</v>
      </c>
      <c r="O47" s="574">
        <f t="shared" si="4"/>
        <v>4893125.49</v>
      </c>
      <c r="P47" s="574">
        <f t="shared" si="4"/>
        <v>-5954029.1099999938</v>
      </c>
      <c r="Q47" s="544">
        <f>(SUM(D47:P47))/13</f>
        <v>-2985584.3861538447</v>
      </c>
      <c r="R47" s="609"/>
    </row>
    <row r="48" spans="1:18">
      <c r="A48" s="858">
        <f t="shared" si="0"/>
        <v>36</v>
      </c>
      <c r="D48" s="74"/>
      <c r="E48" s="74"/>
      <c r="F48" s="74"/>
      <c r="G48" s="74"/>
      <c r="I48" s="74"/>
      <c r="J48" s="74"/>
      <c r="K48" s="74"/>
      <c r="L48" s="74"/>
      <c r="P48" s="428"/>
    </row>
    <row r="49" spans="1:17" ht="15.75" thickBot="1">
      <c r="A49" s="858">
        <f t="shared" si="0"/>
        <v>37</v>
      </c>
      <c r="B49" s="74"/>
      <c r="C49" s="81" t="s">
        <v>97</v>
      </c>
      <c r="D49" s="328">
        <f>D47+D36+D28+D19</f>
        <v>708169703.93999982</v>
      </c>
      <c r="E49" s="328">
        <f t="shared" ref="E49:P49" si="5">E47+E36+E28+E19</f>
        <v>705842724.23999989</v>
      </c>
      <c r="F49" s="328">
        <f t="shared" si="5"/>
        <v>704229469.3499999</v>
      </c>
      <c r="G49" s="328">
        <f t="shared" si="5"/>
        <v>661650493.41766095</v>
      </c>
      <c r="H49" s="328">
        <f t="shared" si="5"/>
        <v>669580367.89766097</v>
      </c>
      <c r="I49" s="328">
        <f t="shared" si="5"/>
        <v>675592731.24766099</v>
      </c>
      <c r="J49" s="328">
        <f t="shared" si="5"/>
        <v>685973443.36216104</v>
      </c>
      <c r="K49" s="328">
        <f t="shared" si="5"/>
        <v>685225908.81216097</v>
      </c>
      <c r="L49" s="328">
        <f t="shared" si="5"/>
        <v>692824087.58216107</v>
      </c>
      <c r="M49" s="328">
        <f t="shared" si="5"/>
        <v>737697691.11000001</v>
      </c>
      <c r="N49" s="328">
        <f t="shared" si="5"/>
        <v>735212825.60000002</v>
      </c>
      <c r="O49" s="328">
        <f t="shared" si="5"/>
        <v>734911182.81999993</v>
      </c>
      <c r="P49" s="328">
        <f t="shared" si="5"/>
        <v>450477269.38</v>
      </c>
      <c r="Q49" s="328">
        <f>(SUM(D49:P49))/13</f>
        <v>680568299.90457428</v>
      </c>
    </row>
    <row r="50" spans="1:17" ht="15.75" thickTop="1">
      <c r="A50" s="74"/>
      <c r="B50" s="74"/>
    </row>
    <row r="51" spans="1:17">
      <c r="A51" s="74"/>
      <c r="B51" s="74"/>
      <c r="C51" s="74" t="s">
        <v>691</v>
      </c>
    </row>
    <row r="52" spans="1:17">
      <c r="A52" s="74"/>
      <c r="B52" s="74"/>
      <c r="C52" s="74" t="s">
        <v>1610</v>
      </c>
    </row>
    <row r="53" spans="1:17">
      <c r="A53" s="74"/>
      <c r="B53" s="74"/>
    </row>
    <row r="54" spans="1:17">
      <c r="A54" s="74"/>
      <c r="B54" s="74"/>
    </row>
    <row r="55" spans="1:17">
      <c r="A55" s="74"/>
      <c r="B55" s="74"/>
    </row>
    <row r="56" spans="1:17">
      <c r="A56" s="74"/>
      <c r="B56" s="74"/>
    </row>
    <row r="57" spans="1:17">
      <c r="D57" s="670"/>
    </row>
    <row r="58" spans="1:17">
      <c r="D58" s="670"/>
    </row>
    <row r="59" spans="1:17">
      <c r="D59" s="670"/>
    </row>
    <row r="61" spans="1:17">
      <c r="H61" s="81"/>
    </row>
    <row r="62" spans="1:17">
      <c r="H62" s="81"/>
    </row>
    <row r="63" spans="1:17">
      <c r="H63" s="81"/>
    </row>
    <row r="64" spans="1:17">
      <c r="C64" s="103"/>
      <c r="H64" s="81"/>
    </row>
    <row r="65" spans="3:16">
      <c r="C65" s="170"/>
      <c r="H65" s="81"/>
    </row>
    <row r="66" spans="3:16">
      <c r="H66" s="81"/>
    </row>
    <row r="69" spans="3:16">
      <c r="H69" s="81"/>
    </row>
    <row r="70" spans="3:16">
      <c r="H70" s="81"/>
    </row>
    <row r="71" spans="3:16">
      <c r="H71" s="81"/>
    </row>
    <row r="72" spans="3:16">
      <c r="C72" s="103"/>
      <c r="H72" s="81"/>
    </row>
    <row r="74" spans="3:16">
      <c r="H74" s="81"/>
      <c r="K74" s="103"/>
      <c r="L74" s="103"/>
      <c r="M74" s="103"/>
      <c r="N74" s="103"/>
      <c r="O74" s="103"/>
      <c r="P74" s="103"/>
    </row>
    <row r="78" spans="3:16">
      <c r="K78" s="670"/>
    </row>
  </sheetData>
  <mergeCells count="3">
    <mergeCell ref="A1:Q1"/>
    <mergeCell ref="A2:Q2"/>
    <mergeCell ref="A3:Q3"/>
  </mergeCells>
  <phoneticPr fontId="22" type="noConversion"/>
  <printOptions horizontalCentered="1"/>
  <pageMargins left="0.33" right="0.33" top="0.93" bottom="1" header="0.5" footer="0.5"/>
  <pageSetup scale="42" orientation="landscape" verticalDpi="300" r:id="rId1"/>
  <headerFooter alignWithMargins="0">
    <oddFooter>&amp;R&amp;A
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R74"/>
  <sheetViews>
    <sheetView view="pageBreakPreview" zoomScale="60" zoomScaleNormal="70" workbookViewId="0">
      <pane xSplit="3" ySplit="11" topLeftCell="D12" activePane="bottomRight" state="frozen"/>
      <selection activeCell="I17" sqref="I17"/>
      <selection pane="topRight" activeCell="I17" sqref="I17"/>
      <selection pane="bottomLeft" activeCell="I17" sqref="I17"/>
      <selection pane="bottomRight" activeCell="P22" sqref="P22"/>
    </sheetView>
  </sheetViews>
  <sheetFormatPr defaultColWidth="8.44140625" defaultRowHeight="15"/>
  <cols>
    <col min="1" max="1" width="5" style="81" customWidth="1"/>
    <col min="2" max="2" width="5.6640625" style="81" customWidth="1"/>
    <col min="3" max="3" width="49.33203125" style="81" bestFit="1" customWidth="1"/>
    <col min="4" max="5" width="14.77734375" style="81" bestFit="1" customWidth="1"/>
    <col min="6" max="6" width="14.33203125" style="81" bestFit="1" customWidth="1"/>
    <col min="7" max="7" width="14.77734375" style="81" bestFit="1" customWidth="1"/>
    <col min="8" max="8" width="14.77734375" style="74" bestFit="1" customWidth="1"/>
    <col min="9" max="9" width="14.88671875" style="81" bestFit="1" customWidth="1"/>
    <col min="10" max="11" width="14.77734375" style="81" bestFit="1" customWidth="1"/>
    <col min="12" max="15" width="14.88671875" style="81" bestFit="1" customWidth="1"/>
    <col min="16" max="17" width="14.77734375" style="81" bestFit="1" customWidth="1"/>
    <col min="18" max="18" width="9.33203125" style="81" bestFit="1" customWidth="1"/>
    <col min="19" max="16384" width="8.44140625" style="81"/>
  </cols>
  <sheetData>
    <row r="1" spans="1:17">
      <c r="A1" s="1180" t="str">
        <f>Allocation!A1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  <c r="O1" s="1180"/>
      <c r="P1" s="1180"/>
      <c r="Q1" s="1180"/>
    </row>
    <row r="2" spans="1:17">
      <c r="A2" s="1180" t="str">
        <f>Allocation!A2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</row>
    <row r="3" spans="1:17">
      <c r="A3" s="1180" t="s">
        <v>515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  <c r="M3" s="1180"/>
      <c r="N3" s="1180"/>
      <c r="O3" s="1180"/>
      <c r="P3" s="1180"/>
      <c r="Q3" s="1180"/>
    </row>
    <row r="4" spans="1:17">
      <c r="A4" s="1180" t="str">
        <f>Allocation!A3</f>
        <v>Base Period: Twelve Months Ended December 31, 2017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</row>
    <row r="5" spans="1:17">
      <c r="A5" s="167"/>
      <c r="B5" s="150"/>
      <c r="C5" s="150"/>
      <c r="D5" s="150"/>
      <c r="E5" s="150"/>
      <c r="F5" s="150"/>
      <c r="G5" s="150"/>
      <c r="H5" s="370"/>
      <c r="I5" s="150"/>
      <c r="J5" s="150"/>
      <c r="K5" s="150"/>
    </row>
    <row r="6" spans="1:17">
      <c r="A6" s="1033" t="str">
        <f>'B.1 F '!A6</f>
        <v>Data:______Base Period__X___Forecasted Period</v>
      </c>
      <c r="B6" s="1033"/>
      <c r="C6" s="74"/>
      <c r="P6" s="81" t="s">
        <v>1448</v>
      </c>
    </row>
    <row r="7" spans="1:17">
      <c r="A7" s="1033" t="str">
        <f>'B.1 F '!A7</f>
        <v>Type of Filing:___X____Original________Updated ________Revised</v>
      </c>
      <c r="B7" s="74"/>
      <c r="C7" s="1033"/>
      <c r="P7" s="81" t="s">
        <v>1177</v>
      </c>
    </row>
    <row r="8" spans="1:17">
      <c r="A8" s="390" t="str">
        <f>'B.1 F '!A8</f>
        <v>Workpaper Reference No(s).</v>
      </c>
      <c r="B8" s="151"/>
      <c r="C8" s="151"/>
      <c r="D8" s="151"/>
      <c r="E8" s="151"/>
      <c r="F8" s="151"/>
      <c r="G8" s="82"/>
      <c r="H8" s="82"/>
      <c r="I8" s="151"/>
      <c r="J8" s="151"/>
      <c r="K8" s="82"/>
      <c r="L8" s="151"/>
      <c r="M8" s="82"/>
      <c r="N8" s="82"/>
      <c r="O8" s="82"/>
      <c r="P8" s="82"/>
      <c r="Q8" s="82"/>
    </row>
    <row r="9" spans="1:17">
      <c r="D9" s="860"/>
      <c r="E9" s="76"/>
      <c r="F9" s="858"/>
      <c r="G9" s="858"/>
      <c r="H9" s="75"/>
      <c r="I9" s="858"/>
      <c r="J9" s="76"/>
      <c r="K9" s="858"/>
    </row>
    <row r="10" spans="1:17">
      <c r="A10" s="858" t="s">
        <v>94</v>
      </c>
      <c r="B10" s="858" t="s">
        <v>95</v>
      </c>
      <c r="D10" s="857" t="s">
        <v>458</v>
      </c>
      <c r="E10" s="857" t="s">
        <v>458</v>
      </c>
      <c r="F10" s="857" t="s">
        <v>458</v>
      </c>
      <c r="G10" s="857" t="s">
        <v>458</v>
      </c>
      <c r="H10" s="857" t="s">
        <v>458</v>
      </c>
      <c r="I10" s="857" t="s">
        <v>1231</v>
      </c>
      <c r="J10" s="857" t="s">
        <v>1231</v>
      </c>
      <c r="K10" s="857" t="s">
        <v>1231</v>
      </c>
      <c r="L10" s="857" t="s">
        <v>1231</v>
      </c>
      <c r="M10" s="857" t="s">
        <v>1231</v>
      </c>
      <c r="N10" s="857" t="s">
        <v>1231</v>
      </c>
      <c r="O10" s="857" t="s">
        <v>1231</v>
      </c>
      <c r="P10" s="857" t="s">
        <v>1231</v>
      </c>
      <c r="Q10" s="960" t="s">
        <v>319</v>
      </c>
    </row>
    <row r="11" spans="1:17">
      <c r="A11" s="433" t="s">
        <v>100</v>
      </c>
      <c r="B11" s="433" t="s">
        <v>101</v>
      </c>
      <c r="C11" s="151"/>
      <c r="D11" s="612">
        <f>'WP B.4.1F'!C8</f>
        <v>43160</v>
      </c>
      <c r="E11" s="612">
        <f>'WP B.4.1F'!D8</f>
        <v>43191</v>
      </c>
      <c r="F11" s="612">
        <f>'WP B.4.1F'!E8</f>
        <v>43221</v>
      </c>
      <c r="G11" s="612">
        <f>'WP B.4.1F'!F8</f>
        <v>43252</v>
      </c>
      <c r="H11" s="612">
        <f>'WP B.4.1F'!G8</f>
        <v>43282</v>
      </c>
      <c r="I11" s="612">
        <f>'WP B.4.1F'!H8</f>
        <v>43313</v>
      </c>
      <c r="J11" s="612">
        <f>'WP B.4.1F'!I8</f>
        <v>43344</v>
      </c>
      <c r="K11" s="612">
        <f>'WP B.4.1F'!J8</f>
        <v>43374</v>
      </c>
      <c r="L11" s="612">
        <f>'WP B.4.1F'!K8</f>
        <v>43405</v>
      </c>
      <c r="M11" s="612">
        <f>'WP B.4.1F'!L8</f>
        <v>43435</v>
      </c>
      <c r="N11" s="612">
        <f>'WP B.4.1F'!M8</f>
        <v>43466</v>
      </c>
      <c r="O11" s="612">
        <f>'WP B.4.1F'!N8</f>
        <v>43497</v>
      </c>
      <c r="P11" s="612">
        <f>'WP B.4.1F'!O8</f>
        <v>43525</v>
      </c>
      <c r="Q11" s="519" t="s">
        <v>99</v>
      </c>
    </row>
    <row r="12" spans="1:17" ht="15.75">
      <c r="B12" s="925" t="s">
        <v>214</v>
      </c>
    </row>
    <row r="13" spans="1:17">
      <c r="A13" s="858">
        <v>1</v>
      </c>
      <c r="C13" s="619" t="s">
        <v>679</v>
      </c>
      <c r="D13" s="327">
        <f>'[8]Division 009'!DD$130</f>
        <v>10404257.697957151</v>
      </c>
      <c r="E13" s="327">
        <f>'[8]Division 009'!DE$130</f>
        <v>10404257.697957151</v>
      </c>
      <c r="F13" s="327">
        <f>'[8]Division 009'!DF$130</f>
        <v>10404257.697957151</v>
      </c>
      <c r="G13" s="327">
        <f>'[8]Division 009'!DG$130</f>
        <v>10404257.697957151</v>
      </c>
      <c r="H13" s="327">
        <f>'[8]Division 009'!DH$130</f>
        <v>10404257.697957151</v>
      </c>
      <c r="I13" s="327">
        <f>'[8]Division 009'!DI$130</f>
        <v>10404257.697957151</v>
      </c>
      <c r="J13" s="327">
        <f>'[8]Division 009'!DJ$130</f>
        <v>10404257.697957151</v>
      </c>
      <c r="K13" s="327">
        <f>'[8]Division 009'!DK$130</f>
        <v>10404257.697957151</v>
      </c>
      <c r="L13" s="327">
        <f>'[8]Division 009'!DL$130</f>
        <v>10404257.697957151</v>
      </c>
      <c r="M13" s="327">
        <f>'[8]Division 009'!DM$130</f>
        <v>10404257.697957151</v>
      </c>
      <c r="N13" s="327">
        <f>'[8]Division 009'!DN$130</f>
        <v>10404257.697957151</v>
      </c>
      <c r="O13" s="327">
        <f>'[8]Division 009'!DO$130</f>
        <v>10404257.697957151</v>
      </c>
      <c r="P13" s="327">
        <f>'[8]Division 009'!DP$130</f>
        <v>10404257.697957151</v>
      </c>
      <c r="Q13" s="345">
        <f>(SUM(D13:P13))/13</f>
        <v>10404257.697957154</v>
      </c>
    </row>
    <row r="14" spans="1:17" ht="14.25" customHeight="1">
      <c r="A14" s="858">
        <f>A13+1</f>
        <v>2</v>
      </c>
      <c r="B14" s="1077"/>
      <c r="C14" s="88"/>
      <c r="D14" s="376"/>
      <c r="E14" s="376"/>
      <c r="F14" s="376"/>
      <c r="G14" s="376"/>
      <c r="H14" s="376"/>
      <c r="I14" s="376"/>
      <c r="J14" s="376"/>
      <c r="K14" s="376"/>
      <c r="L14" s="376"/>
      <c r="M14" s="376"/>
      <c r="N14" s="376"/>
      <c r="O14" s="376"/>
      <c r="P14" s="376"/>
      <c r="Q14" s="428"/>
    </row>
    <row r="15" spans="1:17">
      <c r="A15" s="858">
        <f t="shared" ref="A15:A49" si="0">A14+1</f>
        <v>3</v>
      </c>
      <c r="C15" s="619" t="s">
        <v>680</v>
      </c>
      <c r="D15" s="376">
        <f>'[8]Division 009'!DD$132</f>
        <v>-66079238.923372284</v>
      </c>
      <c r="E15" s="376">
        <f>'[8]Division 009'!DE$132</f>
        <v>-66435162.434862569</v>
      </c>
      <c r="F15" s="376">
        <f>'[8]Division 009'!DF$132</f>
        <v>-66881383.529129699</v>
      </c>
      <c r="G15" s="376">
        <f>'[8]Division 009'!DG$132</f>
        <v>-67258104.229619369</v>
      </c>
      <c r="H15" s="376">
        <f>'[8]Division 009'!DH$132</f>
        <v>-67735415.093433991</v>
      </c>
      <c r="I15" s="376">
        <f>'[8]Division 009'!DI$132</f>
        <v>-68149003.97154966</v>
      </c>
      <c r="J15" s="376">
        <f>'[8]Division 009'!DJ$132</f>
        <v>-68429774.728378922</v>
      </c>
      <c r="K15" s="376">
        <f>'[8]Division 009'!DK$132</f>
        <v>-68604358.292862251</v>
      </c>
      <c r="L15" s="376">
        <f>'[8]Division 009'!DL$132</f>
        <v>-68835090.187464923</v>
      </c>
      <c r="M15" s="376">
        <f>'[8]Division 009'!DM$132</f>
        <v>-68936402.552719101</v>
      </c>
      <c r="N15" s="376">
        <f>'[8]Division 009'!DN$132</f>
        <v>-69013256.769042224</v>
      </c>
      <c r="O15" s="376">
        <f>'[8]Division 009'!DO$132</f>
        <v>-69019002.919672593</v>
      </c>
      <c r="P15" s="376">
        <f>'[8]Division 009'!DP$132</f>
        <v>-69070982.167450726</v>
      </c>
      <c r="Q15" s="428">
        <f t="shared" ref="Q15:Q41" si="1">(SUM(D15:P15))/13</f>
        <v>-68034398.13842757</v>
      </c>
    </row>
    <row r="16" spans="1:17" ht="14.25" customHeight="1">
      <c r="A16" s="858">
        <f t="shared" si="0"/>
        <v>4</v>
      </c>
      <c r="B16" s="1077"/>
      <c r="C16" s="88"/>
      <c r="D16" s="376"/>
      <c r="E16" s="376"/>
      <c r="F16" s="376"/>
      <c r="G16" s="376"/>
      <c r="H16" s="376"/>
      <c r="I16" s="376"/>
      <c r="J16" s="376"/>
      <c r="K16" s="376"/>
      <c r="L16" s="376"/>
      <c r="M16" s="376"/>
      <c r="N16" s="376"/>
      <c r="O16" s="376"/>
      <c r="P16" s="376"/>
      <c r="Q16" s="428"/>
    </row>
    <row r="17" spans="1:18">
      <c r="A17" s="858">
        <f t="shared" si="0"/>
        <v>5</v>
      </c>
      <c r="C17" s="619" t="s">
        <v>681</v>
      </c>
      <c r="D17" s="376">
        <f>'[8]Division 009'!DD$134</f>
        <v>-58142</v>
      </c>
      <c r="E17" s="376">
        <f>'[8]Division 009'!DE$134</f>
        <v>-58142</v>
      </c>
      <c r="F17" s="376">
        <f>'[8]Division 009'!DF$134</f>
        <v>-58142</v>
      </c>
      <c r="G17" s="376">
        <f>'[8]Division 009'!DG$134</f>
        <v>-58142</v>
      </c>
      <c r="H17" s="376">
        <f>'[8]Division 009'!DH$134</f>
        <v>-58142</v>
      </c>
      <c r="I17" s="376">
        <f>'[8]Division 009'!DI$134</f>
        <v>-58142</v>
      </c>
      <c r="J17" s="376">
        <f>'[8]Division 009'!DJ$134</f>
        <v>-58142</v>
      </c>
      <c r="K17" s="376">
        <f>'[8]Division 009'!DK$134</f>
        <v>-58142</v>
      </c>
      <c r="L17" s="376">
        <f>'[8]Division 009'!DL$134</f>
        <v>-58142</v>
      </c>
      <c r="M17" s="376">
        <f>'[8]Division 009'!DM$134</f>
        <v>-58142</v>
      </c>
      <c r="N17" s="376">
        <f>'[8]Division 009'!DN$134</f>
        <v>-58142</v>
      </c>
      <c r="O17" s="376">
        <f>'[8]Division 009'!DO$134</f>
        <v>-58142</v>
      </c>
      <c r="P17" s="376">
        <f>'[8]Division 009'!DP$134</f>
        <v>-58142</v>
      </c>
      <c r="Q17" s="428">
        <f t="shared" si="1"/>
        <v>-58142</v>
      </c>
    </row>
    <row r="18" spans="1:18" ht="14.25" customHeight="1">
      <c r="A18" s="858">
        <f t="shared" si="0"/>
        <v>6</v>
      </c>
      <c r="B18" s="1077"/>
      <c r="C18" s="88"/>
      <c r="D18" s="376"/>
      <c r="E18" s="376"/>
      <c r="F18" s="376"/>
      <c r="G18" s="376"/>
      <c r="H18" s="376"/>
      <c r="I18" s="380"/>
      <c r="J18" s="380"/>
      <c r="K18" s="380"/>
      <c r="L18" s="376"/>
      <c r="M18" s="428"/>
      <c r="N18" s="428"/>
      <c r="O18" s="428"/>
      <c r="P18" s="428"/>
      <c r="Q18" s="428"/>
    </row>
    <row r="19" spans="1:18">
      <c r="A19" s="858">
        <f t="shared" si="0"/>
        <v>7</v>
      </c>
      <c r="C19" s="861" t="s">
        <v>31</v>
      </c>
      <c r="D19" s="574">
        <f t="shared" ref="D19:P19" si="2">SUM(D13:D17)</f>
        <v>-55733123.225415133</v>
      </c>
      <c r="E19" s="574">
        <f t="shared" si="2"/>
        <v>-56089046.736905418</v>
      </c>
      <c r="F19" s="574">
        <f t="shared" si="2"/>
        <v>-56535267.831172548</v>
      </c>
      <c r="G19" s="574">
        <f t="shared" si="2"/>
        <v>-56911988.531662218</v>
      </c>
      <c r="H19" s="574">
        <f t="shared" si="2"/>
        <v>-57389299.39547684</v>
      </c>
      <c r="I19" s="574">
        <f t="shared" si="2"/>
        <v>-57802888.273592509</v>
      </c>
      <c r="J19" s="574">
        <f t="shared" si="2"/>
        <v>-58083659.030421771</v>
      </c>
      <c r="K19" s="574">
        <f t="shared" si="2"/>
        <v>-58258242.594905101</v>
      </c>
      <c r="L19" s="574">
        <f t="shared" si="2"/>
        <v>-58488974.489507772</v>
      </c>
      <c r="M19" s="574">
        <f t="shared" si="2"/>
        <v>-58590286.854761951</v>
      </c>
      <c r="N19" s="574">
        <f t="shared" si="2"/>
        <v>-58667141.071085073</v>
      </c>
      <c r="O19" s="574">
        <f t="shared" si="2"/>
        <v>-58672887.221715443</v>
      </c>
      <c r="P19" s="574">
        <f t="shared" si="2"/>
        <v>-58724866.469493575</v>
      </c>
      <c r="Q19" s="345">
        <f t="shared" si="1"/>
        <v>-57688282.44047042</v>
      </c>
      <c r="R19" s="609"/>
    </row>
    <row r="20" spans="1:18" ht="14.25" customHeight="1">
      <c r="A20" s="858">
        <f t="shared" si="0"/>
        <v>8</v>
      </c>
      <c r="B20" s="1077"/>
      <c r="C20" s="88"/>
      <c r="D20" s="376"/>
      <c r="E20" s="376"/>
      <c r="F20" s="376"/>
      <c r="G20" s="376"/>
      <c r="H20" s="376"/>
      <c r="I20" s="380"/>
      <c r="J20" s="380"/>
      <c r="K20" s="380"/>
      <c r="L20" s="376"/>
      <c r="M20" s="428"/>
      <c r="N20" s="428"/>
      <c r="O20" s="428"/>
      <c r="P20" s="428"/>
      <c r="Q20" s="428"/>
    </row>
    <row r="21" spans="1:18" ht="15.75">
      <c r="A21" s="858">
        <f t="shared" si="0"/>
        <v>9</v>
      </c>
      <c r="B21" s="925" t="s">
        <v>215</v>
      </c>
      <c r="D21" s="380"/>
      <c r="E21" s="380"/>
      <c r="F21" s="380"/>
      <c r="G21" s="380"/>
      <c r="H21" s="380"/>
      <c r="I21" s="380"/>
      <c r="J21" s="380"/>
      <c r="K21" s="380"/>
      <c r="L21" s="380"/>
      <c r="M21" s="428"/>
      <c r="N21" s="428"/>
      <c r="O21" s="428"/>
      <c r="P21" s="428"/>
      <c r="Q21" s="428"/>
    </row>
    <row r="22" spans="1:18">
      <c r="A22" s="858">
        <f t="shared" si="0"/>
        <v>10</v>
      </c>
      <c r="C22" s="619" t="s">
        <v>679</v>
      </c>
      <c r="D22" s="327">
        <f>'[8]Division 002'!DD$134</f>
        <v>508862755</v>
      </c>
      <c r="E22" s="327">
        <f>'[8]Division 002'!DE$134</f>
        <v>508862755</v>
      </c>
      <c r="F22" s="327">
        <f>'[8]Division 002'!DF$134</f>
        <v>508862755</v>
      </c>
      <c r="G22" s="327">
        <f>'[8]Division 002'!DG$134</f>
        <v>508862755</v>
      </c>
      <c r="H22" s="327">
        <f>'[8]Division 002'!DH$134</f>
        <v>508862755</v>
      </c>
      <c r="I22" s="327">
        <f>'[8]Division 002'!DI$134</f>
        <v>508862755</v>
      </c>
      <c r="J22" s="327">
        <f>'[8]Division 002'!DJ$134</f>
        <v>508862755</v>
      </c>
      <c r="K22" s="327">
        <f>'[8]Division 002'!DK$134</f>
        <v>508862755</v>
      </c>
      <c r="L22" s="327">
        <f>'[8]Division 002'!DL$134</f>
        <v>508862755</v>
      </c>
      <c r="M22" s="327">
        <f>'[8]Division 002'!DM$134</f>
        <v>508862755</v>
      </c>
      <c r="N22" s="327">
        <f>'[8]Division 002'!DN$134</f>
        <v>508862755</v>
      </c>
      <c r="O22" s="327">
        <f>'[8]Division 002'!DO$134</f>
        <v>508862755</v>
      </c>
      <c r="P22" s="327">
        <f>'[8]Division 002'!DP$134</f>
        <v>508862755</v>
      </c>
      <c r="Q22" s="345">
        <f t="shared" si="1"/>
        <v>508862755</v>
      </c>
    </row>
    <row r="23" spans="1:18">
      <c r="A23" s="858">
        <f t="shared" si="0"/>
        <v>11</v>
      </c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428"/>
    </row>
    <row r="24" spans="1:18">
      <c r="A24" s="858">
        <f t="shared" si="0"/>
        <v>12</v>
      </c>
      <c r="C24" s="619" t="s">
        <v>680</v>
      </c>
      <c r="D24" s="376">
        <f>'[8]Division 002'!DD$136</f>
        <v>-16310780.853272866</v>
      </c>
      <c r="E24" s="376">
        <f>'[8]Division 002'!DE$136</f>
        <v>-16357345.537398258</v>
      </c>
      <c r="F24" s="376">
        <f>'[8]Division 002'!DF$136</f>
        <v>-16403951.862211578</v>
      </c>
      <c r="G24" s="376">
        <f>'[8]Division 002'!DG$136</f>
        <v>-16450532.431248024</v>
      </c>
      <c r="H24" s="376">
        <f>'[8]Division 002'!DH$136</f>
        <v>-16497087.244507603</v>
      </c>
      <c r="I24" s="376">
        <f>'[8]Division 002'!DI$136</f>
        <v>-16543616.301990315</v>
      </c>
      <c r="J24" s="376">
        <f>'[8]Division 002'!DJ$136</f>
        <v>-16590119.603696156</v>
      </c>
      <c r="K24" s="376">
        <f>'[8]Division 002'!DK$136</f>
        <v>-16676226.816830061</v>
      </c>
      <c r="L24" s="376">
        <f>'[8]Division 002'!DL$136</f>
        <v>-16762421.44529587</v>
      </c>
      <c r="M24" s="376">
        <f>'[8]Division 002'!DM$136</f>
        <v>-16848703.489093594</v>
      </c>
      <c r="N24" s="376">
        <f>'[8]Division 002'!DN$136</f>
        <v>-16935072.948223226</v>
      </c>
      <c r="O24" s="376">
        <f>'[8]Division 002'!DO$136</f>
        <v>-17021529.822684769</v>
      </c>
      <c r="P24" s="376">
        <f>'[8]Division 002'!DP$136</f>
        <v>-17108074.112478223</v>
      </c>
      <c r="Q24" s="428">
        <f t="shared" si="1"/>
        <v>-16654266.34376389</v>
      </c>
    </row>
    <row r="25" spans="1:18" ht="14.25" customHeight="1">
      <c r="A25" s="858">
        <f t="shared" si="0"/>
        <v>13</v>
      </c>
      <c r="B25" s="1077"/>
      <c r="C25" s="88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428"/>
    </row>
    <row r="26" spans="1:18">
      <c r="A26" s="858">
        <f t="shared" si="0"/>
        <v>14</v>
      </c>
      <c r="C26" s="619" t="s">
        <v>681</v>
      </c>
      <c r="D26" s="376">
        <f>'[8]Division 002'!DD$138</f>
        <v>27259100.240345001</v>
      </c>
      <c r="E26" s="376">
        <f>'[8]Division 002'!DE$138</f>
        <v>27259100.240345001</v>
      </c>
      <c r="F26" s="376">
        <f>'[8]Division 002'!DF$138</f>
        <v>27259100.240345001</v>
      </c>
      <c r="G26" s="376">
        <f>'[8]Division 002'!DG$138</f>
        <v>27259100.240345001</v>
      </c>
      <c r="H26" s="376">
        <f>'[8]Division 002'!DH$138</f>
        <v>27259100.240345001</v>
      </c>
      <c r="I26" s="376">
        <f>'[8]Division 002'!DI$138</f>
        <v>27259100.240345001</v>
      </c>
      <c r="J26" s="376">
        <f>'[8]Division 002'!DJ$138</f>
        <v>27259100.240345001</v>
      </c>
      <c r="K26" s="376">
        <f>'[8]Division 002'!DK$138</f>
        <v>27259100.240345001</v>
      </c>
      <c r="L26" s="376">
        <f>'[8]Division 002'!DL$138</f>
        <v>27259100.240345001</v>
      </c>
      <c r="M26" s="376">
        <f>'[8]Division 002'!DM$138</f>
        <v>27259100.240345001</v>
      </c>
      <c r="N26" s="376">
        <f>'[8]Division 002'!DN$138</f>
        <v>27259100.240345001</v>
      </c>
      <c r="O26" s="376">
        <f>'[8]Division 002'!DO$138</f>
        <v>27259100.240345001</v>
      </c>
      <c r="P26" s="376">
        <f>'[8]Division 002'!DP$138</f>
        <v>27259100.240345001</v>
      </c>
      <c r="Q26" s="428">
        <f t="shared" si="1"/>
        <v>27259100.240345001</v>
      </c>
    </row>
    <row r="27" spans="1:18" ht="14.25" customHeight="1">
      <c r="A27" s="858">
        <f t="shared" si="0"/>
        <v>15</v>
      </c>
      <c r="B27" s="1077"/>
      <c r="C27" s="88"/>
      <c r="D27" s="376"/>
      <c r="E27" s="376"/>
      <c r="F27" s="376"/>
      <c r="G27" s="376"/>
      <c r="H27" s="376"/>
      <c r="I27" s="380"/>
      <c r="J27" s="380"/>
      <c r="K27" s="380"/>
      <c r="L27" s="376"/>
      <c r="M27" s="428"/>
      <c r="N27" s="428"/>
      <c r="O27" s="428"/>
      <c r="P27" s="428"/>
      <c r="Q27" s="428"/>
    </row>
    <row r="28" spans="1:18">
      <c r="A28" s="858">
        <f t="shared" si="0"/>
        <v>16</v>
      </c>
      <c r="C28" s="861" t="s">
        <v>69</v>
      </c>
      <c r="D28" s="574">
        <f t="shared" ref="D28:P28" si="3">SUM(D22:D26)</f>
        <v>519811074.38707215</v>
      </c>
      <c r="E28" s="574">
        <f t="shared" si="3"/>
        <v>519764509.70294672</v>
      </c>
      <c r="F28" s="574">
        <f t="shared" si="3"/>
        <v>519717903.37813342</v>
      </c>
      <c r="G28" s="574">
        <f t="shared" si="3"/>
        <v>519671322.80909699</v>
      </c>
      <c r="H28" s="574">
        <f t="shared" si="3"/>
        <v>519624767.99583739</v>
      </c>
      <c r="I28" s="574">
        <f t="shared" si="3"/>
        <v>519578238.93835467</v>
      </c>
      <c r="J28" s="574">
        <f t="shared" si="3"/>
        <v>519531735.63664883</v>
      </c>
      <c r="K28" s="574">
        <f t="shared" si="3"/>
        <v>519445628.42351496</v>
      </c>
      <c r="L28" s="574">
        <f t="shared" si="3"/>
        <v>519359433.79504913</v>
      </c>
      <c r="M28" s="574">
        <f t="shared" si="3"/>
        <v>519273151.7512514</v>
      </c>
      <c r="N28" s="574">
        <f t="shared" si="3"/>
        <v>519186782.29212177</v>
      </c>
      <c r="O28" s="574">
        <f t="shared" si="3"/>
        <v>519100325.41766024</v>
      </c>
      <c r="P28" s="574">
        <f t="shared" si="3"/>
        <v>519013781.1278668</v>
      </c>
      <c r="Q28" s="345">
        <f t="shared" si="1"/>
        <v>519467588.89658105</v>
      </c>
      <c r="R28" s="609"/>
    </row>
    <row r="29" spans="1:18" ht="15.75">
      <c r="A29" s="858">
        <f t="shared" si="0"/>
        <v>17</v>
      </c>
      <c r="B29" s="925" t="s">
        <v>1126</v>
      </c>
      <c r="C29" s="861"/>
      <c r="D29" s="381"/>
      <c r="E29" s="381"/>
      <c r="F29" s="381"/>
      <c r="G29" s="382"/>
      <c r="H29" s="382"/>
      <c r="I29" s="382"/>
      <c r="J29" s="382"/>
      <c r="K29" s="382"/>
      <c r="L29" s="376"/>
      <c r="M29" s="428"/>
      <c r="N29" s="428"/>
      <c r="O29" s="428"/>
      <c r="P29" s="428"/>
      <c r="Q29" s="428"/>
    </row>
    <row r="30" spans="1:18">
      <c r="A30" s="858">
        <f t="shared" si="0"/>
        <v>18</v>
      </c>
      <c r="C30" s="619" t="s">
        <v>679</v>
      </c>
      <c r="D30" s="327">
        <f>'[8]Division 012'!DD$130</f>
        <v>6868</v>
      </c>
      <c r="E30" s="327">
        <f>'[8]Division 012'!DE$130</f>
        <v>6868</v>
      </c>
      <c r="F30" s="327">
        <f>'[8]Division 012'!DF$130</f>
        <v>6868</v>
      </c>
      <c r="G30" s="327">
        <f>'[8]Division 012'!DG$130</f>
        <v>6868</v>
      </c>
      <c r="H30" s="327">
        <f>'[8]Division 012'!DH$130</f>
        <v>6868</v>
      </c>
      <c r="I30" s="327">
        <f>'[8]Division 012'!DI$130</f>
        <v>6868</v>
      </c>
      <c r="J30" s="327">
        <f>'[8]Division 012'!DJ$130</f>
        <v>6868</v>
      </c>
      <c r="K30" s="327">
        <f>'[8]Division 012'!DK$130</f>
        <v>6868</v>
      </c>
      <c r="L30" s="327">
        <f>'[8]Division 012'!DL$130</f>
        <v>6868</v>
      </c>
      <c r="M30" s="327">
        <f>'[8]Division 012'!DM$130</f>
        <v>6868</v>
      </c>
      <c r="N30" s="327">
        <f>'[8]Division 012'!DN$130</f>
        <v>6868</v>
      </c>
      <c r="O30" s="327">
        <f>'[8]Division 012'!DO$130</f>
        <v>6868</v>
      </c>
      <c r="P30" s="327">
        <f>'[8]Division 012'!DP$130</f>
        <v>6868</v>
      </c>
      <c r="Q30" s="345">
        <f t="shared" si="1"/>
        <v>6868</v>
      </c>
    </row>
    <row r="31" spans="1:18">
      <c r="A31" s="858">
        <f t="shared" si="0"/>
        <v>19</v>
      </c>
      <c r="D31" s="376"/>
      <c r="E31" s="376"/>
      <c r="F31" s="376"/>
      <c r="G31" s="376"/>
      <c r="H31" s="376"/>
      <c r="I31" s="376"/>
      <c r="J31" s="376"/>
      <c r="K31" s="376"/>
      <c r="L31" s="376"/>
      <c r="M31" s="376"/>
      <c r="N31" s="376"/>
      <c r="O31" s="376"/>
      <c r="P31" s="376"/>
      <c r="Q31" s="428"/>
    </row>
    <row r="32" spans="1:18">
      <c r="A32" s="858">
        <f t="shared" si="0"/>
        <v>20</v>
      </c>
      <c r="C32" s="619" t="s">
        <v>680</v>
      </c>
      <c r="D32" s="376">
        <f>'[8]Division 012'!DD$132</f>
        <v>-16363147.377905838</v>
      </c>
      <c r="E32" s="376">
        <f>'[8]Division 012'!DE$132</f>
        <v>-16239338.799144514</v>
      </c>
      <c r="F32" s="376">
        <f>'[8]Division 012'!DF$132</f>
        <v>-16114937.917780699</v>
      </c>
      <c r="G32" s="376">
        <f>'[8]Division 012'!DG$132</f>
        <v>-15990085.174017809</v>
      </c>
      <c r="H32" s="376">
        <f>'[8]Division 012'!DH$132</f>
        <v>-15864640.127652427</v>
      </c>
      <c r="I32" s="376">
        <f>'[8]Division 012'!DI$132</f>
        <v>-15738602.778684551</v>
      </c>
      <c r="J32" s="376">
        <f>'[8]Division 012'!DJ$132</f>
        <v>-15611973.127114184</v>
      </c>
      <c r="K32" s="376">
        <f>'[8]Division 012'!DK$132</f>
        <v>-15493886.345929582</v>
      </c>
      <c r="L32" s="376">
        <f>'[8]Division 012'!DL$132</f>
        <v>-15375341.514415247</v>
      </c>
      <c r="M32" s="376">
        <f>'[8]Division 012'!DM$132</f>
        <v>-15256338.632571187</v>
      </c>
      <c r="N32" s="376">
        <f>'[8]Division 012'!DN$132</f>
        <v>-15136877.7003974</v>
      </c>
      <c r="O32" s="376">
        <f>'[8]Division 012'!DO$132</f>
        <v>-15016958.717893884</v>
      </c>
      <c r="P32" s="376">
        <f>'[8]Division 012'!DP$132</f>
        <v>-14896581.685060639</v>
      </c>
      <c r="Q32" s="428">
        <f t="shared" si="1"/>
        <v>-15622977.684505232</v>
      </c>
    </row>
    <row r="33" spans="1:18">
      <c r="A33" s="858">
        <f t="shared" si="0"/>
        <v>21</v>
      </c>
      <c r="B33" s="1077"/>
      <c r="C33" s="88"/>
      <c r="D33" s="376"/>
      <c r="E33" s="376"/>
      <c r="F33" s="376"/>
      <c r="G33" s="376"/>
      <c r="H33" s="376"/>
      <c r="I33" s="376"/>
      <c r="J33" s="376"/>
      <c r="K33" s="376"/>
      <c r="L33" s="376"/>
      <c r="M33" s="376"/>
      <c r="N33" s="376"/>
      <c r="O33" s="376"/>
      <c r="P33" s="376"/>
      <c r="Q33" s="428"/>
    </row>
    <row r="34" spans="1:18">
      <c r="A34" s="858">
        <f t="shared" si="0"/>
        <v>22</v>
      </c>
      <c r="C34" s="619" t="s">
        <v>681</v>
      </c>
      <c r="D34" s="376">
        <f>'[8]Division 012'!DD$134</f>
        <v>-298010</v>
      </c>
      <c r="E34" s="376">
        <f>'[8]Division 012'!DE$134</f>
        <v>-298010</v>
      </c>
      <c r="F34" s="376">
        <f>'[8]Division 012'!DF$134</f>
        <v>-298010</v>
      </c>
      <c r="G34" s="376">
        <f>'[8]Division 012'!DG$134</f>
        <v>-298010</v>
      </c>
      <c r="H34" s="376">
        <f>'[8]Division 012'!DH$134</f>
        <v>-298010</v>
      </c>
      <c r="I34" s="376">
        <f>'[8]Division 012'!DI$134</f>
        <v>-298010</v>
      </c>
      <c r="J34" s="376">
        <f>'[8]Division 012'!DJ$134</f>
        <v>-298010</v>
      </c>
      <c r="K34" s="376">
        <f>'[8]Division 012'!DK$134</f>
        <v>-298010</v>
      </c>
      <c r="L34" s="376">
        <f>'[8]Division 012'!DL$134</f>
        <v>-298010</v>
      </c>
      <c r="M34" s="376">
        <f>'[8]Division 012'!DM$134</f>
        <v>-298010</v>
      </c>
      <c r="N34" s="376">
        <f>'[8]Division 012'!DN$134</f>
        <v>-298010</v>
      </c>
      <c r="O34" s="376">
        <f>'[8]Division 012'!DO$134</f>
        <v>-298010</v>
      </c>
      <c r="P34" s="376">
        <f>'[8]Division 012'!DP$134</f>
        <v>-298010</v>
      </c>
      <c r="Q34" s="428">
        <f t="shared" si="1"/>
        <v>-298010</v>
      </c>
    </row>
    <row r="35" spans="1:18">
      <c r="A35" s="858">
        <f t="shared" si="0"/>
        <v>23</v>
      </c>
      <c r="B35" s="1077"/>
      <c r="C35" s="88"/>
      <c r="D35" s="376"/>
      <c r="E35" s="376"/>
      <c r="F35" s="376"/>
      <c r="G35" s="376"/>
      <c r="H35" s="376"/>
      <c r="I35" s="380"/>
      <c r="J35" s="380"/>
      <c r="K35" s="380"/>
      <c r="L35" s="376"/>
      <c r="M35" s="428"/>
      <c r="N35" s="428"/>
      <c r="O35" s="428"/>
      <c r="P35" s="428"/>
      <c r="Q35" s="428"/>
    </row>
    <row r="36" spans="1:18">
      <c r="A36" s="858">
        <f t="shared" si="0"/>
        <v>24</v>
      </c>
      <c r="C36" s="861" t="s">
        <v>725</v>
      </c>
      <c r="D36" s="574">
        <f t="shared" ref="D36:P36" si="4">SUM(D30:D34)</f>
        <v>-16654289.377905838</v>
      </c>
      <c r="E36" s="574">
        <f t="shared" si="4"/>
        <v>-16530480.799144514</v>
      </c>
      <c r="F36" s="574">
        <f t="shared" si="4"/>
        <v>-16406079.917780699</v>
      </c>
      <c r="G36" s="574">
        <f t="shared" si="4"/>
        <v>-16281227.174017809</v>
      </c>
      <c r="H36" s="574">
        <f t="shared" si="4"/>
        <v>-16155782.127652427</v>
      </c>
      <c r="I36" s="574">
        <f t="shared" si="4"/>
        <v>-16029744.778684551</v>
      </c>
      <c r="J36" s="574">
        <f t="shared" si="4"/>
        <v>-15903115.127114184</v>
      </c>
      <c r="K36" s="574">
        <f t="shared" si="4"/>
        <v>-15785028.345929582</v>
      </c>
      <c r="L36" s="574">
        <f t="shared" si="4"/>
        <v>-15666483.514415247</v>
      </c>
      <c r="M36" s="574">
        <f t="shared" si="4"/>
        <v>-15547480.632571187</v>
      </c>
      <c r="N36" s="574">
        <f t="shared" si="4"/>
        <v>-15428019.7003974</v>
      </c>
      <c r="O36" s="574">
        <f t="shared" si="4"/>
        <v>-15308100.717893884</v>
      </c>
      <c r="P36" s="574">
        <f t="shared" si="4"/>
        <v>-15187723.685060639</v>
      </c>
      <c r="Q36" s="345">
        <f t="shared" si="1"/>
        <v>-15914119.684505232</v>
      </c>
      <c r="R36" s="609"/>
    </row>
    <row r="37" spans="1:18">
      <c r="A37" s="858">
        <f t="shared" si="0"/>
        <v>25</v>
      </c>
      <c r="C37" s="861"/>
      <c r="D37" s="376"/>
      <c r="E37" s="376"/>
      <c r="F37" s="376"/>
      <c r="G37" s="380"/>
      <c r="H37" s="380"/>
      <c r="I37" s="380"/>
      <c r="J37" s="380"/>
      <c r="K37" s="380"/>
      <c r="L37" s="376"/>
      <c r="M37" s="428"/>
      <c r="N37" s="428"/>
      <c r="O37" s="428"/>
      <c r="P37" s="428"/>
      <c r="Q37" s="428"/>
    </row>
    <row r="38" spans="1:18" ht="15.75">
      <c r="A38" s="858">
        <f t="shared" si="0"/>
        <v>26</v>
      </c>
      <c r="B38" s="925" t="s">
        <v>682</v>
      </c>
      <c r="D38" s="380"/>
      <c r="E38" s="380"/>
      <c r="F38" s="380"/>
      <c r="G38" s="380"/>
      <c r="H38" s="380"/>
      <c r="I38" s="380"/>
      <c r="J38" s="380"/>
      <c r="K38" s="380"/>
      <c r="L38" s="380"/>
      <c r="M38" s="428"/>
      <c r="N38" s="428"/>
      <c r="O38" s="428"/>
      <c r="P38" s="428"/>
      <c r="Q38" s="428"/>
    </row>
    <row r="39" spans="1:18">
      <c r="A39" s="858">
        <f t="shared" si="0"/>
        <v>27</v>
      </c>
      <c r="C39" s="619" t="s">
        <v>679</v>
      </c>
      <c r="D39" s="327">
        <f>'[8]Division 091'!DD$130</f>
        <v>970543</v>
      </c>
      <c r="E39" s="327">
        <f>'[8]Division 091'!DE$130</f>
        <v>970543</v>
      </c>
      <c r="F39" s="327">
        <f>'[8]Division 091'!DF$130</f>
        <v>970543</v>
      </c>
      <c r="G39" s="327">
        <f>'[8]Division 091'!DG$130</f>
        <v>970543</v>
      </c>
      <c r="H39" s="327">
        <f>'[8]Division 091'!DH$130</f>
        <v>970543</v>
      </c>
      <c r="I39" s="327">
        <f>'[8]Division 091'!DI$130</f>
        <v>970543</v>
      </c>
      <c r="J39" s="327">
        <f>'[8]Division 091'!DJ$130</f>
        <v>970543</v>
      </c>
      <c r="K39" s="327">
        <f>'[8]Division 091'!DK$130</f>
        <v>970543</v>
      </c>
      <c r="L39" s="327">
        <f>'[8]Division 091'!DL$130</f>
        <v>970543</v>
      </c>
      <c r="M39" s="327">
        <f>'[8]Division 091'!DM$130</f>
        <v>970543</v>
      </c>
      <c r="N39" s="327">
        <f>'[8]Division 091'!DN$130</f>
        <v>970543</v>
      </c>
      <c r="O39" s="327">
        <f>'[8]Division 091'!DO$130</f>
        <v>970543</v>
      </c>
      <c r="P39" s="327">
        <f>'[8]Division 091'!DP$130</f>
        <v>970543</v>
      </c>
      <c r="Q39" s="345">
        <f t="shared" si="1"/>
        <v>970543</v>
      </c>
    </row>
    <row r="40" spans="1:18">
      <c r="A40" s="858">
        <f t="shared" si="0"/>
        <v>28</v>
      </c>
      <c r="D40" s="376"/>
      <c r="E40" s="376"/>
      <c r="F40" s="376"/>
      <c r="G40" s="376"/>
      <c r="H40" s="376"/>
      <c r="I40" s="376"/>
      <c r="J40" s="376"/>
      <c r="K40" s="376"/>
      <c r="L40" s="376"/>
      <c r="M40" s="376"/>
      <c r="N40" s="376"/>
      <c r="O40" s="376"/>
      <c r="P40" s="376"/>
      <c r="Q40" s="428"/>
    </row>
    <row r="41" spans="1:18">
      <c r="A41" s="858">
        <f t="shared" si="0"/>
        <v>29</v>
      </c>
      <c r="C41" s="619" t="s">
        <v>680</v>
      </c>
      <c r="D41" s="376">
        <f>'[8]Division 091'!DD$132</f>
        <v>-7308834.5964813242</v>
      </c>
      <c r="E41" s="376">
        <f>'[8]Division 091'!DE$132</f>
        <v>-7307887.676988543</v>
      </c>
      <c r="F41" s="376">
        <f>'[8]Division 091'!DF$132</f>
        <v>-7306940.7574957628</v>
      </c>
      <c r="G41" s="376">
        <f>'[8]Division 091'!DG$132</f>
        <v>-7305993.8380029825</v>
      </c>
      <c r="H41" s="376">
        <f>'[8]Division 091'!DH$132</f>
        <v>-7305046.9185102014</v>
      </c>
      <c r="I41" s="376">
        <f>'[8]Division 091'!DI$132</f>
        <v>-7304099.9990174202</v>
      </c>
      <c r="J41" s="376">
        <f>'[8]Division 091'!DJ$132</f>
        <v>-7303153.07952464</v>
      </c>
      <c r="K41" s="376">
        <f>'[8]Division 091'!DK$132</f>
        <v>-7301882.626405824</v>
      </c>
      <c r="L41" s="376">
        <f>'[8]Division 091'!DL$132</f>
        <v>-7300612.173287007</v>
      </c>
      <c r="M41" s="376">
        <f>'[8]Division 091'!DM$132</f>
        <v>-7299341.7201681901</v>
      </c>
      <c r="N41" s="376">
        <f>'[8]Division 091'!DN$132</f>
        <v>-7298071.2670493731</v>
      </c>
      <c r="O41" s="376">
        <f>'[8]Division 091'!DO$132</f>
        <v>-7296784.3657190325</v>
      </c>
      <c r="P41" s="376">
        <f>'[8]Division 091'!DP$132</f>
        <v>-7295497.4643886909</v>
      </c>
      <c r="Q41" s="428">
        <f t="shared" si="1"/>
        <v>-7302626.6525414605</v>
      </c>
    </row>
    <row r="42" spans="1:18">
      <c r="A42" s="858">
        <f t="shared" si="0"/>
        <v>30</v>
      </c>
      <c r="B42" s="858"/>
      <c r="C42" s="88"/>
      <c r="D42" s="376"/>
      <c r="E42" s="376"/>
      <c r="F42" s="376"/>
      <c r="G42" s="376"/>
      <c r="H42" s="376"/>
      <c r="I42" s="376"/>
      <c r="J42" s="376"/>
      <c r="K42" s="376"/>
      <c r="L42" s="376"/>
      <c r="M42" s="376"/>
      <c r="N42" s="376"/>
      <c r="O42" s="376"/>
      <c r="P42" s="376"/>
      <c r="Q42" s="428"/>
    </row>
    <row r="43" spans="1:18">
      <c r="A43" s="858">
        <f t="shared" si="0"/>
        <v>31</v>
      </c>
      <c r="C43" s="619" t="s">
        <v>681</v>
      </c>
      <c r="D43" s="376">
        <f>'[8]Division 091'!DD$134</f>
        <v>-835959</v>
      </c>
      <c r="E43" s="376">
        <f>'[8]Division 091'!DE$134</f>
        <v>-835959</v>
      </c>
      <c r="F43" s="376">
        <f>'[8]Division 091'!DF$134</f>
        <v>-835959</v>
      </c>
      <c r="G43" s="376">
        <f>'[8]Division 091'!DG$134</f>
        <v>-835959</v>
      </c>
      <c r="H43" s="376">
        <f>'[8]Division 091'!DH$134</f>
        <v>-835959</v>
      </c>
      <c r="I43" s="376">
        <f>'[8]Division 091'!DI$134</f>
        <v>-835959</v>
      </c>
      <c r="J43" s="376">
        <f>'[8]Division 091'!DJ$134</f>
        <v>-835959</v>
      </c>
      <c r="K43" s="376">
        <f>'[8]Division 091'!DK$134</f>
        <v>-835959</v>
      </c>
      <c r="L43" s="376">
        <f>'[8]Division 091'!DL$134</f>
        <v>-835959</v>
      </c>
      <c r="M43" s="376">
        <f>'[8]Division 091'!DM$134</f>
        <v>-835959</v>
      </c>
      <c r="N43" s="376">
        <f>'[8]Division 091'!DN$134</f>
        <v>-835959</v>
      </c>
      <c r="O43" s="376">
        <f>'[8]Division 091'!DO$134</f>
        <v>-835959</v>
      </c>
      <c r="P43" s="376">
        <f>'[8]Division 091'!DP$134</f>
        <v>-835959</v>
      </c>
      <c r="Q43" s="428">
        <f>(SUM(D43:P43))/13</f>
        <v>-835959</v>
      </c>
    </row>
    <row r="44" spans="1:18">
      <c r="A44" s="858">
        <f t="shared" si="0"/>
        <v>32</v>
      </c>
      <c r="D44" s="376"/>
      <c r="E44" s="376"/>
      <c r="F44" s="376"/>
      <c r="G44" s="376"/>
      <c r="H44" s="376"/>
      <c r="I44" s="376"/>
      <c r="J44" s="376"/>
      <c r="K44" s="376"/>
      <c r="L44" s="376"/>
      <c r="M44" s="428"/>
      <c r="N44" s="428"/>
      <c r="O44" s="428"/>
      <c r="P44" s="428"/>
      <c r="Q44" s="428"/>
    </row>
    <row r="45" spans="1:18">
      <c r="A45" s="858">
        <f t="shared" si="0"/>
        <v>33</v>
      </c>
      <c r="C45" s="619" t="s">
        <v>444</v>
      </c>
      <c r="D45" s="376">
        <f>'WP B.5 B'!P45</f>
        <v>0</v>
      </c>
      <c r="E45" s="376">
        <f>D45</f>
        <v>0</v>
      </c>
      <c r="F45" s="376">
        <f t="shared" ref="F45:J45" si="5">E45</f>
        <v>0</v>
      </c>
      <c r="G45" s="376">
        <f t="shared" si="5"/>
        <v>0</v>
      </c>
      <c r="H45" s="376">
        <f t="shared" si="5"/>
        <v>0</v>
      </c>
      <c r="I45" s="376">
        <f t="shared" si="5"/>
        <v>0</v>
      </c>
      <c r="J45" s="376">
        <f t="shared" si="5"/>
        <v>0</v>
      </c>
      <c r="K45" s="376">
        <f t="shared" ref="K45:P45" si="6">J45</f>
        <v>0</v>
      </c>
      <c r="L45" s="376">
        <f t="shared" si="6"/>
        <v>0</v>
      </c>
      <c r="M45" s="376">
        <f t="shared" si="6"/>
        <v>0</v>
      </c>
      <c r="N45" s="376">
        <f t="shared" si="6"/>
        <v>0</v>
      </c>
      <c r="O45" s="376">
        <f t="shared" si="6"/>
        <v>0</v>
      </c>
      <c r="P45" s="376">
        <f t="shared" si="6"/>
        <v>0</v>
      </c>
      <c r="Q45" s="428">
        <f>(SUM(D45:P45))/13</f>
        <v>0</v>
      </c>
    </row>
    <row r="46" spans="1:18">
      <c r="A46" s="858">
        <f t="shared" si="0"/>
        <v>34</v>
      </c>
      <c r="B46" s="1077"/>
      <c r="C46" s="88"/>
      <c r="D46" s="376"/>
      <c r="E46" s="376"/>
      <c r="F46" s="376"/>
      <c r="G46" s="376"/>
      <c r="H46" s="376"/>
      <c r="I46" s="380"/>
      <c r="J46" s="380"/>
      <c r="K46" s="380"/>
      <c r="L46" s="376"/>
      <c r="M46" s="428"/>
      <c r="N46" s="428"/>
      <c r="O46" s="428"/>
      <c r="P46" s="428"/>
      <c r="Q46" s="428"/>
    </row>
    <row r="47" spans="1:18">
      <c r="A47" s="858">
        <f t="shared" si="0"/>
        <v>35</v>
      </c>
      <c r="C47" s="861" t="s">
        <v>443</v>
      </c>
      <c r="D47" s="574">
        <f>SUM(D39:D45)</f>
        <v>-7174250.5964813242</v>
      </c>
      <c r="E47" s="574">
        <f t="shared" ref="E47:P47" si="7">SUM(E39:E45)</f>
        <v>-7173303.676988543</v>
      </c>
      <c r="F47" s="574">
        <f t="shared" si="7"/>
        <v>-7172356.7574957628</v>
      </c>
      <c r="G47" s="574">
        <f t="shared" si="7"/>
        <v>-7171409.8380029825</v>
      </c>
      <c r="H47" s="574">
        <f t="shared" si="7"/>
        <v>-7170462.9185102014</v>
      </c>
      <c r="I47" s="574">
        <f t="shared" si="7"/>
        <v>-7169515.9990174202</v>
      </c>
      <c r="J47" s="574">
        <f t="shared" si="7"/>
        <v>-7168569.07952464</v>
      </c>
      <c r="K47" s="574">
        <f t="shared" si="7"/>
        <v>-7167298.626405824</v>
      </c>
      <c r="L47" s="574">
        <f t="shared" si="7"/>
        <v>-7166028.173287007</v>
      </c>
      <c r="M47" s="574">
        <f t="shared" si="7"/>
        <v>-7164757.7201681901</v>
      </c>
      <c r="N47" s="574">
        <f t="shared" si="7"/>
        <v>-7163487.2670493731</v>
      </c>
      <c r="O47" s="574">
        <f t="shared" si="7"/>
        <v>-7162200.3657190325</v>
      </c>
      <c r="P47" s="574">
        <f t="shared" si="7"/>
        <v>-7160913.4643886909</v>
      </c>
      <c r="Q47" s="345">
        <f>(SUM(D47:P47))/13</f>
        <v>-7168042.6525414605</v>
      </c>
      <c r="R47" s="609"/>
    </row>
    <row r="48" spans="1:18">
      <c r="A48" s="858">
        <f t="shared" si="0"/>
        <v>36</v>
      </c>
      <c r="D48" s="380"/>
      <c r="E48" s="380"/>
      <c r="F48" s="380"/>
      <c r="G48" s="380"/>
      <c r="H48" s="380"/>
      <c r="I48" s="380"/>
      <c r="J48" s="380"/>
      <c r="K48" s="380"/>
      <c r="L48" s="380"/>
      <c r="M48" s="428"/>
      <c r="N48" s="428"/>
      <c r="O48" s="428"/>
      <c r="P48" s="428"/>
      <c r="Q48" s="428"/>
    </row>
    <row r="49" spans="1:17" ht="15.75" thickBot="1">
      <c r="A49" s="858">
        <f t="shared" si="0"/>
        <v>37</v>
      </c>
      <c r="B49" s="74"/>
      <c r="C49" s="81" t="s">
        <v>97</v>
      </c>
      <c r="D49" s="328">
        <f>D47+D36+D28+D19</f>
        <v>440249411.18726987</v>
      </c>
      <c r="E49" s="328">
        <f t="shared" ref="E49:P49" si="8">E47+E36+E28+E19</f>
        <v>439971678.48990828</v>
      </c>
      <c r="F49" s="328">
        <f t="shared" si="8"/>
        <v>439604198.87168443</v>
      </c>
      <c r="G49" s="328">
        <f t="shared" si="8"/>
        <v>439306697.265414</v>
      </c>
      <c r="H49" s="328">
        <f t="shared" si="8"/>
        <v>438909223.55419797</v>
      </c>
      <c r="I49" s="328">
        <f t="shared" si="8"/>
        <v>438576089.88706017</v>
      </c>
      <c r="J49" s="328">
        <f t="shared" si="8"/>
        <v>438376392.39958823</v>
      </c>
      <c r="K49" s="328">
        <f t="shared" si="8"/>
        <v>438235058.85627449</v>
      </c>
      <c r="L49" s="328">
        <f t="shared" si="8"/>
        <v>438037947.6178391</v>
      </c>
      <c r="M49" s="328">
        <f t="shared" si="8"/>
        <v>437970626.54375005</v>
      </c>
      <c r="N49" s="328">
        <f t="shared" si="8"/>
        <v>437928134.25358987</v>
      </c>
      <c r="O49" s="328">
        <f t="shared" si="8"/>
        <v>437957137.11233187</v>
      </c>
      <c r="P49" s="328">
        <f t="shared" si="8"/>
        <v>437940277.50892389</v>
      </c>
      <c r="Q49" s="345">
        <f>(SUM(D49:P49))/13</f>
        <v>438697144.11906397</v>
      </c>
    </row>
    <row r="50" spans="1:17" ht="15.75" thickTop="1">
      <c r="A50" s="74"/>
      <c r="B50" s="74"/>
    </row>
    <row r="51" spans="1:17">
      <c r="A51" s="74"/>
      <c r="B51" s="74"/>
      <c r="C51" s="74" t="s">
        <v>691</v>
      </c>
    </row>
    <row r="52" spans="1:17">
      <c r="A52" s="74"/>
      <c r="B52" s="74"/>
      <c r="C52" s="74" t="s">
        <v>1611</v>
      </c>
      <c r="D52" s="670"/>
    </row>
    <row r="53" spans="1:17">
      <c r="A53" s="74"/>
      <c r="B53" s="74"/>
    </row>
    <row r="58" spans="1:17">
      <c r="D58" s="827"/>
    </row>
    <row r="59" spans="1:17">
      <c r="C59" s="103"/>
      <c r="D59" s="827"/>
    </row>
    <row r="60" spans="1:17">
      <c r="C60" s="103"/>
      <c r="D60" s="1078"/>
      <c r="H60" s="804"/>
    </row>
    <row r="61" spans="1:17">
      <c r="D61" s="827"/>
    </row>
    <row r="62" spans="1:17">
      <c r="C62" s="103"/>
      <c r="E62" s="103"/>
    </row>
    <row r="65" spans="3:4">
      <c r="C65" s="80"/>
    </row>
    <row r="66" spans="3:4">
      <c r="C66" s="80"/>
    </row>
    <row r="67" spans="3:4">
      <c r="C67" s="80"/>
    </row>
    <row r="68" spans="3:4">
      <c r="C68" s="80"/>
      <c r="D68" s="1079"/>
    </row>
    <row r="69" spans="3:4">
      <c r="C69" s="80"/>
    </row>
    <row r="70" spans="3:4">
      <c r="C70" s="80"/>
      <c r="D70" s="1078"/>
    </row>
    <row r="71" spans="3:4">
      <c r="C71" s="80"/>
    </row>
    <row r="72" spans="3:4">
      <c r="C72" s="80"/>
      <c r="D72" s="1079"/>
    </row>
    <row r="73" spans="3:4">
      <c r="C73" s="80"/>
    </row>
    <row r="74" spans="3:4">
      <c r="C74" s="80"/>
    </row>
  </sheetData>
  <mergeCells count="4">
    <mergeCell ref="A1:Q1"/>
    <mergeCell ref="A2:Q2"/>
    <mergeCell ref="A3:Q3"/>
    <mergeCell ref="A4:Q4"/>
  </mergeCells>
  <phoneticPr fontId="22" type="noConversion"/>
  <printOptions horizontalCentered="1"/>
  <pageMargins left="0.38" right="0.34" top="0.84" bottom="1" header="0.5" footer="0.5"/>
  <pageSetup scale="41" orientation="landscape" verticalDpi="300" r:id="rId1"/>
  <headerFooter alignWithMargins="0">
    <oddFooter>&amp;R&amp;A
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view="pageBreakPreview" zoomScale="90" zoomScaleNormal="100" zoomScaleSheetLayoutView="90" workbookViewId="0">
      <selection activeCell="G23" sqref="G23"/>
    </sheetView>
  </sheetViews>
  <sheetFormatPr defaultRowHeight="15"/>
  <cols>
    <col min="1" max="1" width="36.88671875" customWidth="1"/>
    <col min="2" max="2" width="25.6640625" customWidth="1"/>
    <col min="3" max="3" width="48.5546875" customWidth="1"/>
    <col min="4" max="4" width="20.21875" customWidth="1"/>
    <col min="6" max="6" width="18" customWidth="1"/>
    <col min="7" max="7" width="26.21875" customWidth="1"/>
    <col min="8" max="8" width="18.109375" bestFit="1" customWidth="1"/>
  </cols>
  <sheetData>
    <row r="1" spans="1:8">
      <c r="A1" s="1175" t="str">
        <f>'Table of Contents'!A1:C1</f>
        <v>Atmos Energy Corporation, Kentucky/Mid-States Division</v>
      </c>
      <c r="B1" s="1175"/>
      <c r="C1" s="1175"/>
    </row>
    <row r="2" spans="1:8">
      <c r="A2" s="1176" t="str">
        <f>'Table of Contents'!A2:C2</f>
        <v>Kentucky Jurisdiction Case No. 2017-00349</v>
      </c>
      <c r="B2" s="1176"/>
      <c r="C2" s="1176"/>
    </row>
    <row r="3" spans="1:8">
      <c r="A3" s="1177" t="str">
        <f>'Table of Contents'!A3:C3</f>
        <v>Base Period: Twelve Months Ended December 31, 2017</v>
      </c>
      <c r="B3" s="1177"/>
      <c r="C3" s="1177"/>
    </row>
    <row r="4" spans="1:8">
      <c r="A4" s="1177" t="str">
        <f>'Table of Contents'!A4:C4</f>
        <v>Forecasted Test Period: Twelve Months Ended March 31, 2019</v>
      </c>
      <c r="B4" s="1177"/>
      <c r="C4" s="1177"/>
    </row>
    <row r="5" spans="1:8">
      <c r="A5" s="1177" t="s">
        <v>1689</v>
      </c>
      <c r="B5" s="1177"/>
      <c r="C5" s="1177"/>
    </row>
    <row r="7" spans="1:8" ht="15.75">
      <c r="C7" s="102" t="s">
        <v>1695</v>
      </c>
      <c r="D7" s="80">
        <v>24</v>
      </c>
    </row>
    <row r="9" spans="1:8" ht="15.75">
      <c r="B9" s="1174" t="s">
        <v>1703</v>
      </c>
      <c r="C9" s="1152" t="s">
        <v>1692</v>
      </c>
      <c r="D9" s="1152" t="s">
        <v>1468</v>
      </c>
      <c r="G9" s="1152" t="s">
        <v>1700</v>
      </c>
      <c r="H9" s="1152" t="s">
        <v>1468</v>
      </c>
    </row>
    <row r="10" spans="1:8" ht="15.75">
      <c r="A10" s="102" t="s">
        <v>1690</v>
      </c>
      <c r="B10" s="1153">
        <v>2018</v>
      </c>
      <c r="C10" s="80">
        <f>'[9]WP B.5F1'!$S$7</f>
        <v>-35309596.780000001</v>
      </c>
      <c r="F10" s="1173">
        <v>43190</v>
      </c>
      <c r="G10">
        <f>C10</f>
        <v>-35309596.780000001</v>
      </c>
    </row>
    <row r="11" spans="1:8" ht="15.75">
      <c r="A11" s="102" t="s">
        <v>1691</v>
      </c>
      <c r="B11" s="1153">
        <v>2019</v>
      </c>
      <c r="C11">
        <f>C10-D11</f>
        <v>-33838363.580833331</v>
      </c>
      <c r="D11">
        <f>$C$10/$D$7</f>
        <v>-1471233.1991666667</v>
      </c>
      <c r="F11" s="1173">
        <v>43220</v>
      </c>
      <c r="G11">
        <f>G10-H11</f>
        <v>-35186994.013402782</v>
      </c>
      <c r="H11">
        <f>$D$11/12</f>
        <v>-122602.76659722223</v>
      </c>
    </row>
    <row r="12" spans="1:8">
      <c r="B12" s="1153">
        <v>2020</v>
      </c>
      <c r="C12" s="795">
        <f t="shared" ref="C12:C34" si="0">C11-D12</f>
        <v>-32367130.381666664</v>
      </c>
      <c r="D12" s="795">
        <f t="shared" ref="D12:D34" si="1">$C$10/$D$7</f>
        <v>-1471233.1991666667</v>
      </c>
      <c r="F12" s="1173">
        <v>43221</v>
      </c>
      <c r="G12" s="795">
        <f t="shared" ref="G12:G22" si="2">G11-H12</f>
        <v>-35064391.246805564</v>
      </c>
      <c r="H12" s="795">
        <f t="shared" ref="H12:H22" si="3">$D$11/12</f>
        <v>-122602.76659722223</v>
      </c>
    </row>
    <row r="13" spans="1:8">
      <c r="B13" s="1153">
        <v>2021</v>
      </c>
      <c r="C13" s="795">
        <f t="shared" si="0"/>
        <v>-30895897.182499997</v>
      </c>
      <c r="D13" s="795">
        <f t="shared" si="1"/>
        <v>-1471233.1991666667</v>
      </c>
      <c r="F13" s="1173">
        <v>43252</v>
      </c>
      <c r="G13" s="795">
        <f t="shared" si="2"/>
        <v>-34941788.480208345</v>
      </c>
      <c r="H13" s="795">
        <f t="shared" si="3"/>
        <v>-122602.76659722223</v>
      </c>
    </row>
    <row r="14" spans="1:8">
      <c r="B14" s="1153">
        <v>2022</v>
      </c>
      <c r="C14" s="795">
        <f t="shared" si="0"/>
        <v>-29424663.983333331</v>
      </c>
      <c r="D14" s="795">
        <f t="shared" si="1"/>
        <v>-1471233.1991666667</v>
      </c>
      <c r="F14" s="1173">
        <v>43282</v>
      </c>
      <c r="G14" s="795">
        <f t="shared" si="2"/>
        <v>-34819185.713611126</v>
      </c>
      <c r="H14" s="795">
        <f t="shared" si="3"/>
        <v>-122602.76659722223</v>
      </c>
    </row>
    <row r="15" spans="1:8">
      <c r="B15" s="1153">
        <v>2023</v>
      </c>
      <c r="C15" s="795">
        <f t="shared" si="0"/>
        <v>-27953430.784166664</v>
      </c>
      <c r="D15" s="795">
        <f t="shared" si="1"/>
        <v>-1471233.1991666667</v>
      </c>
      <c r="F15" s="1173">
        <v>43313</v>
      </c>
      <c r="G15" s="795">
        <f t="shared" si="2"/>
        <v>-34696582.947013907</v>
      </c>
      <c r="H15" s="795">
        <f t="shared" si="3"/>
        <v>-122602.76659722223</v>
      </c>
    </row>
    <row r="16" spans="1:8">
      <c r="B16" s="1153">
        <v>2024</v>
      </c>
      <c r="C16" s="795">
        <f t="shared" si="0"/>
        <v>-26482197.584999997</v>
      </c>
      <c r="D16" s="795">
        <f t="shared" si="1"/>
        <v>-1471233.1991666667</v>
      </c>
      <c r="F16" s="1173">
        <v>43344</v>
      </c>
      <c r="G16" s="795">
        <f t="shared" si="2"/>
        <v>-34573980.180416688</v>
      </c>
      <c r="H16" s="795">
        <f t="shared" si="3"/>
        <v>-122602.76659722223</v>
      </c>
    </row>
    <row r="17" spans="2:8">
      <c r="B17" s="1153">
        <v>2025</v>
      </c>
      <c r="C17" s="795">
        <f t="shared" si="0"/>
        <v>-25010964.38583333</v>
      </c>
      <c r="D17" s="795">
        <f t="shared" si="1"/>
        <v>-1471233.1991666667</v>
      </c>
      <c r="F17" s="1173">
        <v>43374</v>
      </c>
      <c r="G17" s="795">
        <f t="shared" si="2"/>
        <v>-34451377.41381947</v>
      </c>
      <c r="H17" s="795">
        <f t="shared" si="3"/>
        <v>-122602.76659722223</v>
      </c>
    </row>
    <row r="18" spans="2:8">
      <c r="B18" s="1153">
        <v>2026</v>
      </c>
      <c r="C18" s="795">
        <f t="shared" si="0"/>
        <v>-23539731.186666664</v>
      </c>
      <c r="D18" s="795">
        <f t="shared" si="1"/>
        <v>-1471233.1991666667</v>
      </c>
      <c r="F18" s="1173">
        <v>43405</v>
      </c>
      <c r="G18" s="795">
        <f t="shared" si="2"/>
        <v>-34328774.647222251</v>
      </c>
      <c r="H18" s="795">
        <f t="shared" si="3"/>
        <v>-122602.76659722223</v>
      </c>
    </row>
    <row r="19" spans="2:8">
      <c r="B19" s="1153">
        <v>2027</v>
      </c>
      <c r="C19" s="795">
        <f t="shared" si="0"/>
        <v>-22068497.987499997</v>
      </c>
      <c r="D19" s="795">
        <f t="shared" si="1"/>
        <v>-1471233.1991666667</v>
      </c>
      <c r="F19" s="1173">
        <v>43435</v>
      </c>
      <c r="G19" s="795">
        <f t="shared" si="2"/>
        <v>-34206171.880625032</v>
      </c>
      <c r="H19" s="795">
        <f t="shared" si="3"/>
        <v>-122602.76659722223</v>
      </c>
    </row>
    <row r="20" spans="2:8">
      <c r="B20" s="1153">
        <v>2028</v>
      </c>
      <c r="C20" s="795">
        <f t="shared" si="0"/>
        <v>-20597264.78833333</v>
      </c>
      <c r="D20" s="795">
        <f t="shared" si="1"/>
        <v>-1471233.1991666667</v>
      </c>
      <c r="F20" s="1173">
        <v>43466</v>
      </c>
      <c r="G20" s="795">
        <f t="shared" si="2"/>
        <v>-34083569.114027813</v>
      </c>
      <c r="H20" s="795">
        <f t="shared" si="3"/>
        <v>-122602.76659722223</v>
      </c>
    </row>
    <row r="21" spans="2:8">
      <c r="B21" s="1153">
        <v>2029</v>
      </c>
      <c r="C21" s="795">
        <f t="shared" si="0"/>
        <v>-19126031.589166664</v>
      </c>
      <c r="D21" s="795">
        <f t="shared" si="1"/>
        <v>-1471233.1991666667</v>
      </c>
      <c r="F21" s="1173">
        <v>43497</v>
      </c>
      <c r="G21" s="795">
        <f t="shared" si="2"/>
        <v>-33960966.347430594</v>
      </c>
      <c r="H21" s="795">
        <f t="shared" si="3"/>
        <v>-122602.76659722223</v>
      </c>
    </row>
    <row r="22" spans="2:8">
      <c r="B22" s="1153">
        <v>2030</v>
      </c>
      <c r="C22" s="795">
        <f t="shared" si="0"/>
        <v>-17654798.389999997</v>
      </c>
      <c r="D22" s="795">
        <f t="shared" si="1"/>
        <v>-1471233.1991666667</v>
      </c>
      <c r="F22" s="1173">
        <v>43525</v>
      </c>
      <c r="G22" s="806">
        <f t="shared" si="2"/>
        <v>-33838363.580833375</v>
      </c>
      <c r="H22" s="806">
        <f t="shared" si="3"/>
        <v>-122602.76659722223</v>
      </c>
    </row>
    <row r="23" spans="2:8" ht="15.75">
      <c r="B23" s="1153">
        <v>2031</v>
      </c>
      <c r="C23" s="795">
        <f t="shared" si="0"/>
        <v>-16183565.19083333</v>
      </c>
      <c r="D23" s="795">
        <f t="shared" si="1"/>
        <v>-1471233.1991666667</v>
      </c>
      <c r="F23" t="s">
        <v>1471</v>
      </c>
      <c r="G23" s="102">
        <f>AVERAGE(G10:G22)</f>
        <v>-34573980.180416688</v>
      </c>
      <c r="H23" s="102">
        <f>H22</f>
        <v>-122602.76659722223</v>
      </c>
    </row>
    <row r="24" spans="2:8">
      <c r="B24" s="1153">
        <v>2032</v>
      </c>
      <c r="C24" s="795">
        <f t="shared" si="0"/>
        <v>-14712331.991666663</v>
      </c>
      <c r="D24" s="795">
        <f t="shared" si="1"/>
        <v>-1471233.1991666667</v>
      </c>
    </row>
    <row r="25" spans="2:8">
      <c r="B25" s="1153">
        <v>2033</v>
      </c>
      <c r="C25" s="795">
        <f t="shared" si="0"/>
        <v>-13241098.792499997</v>
      </c>
      <c r="D25" s="795">
        <f t="shared" si="1"/>
        <v>-1471233.1991666667</v>
      </c>
    </row>
    <row r="26" spans="2:8">
      <c r="B26" s="1153">
        <v>2034</v>
      </c>
      <c r="C26" s="795">
        <f t="shared" si="0"/>
        <v>-11769865.59333333</v>
      </c>
      <c r="D26" s="795">
        <f t="shared" si="1"/>
        <v>-1471233.1991666667</v>
      </c>
    </row>
    <row r="27" spans="2:8">
      <c r="B27" s="1153">
        <v>2035</v>
      </c>
      <c r="C27" s="795">
        <f t="shared" si="0"/>
        <v>-10298632.394166663</v>
      </c>
      <c r="D27" s="795">
        <f t="shared" si="1"/>
        <v>-1471233.1991666667</v>
      </c>
    </row>
    <row r="28" spans="2:8">
      <c r="B28" s="1153">
        <v>2036</v>
      </c>
      <c r="C28" s="795">
        <f t="shared" si="0"/>
        <v>-8827399.1949999966</v>
      </c>
      <c r="D28" s="795">
        <f t="shared" si="1"/>
        <v>-1471233.1991666667</v>
      </c>
    </row>
    <row r="29" spans="2:8">
      <c r="B29" s="1153">
        <v>2037</v>
      </c>
      <c r="C29" s="795">
        <f t="shared" si="0"/>
        <v>-7356165.9958333299</v>
      </c>
      <c r="D29" s="795">
        <f t="shared" si="1"/>
        <v>-1471233.1991666667</v>
      </c>
    </row>
    <row r="30" spans="2:8">
      <c r="B30" s="1153">
        <v>2038</v>
      </c>
      <c r="C30" s="795">
        <f t="shared" si="0"/>
        <v>-5884932.7966666631</v>
      </c>
      <c r="D30" s="795">
        <f t="shared" si="1"/>
        <v>-1471233.1991666667</v>
      </c>
    </row>
    <row r="31" spans="2:8">
      <c r="B31" s="1153">
        <v>2039</v>
      </c>
      <c r="C31" s="795">
        <f t="shared" si="0"/>
        <v>-4413699.5974999964</v>
      </c>
      <c r="D31" s="795">
        <f t="shared" si="1"/>
        <v>-1471233.1991666667</v>
      </c>
    </row>
    <row r="32" spans="2:8">
      <c r="B32" s="1153">
        <v>2040</v>
      </c>
      <c r="C32" s="795">
        <f t="shared" si="0"/>
        <v>-2942466.3983333297</v>
      </c>
      <c r="D32" s="795">
        <f t="shared" si="1"/>
        <v>-1471233.1991666667</v>
      </c>
    </row>
    <row r="33" spans="2:4">
      <c r="B33" s="1153">
        <v>2041</v>
      </c>
      <c r="C33" s="795">
        <f t="shared" si="0"/>
        <v>-1471233.199166663</v>
      </c>
      <c r="D33" s="795">
        <f t="shared" si="1"/>
        <v>-1471233.1991666667</v>
      </c>
    </row>
    <row r="34" spans="2:4">
      <c r="B34" s="1153">
        <v>2042</v>
      </c>
      <c r="C34" s="795">
        <f t="shared" si="0"/>
        <v>3.7252902984619141E-9</v>
      </c>
      <c r="D34" s="795">
        <f t="shared" si="1"/>
        <v>-1471233.1991666667</v>
      </c>
    </row>
  </sheetData>
  <mergeCells count="5">
    <mergeCell ref="A4:C4"/>
    <mergeCell ref="A5:C5"/>
    <mergeCell ref="A1:C1"/>
    <mergeCell ref="A2:C2"/>
    <mergeCell ref="A3:C3"/>
  </mergeCells>
  <pageMargins left="0.7" right="0.7" top="0.75" bottom="0.75" header="0.3" footer="0.3"/>
  <pageSetup scale="3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S42"/>
  <sheetViews>
    <sheetView view="pageBreakPreview" zoomScale="70" zoomScaleNormal="80" zoomScaleSheetLayoutView="70" workbookViewId="0">
      <pane xSplit="3" ySplit="11" topLeftCell="D12" activePane="bottomRight" state="frozen"/>
      <selection activeCell="G63" sqref="G63"/>
      <selection pane="topRight" activeCell="G63" sqref="G63"/>
      <selection pane="bottomLeft" activeCell="G63" sqref="G63"/>
      <selection pane="bottomRight" activeCell="G63" sqref="G63"/>
    </sheetView>
  </sheetViews>
  <sheetFormatPr defaultColWidth="8.44140625" defaultRowHeight="15"/>
  <cols>
    <col min="1" max="1" width="5.77734375" style="1" customWidth="1"/>
    <col min="2" max="2" width="6.88671875" style="1" customWidth="1"/>
    <col min="3" max="3" width="47" style="1" customWidth="1"/>
    <col min="4" max="7" width="10.5546875" style="1" bestFit="1" customWidth="1"/>
    <col min="8" max="8" width="10.5546875" style="74" bestFit="1" customWidth="1"/>
    <col min="9" max="15" width="10.5546875" style="1" bestFit="1" customWidth="1"/>
    <col min="16" max="16" width="12" style="1" bestFit="1" customWidth="1"/>
    <col min="17" max="17" width="11" style="1" customWidth="1"/>
    <col min="18" max="16384" width="8.44140625" style="1"/>
  </cols>
  <sheetData>
    <row r="1" spans="1:19">
      <c r="A1" s="1180" t="str">
        <f>Allocation!A1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  <c r="O1" s="1180"/>
      <c r="P1" s="1180"/>
      <c r="Q1" s="1180"/>
    </row>
    <row r="2" spans="1:19">
      <c r="A2" s="1180" t="str">
        <f>Allocation!A2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</row>
    <row r="3" spans="1:19">
      <c r="A3" s="1180" t="s">
        <v>1241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  <c r="M3" s="1180"/>
      <c r="N3" s="1180"/>
      <c r="O3" s="1180"/>
      <c r="P3" s="1180"/>
      <c r="Q3" s="1180"/>
    </row>
    <row r="4" spans="1:19">
      <c r="A4" s="1180" t="str">
        <f>Allocation!A3</f>
        <v>Base Period: Twelve Months Ended December 31, 2017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</row>
    <row r="5" spans="1:19">
      <c r="A5" s="31"/>
      <c r="B5" s="30"/>
      <c r="C5" s="30"/>
      <c r="D5" s="30"/>
      <c r="E5" s="30"/>
      <c r="F5" s="30"/>
      <c r="G5" s="30"/>
      <c r="H5" s="370"/>
      <c r="I5" s="30"/>
      <c r="J5" s="30"/>
      <c r="K5" s="30"/>
    </row>
    <row r="6" spans="1:19">
      <c r="A6" s="48" t="str">
        <f>'B.1 B'!A6</f>
        <v>Data:__X___Base Period______Forecasted Period</v>
      </c>
      <c r="B6" s="48"/>
      <c r="C6" s="35"/>
      <c r="P6" s="1" t="s">
        <v>1449</v>
      </c>
    </row>
    <row r="7" spans="1:19">
      <c r="A7" s="48" t="str">
        <f>'B.1 B'!A7</f>
        <v>Type of Filing:___X____Original________Updated ________Revised</v>
      </c>
      <c r="B7" s="35"/>
      <c r="C7" s="48"/>
      <c r="P7" s="1" t="s">
        <v>813</v>
      </c>
    </row>
    <row r="8" spans="1:19">
      <c r="A8" s="51" t="str">
        <f>'B.1 B'!A8</f>
        <v>Workpaper Reference No(s).</v>
      </c>
      <c r="B8" s="6"/>
      <c r="C8" s="6"/>
      <c r="D8" s="6"/>
      <c r="E8" s="6"/>
      <c r="F8" s="6"/>
      <c r="G8" s="33"/>
      <c r="H8" s="82"/>
      <c r="I8" s="6"/>
      <c r="J8" s="6"/>
      <c r="K8" s="33"/>
      <c r="L8" s="6"/>
      <c r="M8" s="33"/>
      <c r="N8" s="33"/>
      <c r="O8" s="33"/>
      <c r="P8" s="33"/>
      <c r="Q8" s="33"/>
    </row>
    <row r="9" spans="1:19">
      <c r="D9" s="54"/>
      <c r="E9" s="222"/>
      <c r="F9" s="2"/>
      <c r="G9" s="2"/>
      <c r="H9" s="75"/>
      <c r="I9" s="2"/>
      <c r="J9" s="222"/>
      <c r="K9" s="2"/>
    </row>
    <row r="10" spans="1:19">
      <c r="A10" s="2" t="s">
        <v>94</v>
      </c>
      <c r="B10" s="2" t="s">
        <v>95</v>
      </c>
      <c r="D10" s="53" t="s">
        <v>108</v>
      </c>
      <c r="E10" s="53" t="s">
        <v>108</v>
      </c>
      <c r="F10" s="53" t="s">
        <v>108</v>
      </c>
      <c r="G10" s="53" t="s">
        <v>108</v>
      </c>
      <c r="H10" s="53" t="s">
        <v>108</v>
      </c>
      <c r="I10" s="53" t="s">
        <v>108</v>
      </c>
      <c r="J10" s="53" t="s">
        <v>108</v>
      </c>
      <c r="K10" s="610" t="s">
        <v>458</v>
      </c>
      <c r="L10" s="53" t="s">
        <v>458</v>
      </c>
      <c r="M10" s="53" t="s">
        <v>458</v>
      </c>
      <c r="N10" s="53" t="s">
        <v>458</v>
      </c>
      <c r="O10" s="53" t="s">
        <v>458</v>
      </c>
      <c r="P10" s="53" t="s">
        <v>458</v>
      </c>
      <c r="Q10" s="99" t="s">
        <v>319</v>
      </c>
    </row>
    <row r="11" spans="1:19">
      <c r="A11" s="9" t="s">
        <v>100</v>
      </c>
      <c r="B11" s="9" t="s">
        <v>101</v>
      </c>
      <c r="C11" s="6"/>
      <c r="D11" s="347">
        <f>'WP B.4.1B'!C8</f>
        <v>42705</v>
      </c>
      <c r="E11" s="347">
        <f>'WP B.4.1B'!D8</f>
        <v>42736</v>
      </c>
      <c r="F11" s="347">
        <f>'WP B.4.1B'!E8</f>
        <v>42767</v>
      </c>
      <c r="G11" s="347">
        <f>'WP B.4.1B'!F8</f>
        <v>42795</v>
      </c>
      <c r="H11" s="347">
        <f>'WP B.4.1B'!G8</f>
        <v>42826</v>
      </c>
      <c r="I11" s="347">
        <f>'WP B.4.1B'!H8</f>
        <v>42856</v>
      </c>
      <c r="J11" s="347">
        <f>'WP B.4.1B'!I8</f>
        <v>42887</v>
      </c>
      <c r="K11" s="347">
        <f>'WP B.4.1B'!J8</f>
        <v>42917</v>
      </c>
      <c r="L11" s="347">
        <f>'WP B.4.1B'!K8</f>
        <v>42948</v>
      </c>
      <c r="M11" s="347">
        <f>'WP B.4.1B'!L8</f>
        <v>42979</v>
      </c>
      <c r="N11" s="347">
        <f>'WP B.4.1B'!M8</f>
        <v>43009</v>
      </c>
      <c r="O11" s="347">
        <f>'WP B.4.1B'!N8</f>
        <v>43040</v>
      </c>
      <c r="P11" s="347">
        <f>'WP B.4.1B'!O8</f>
        <v>43070</v>
      </c>
      <c r="Q11" s="56" t="s">
        <v>99</v>
      </c>
    </row>
    <row r="12" spans="1:19" ht="15.75">
      <c r="B12" s="12" t="s">
        <v>214</v>
      </c>
      <c r="G12" s="81"/>
    </row>
    <row r="13" spans="1:19">
      <c r="A13" s="2">
        <v>1</v>
      </c>
      <c r="B13" s="371"/>
      <c r="C13" s="4" t="s">
        <v>53</v>
      </c>
      <c r="D13" s="376">
        <f>-'[10]Div 09'!J$13</f>
        <v>-1674612.99</v>
      </c>
      <c r="E13" s="376">
        <f>-'[10]Div 09'!K$13</f>
        <v>-1744326.61</v>
      </c>
      <c r="F13" s="376">
        <f>-'[10]Div 09'!L$13</f>
        <v>-1740194.61</v>
      </c>
      <c r="G13" s="376">
        <f>-'[10]Div 09'!M$13</f>
        <v>-1623598.93</v>
      </c>
      <c r="H13" s="376">
        <f>-'[10]Div 09'!N$13</f>
        <v>-1304466.75</v>
      </c>
      <c r="I13" s="376">
        <f>-'[10]Div 09'!O$13</f>
        <v>-1194206.95</v>
      </c>
      <c r="J13" s="376">
        <f>-'[10]Div 09'!P$13</f>
        <v>-1018425.36</v>
      </c>
      <c r="K13" s="376">
        <f>-'[10]Div 09'!Q$13</f>
        <v>-1437536.5350000001</v>
      </c>
      <c r="L13" s="376">
        <f>-'[10]Div 09'!R$13</f>
        <v>-1437536.5350000001</v>
      </c>
      <c r="M13" s="376">
        <f>-'[10]Div 09'!S$13</f>
        <v>-1437536.5350000001</v>
      </c>
      <c r="N13" s="376">
        <f>-'[10]Div 09'!T$13</f>
        <v>-1437536.5350000001</v>
      </c>
      <c r="O13" s="376">
        <f>-'[10]Div 09'!U$13</f>
        <v>-1437536.5350000001</v>
      </c>
      <c r="P13" s="376">
        <f>-'[10]Div 09'!V$13</f>
        <v>-1437536.5350000001</v>
      </c>
      <c r="Q13" s="310">
        <f>SUM(D13:P13)/13</f>
        <v>-1455773.1853846153</v>
      </c>
      <c r="S13" s="796"/>
    </row>
    <row r="14" spans="1:19">
      <c r="A14" s="54">
        <v>2</v>
      </c>
      <c r="B14" s="372"/>
      <c r="D14" s="77"/>
      <c r="E14" s="42"/>
      <c r="F14" s="42"/>
      <c r="G14" s="77"/>
      <c r="H14" s="77"/>
      <c r="I14" s="42"/>
      <c r="J14" s="42"/>
      <c r="K14" s="42"/>
      <c r="L14" s="42"/>
      <c r="P14" s="310"/>
    </row>
    <row r="15" spans="1:19" ht="15.75">
      <c r="A15" s="2">
        <v>3</v>
      </c>
      <c r="B15" s="12" t="s">
        <v>215</v>
      </c>
      <c r="D15" s="35"/>
      <c r="E15" s="35"/>
      <c r="F15" s="35"/>
      <c r="G15" s="74"/>
      <c r="I15" s="35"/>
      <c r="J15" s="35"/>
      <c r="K15" s="35"/>
      <c r="L15" s="379"/>
      <c r="M15" s="310"/>
      <c r="N15" s="310"/>
      <c r="O15" s="310"/>
      <c r="P15" s="310"/>
    </row>
    <row r="16" spans="1:19">
      <c r="A16" s="54">
        <v>4</v>
      </c>
      <c r="B16" s="371">
        <v>15560</v>
      </c>
      <c r="C16" s="4" t="s">
        <v>53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6">
        <v>0</v>
      </c>
      <c r="Q16" s="310">
        <f>(SUM(D16:P16))/13</f>
        <v>0</v>
      </c>
    </row>
    <row r="17" spans="1:17">
      <c r="A17" s="2">
        <v>5</v>
      </c>
      <c r="B17" s="373"/>
      <c r="C17" s="4"/>
      <c r="D17" s="77"/>
      <c r="E17" s="42"/>
      <c r="F17" s="42"/>
      <c r="G17" s="77"/>
      <c r="H17" s="77"/>
      <c r="I17" s="74"/>
      <c r="J17" s="74"/>
      <c r="K17" s="74"/>
      <c r="L17" s="378"/>
      <c r="M17" s="310"/>
      <c r="N17" s="310"/>
      <c r="O17" s="310"/>
      <c r="P17" s="310"/>
    </row>
    <row r="18" spans="1:17" ht="15.75">
      <c r="A18" s="54">
        <v>6</v>
      </c>
      <c r="B18" s="12" t="s">
        <v>1126</v>
      </c>
      <c r="C18" s="22"/>
      <c r="D18" s="374"/>
      <c r="E18" s="168"/>
      <c r="F18" s="168"/>
      <c r="G18" s="76"/>
      <c r="H18" s="76"/>
      <c r="I18" s="76"/>
      <c r="J18" s="76"/>
      <c r="K18" s="76"/>
      <c r="L18" s="378"/>
      <c r="M18" s="310"/>
      <c r="N18" s="310"/>
      <c r="O18" s="310"/>
      <c r="P18" s="310"/>
    </row>
    <row r="19" spans="1:17">
      <c r="A19" s="2">
        <v>7</v>
      </c>
      <c r="B19" s="371">
        <v>15560</v>
      </c>
      <c r="C19" s="4" t="s">
        <v>53</v>
      </c>
      <c r="D19" s="381">
        <v>0</v>
      </c>
      <c r="E19" s="381">
        <v>0</v>
      </c>
      <c r="F19" s="381">
        <v>0</v>
      </c>
      <c r="G19" s="381">
        <v>0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10">
        <f>(SUM(D19:P19))/13</f>
        <v>0</v>
      </c>
    </row>
    <row r="20" spans="1:17">
      <c r="A20" s="54">
        <v>8</v>
      </c>
      <c r="B20" s="373"/>
      <c r="C20" s="4"/>
      <c r="D20" s="38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</row>
    <row r="21" spans="1:17" ht="15.75">
      <c r="A21" s="2">
        <v>9</v>
      </c>
      <c r="B21" s="12" t="s">
        <v>682</v>
      </c>
      <c r="D21" s="35"/>
      <c r="E21" s="35"/>
      <c r="F21" s="35"/>
      <c r="G21" s="74"/>
      <c r="I21" s="35"/>
      <c r="J21" s="35"/>
      <c r="K21" s="35"/>
      <c r="L21" s="379"/>
      <c r="M21" s="310"/>
      <c r="N21" s="310"/>
      <c r="O21" s="310"/>
      <c r="P21" s="310"/>
    </row>
    <row r="22" spans="1:17">
      <c r="A22" s="54">
        <v>10</v>
      </c>
      <c r="B22" s="371">
        <v>15560</v>
      </c>
      <c r="C22" s="4" t="s">
        <v>53</v>
      </c>
      <c r="D22" s="381" t="str">
        <f>'[10]Div 91'!J$13</f>
        <v>0</v>
      </c>
      <c r="E22" s="381" t="str">
        <f>'[10]Div 91'!K$13</f>
        <v>0</v>
      </c>
      <c r="F22" s="381" t="str">
        <f>'[10]Div 91'!L$13</f>
        <v>0</v>
      </c>
      <c r="G22" s="381" t="str">
        <f>'[10]Div 91'!M$13</f>
        <v>0</v>
      </c>
      <c r="H22" s="381" t="str">
        <f>'[10]Div 91'!N$13</f>
        <v>0</v>
      </c>
      <c r="I22" s="381" t="str">
        <f>'[10]Div 91'!O$13</f>
        <v>0</v>
      </c>
      <c r="J22" s="381" t="str">
        <f>'[10]Div 91'!P$13</f>
        <v>0</v>
      </c>
      <c r="K22" s="381">
        <f>'[10]Div 91'!Q$13</f>
        <v>0</v>
      </c>
      <c r="L22" s="381">
        <f>'[10]Div 91'!R$13</f>
        <v>0</v>
      </c>
      <c r="M22" s="381">
        <f>'[10]Div 91'!S$13</f>
        <v>0</v>
      </c>
      <c r="N22" s="381">
        <f>'[10]Div 91'!T$13</f>
        <v>0</v>
      </c>
      <c r="O22" s="381">
        <f>'[10]Div 91'!U$13</f>
        <v>0</v>
      </c>
      <c r="P22" s="381">
        <f>'[10]Div 91'!V$13</f>
        <v>0</v>
      </c>
      <c r="Q22" s="310">
        <f>(SUM(D22:P22))/13</f>
        <v>0</v>
      </c>
    </row>
    <row r="23" spans="1:17">
      <c r="A23" s="2"/>
      <c r="B23" s="372"/>
      <c r="D23" s="77"/>
      <c r="E23" s="42"/>
      <c r="F23" s="42"/>
      <c r="G23" s="77"/>
      <c r="H23" s="77"/>
      <c r="I23" s="77"/>
      <c r="J23" s="77"/>
      <c r="K23" s="77"/>
      <c r="L23" s="378"/>
      <c r="M23" s="310"/>
      <c r="N23" s="310"/>
      <c r="O23" s="310"/>
      <c r="P23" s="310"/>
    </row>
    <row r="24" spans="1:17">
      <c r="A24" s="2"/>
      <c r="D24" s="77"/>
      <c r="E24" s="42"/>
      <c r="F24" s="42"/>
      <c r="G24" s="77"/>
      <c r="H24" s="77"/>
      <c r="I24" s="77"/>
      <c r="J24" s="77"/>
      <c r="K24" s="77"/>
      <c r="L24" s="378"/>
      <c r="M24" s="310"/>
      <c r="N24" s="310"/>
      <c r="O24" s="310"/>
      <c r="P24" s="310"/>
    </row>
    <row r="25" spans="1:17">
      <c r="A25" s="35"/>
      <c r="B25" s="35"/>
      <c r="P25" s="310"/>
    </row>
    <row r="26" spans="1:17">
      <c r="A26" s="35"/>
      <c r="B26" s="35"/>
    </row>
    <row r="27" spans="1:17">
      <c r="A27" s="35"/>
      <c r="B27" s="35"/>
    </row>
    <row r="28" spans="1:17">
      <c r="A28" s="35"/>
      <c r="B28" s="35"/>
    </row>
    <row r="29" spans="1:17">
      <c r="A29" s="35"/>
      <c r="B29" s="35"/>
    </row>
    <row r="30" spans="1:17">
      <c r="A30" s="35"/>
      <c r="B30" s="35"/>
    </row>
    <row r="31" spans="1:17">
      <c r="A31" s="35"/>
      <c r="B31" s="35"/>
    </row>
    <row r="32" spans="1:17">
      <c r="A32" s="35"/>
      <c r="B32" s="35"/>
    </row>
    <row r="33" spans="1:2">
      <c r="A33" s="35"/>
      <c r="B33" s="35"/>
    </row>
    <row r="34" spans="1:2">
      <c r="A34" s="35"/>
      <c r="B34" s="35"/>
    </row>
    <row r="35" spans="1:2">
      <c r="A35" s="35"/>
      <c r="B35" s="35"/>
    </row>
    <row r="36" spans="1:2">
      <c r="A36" s="35"/>
      <c r="B36" s="35"/>
    </row>
    <row r="37" spans="1:2">
      <c r="A37" s="35"/>
      <c r="B37" s="35"/>
    </row>
    <row r="38" spans="1:2">
      <c r="A38" s="35"/>
      <c r="B38" s="35"/>
    </row>
    <row r="39" spans="1:2">
      <c r="A39" s="35"/>
      <c r="B39" s="35"/>
    </row>
    <row r="40" spans="1:2">
      <c r="A40" s="35"/>
      <c r="B40" s="35"/>
    </row>
    <row r="41" spans="1:2">
      <c r="A41" s="35"/>
      <c r="B41" s="35"/>
    </row>
    <row r="42" spans="1:2">
      <c r="A42" s="35"/>
      <c r="B42" s="35"/>
    </row>
  </sheetData>
  <mergeCells count="4">
    <mergeCell ref="A1:Q1"/>
    <mergeCell ref="A2:Q2"/>
    <mergeCell ref="A3:Q3"/>
    <mergeCell ref="A4:Q4"/>
  </mergeCells>
  <phoneticPr fontId="22" type="noConversion"/>
  <printOptions horizontalCentered="1"/>
  <pageMargins left="0.54" right="0.53" top="0.93" bottom="1" header="0.5" footer="0.5"/>
  <pageSetup scale="50" orientation="landscape" verticalDpi="300" r:id="rId1"/>
  <headerFooter alignWithMargins="0">
    <oddFooter>&amp;R&amp;A
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Q41"/>
  <sheetViews>
    <sheetView view="pageBreakPreview" zoomScale="70" zoomScaleNormal="80" zoomScaleSheetLayoutView="70" workbookViewId="0">
      <pane xSplit="3" ySplit="11" topLeftCell="D12" activePane="bottomRight" state="frozen"/>
      <selection activeCell="G63" sqref="G63"/>
      <selection pane="topRight" activeCell="G63" sqref="G63"/>
      <selection pane="bottomLeft" activeCell="G63" sqref="G63"/>
      <selection pane="bottomRight" activeCell="G63" sqref="G63"/>
    </sheetView>
  </sheetViews>
  <sheetFormatPr defaultColWidth="8.44140625" defaultRowHeight="15"/>
  <cols>
    <col min="1" max="1" width="5.77734375" style="1" customWidth="1"/>
    <col min="2" max="2" width="7.109375" style="1" customWidth="1"/>
    <col min="3" max="3" width="44.21875" style="1" customWidth="1"/>
    <col min="4" max="7" width="10.5546875" style="1" bestFit="1" customWidth="1"/>
    <col min="8" max="8" width="10.5546875" style="74" bestFit="1" customWidth="1"/>
    <col min="9" max="15" width="10.5546875" style="1" bestFit="1" customWidth="1"/>
    <col min="16" max="16" width="12" style="1" bestFit="1" customWidth="1"/>
    <col min="17" max="17" width="10" style="1" bestFit="1" customWidth="1"/>
    <col min="18" max="16384" width="8.44140625" style="1"/>
  </cols>
  <sheetData>
    <row r="1" spans="1:17">
      <c r="A1" s="1180" t="str">
        <f>Allocation!A1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  <c r="O1" s="1180"/>
      <c r="P1" s="1180"/>
      <c r="Q1" s="1180"/>
    </row>
    <row r="2" spans="1:17">
      <c r="A2" s="1180" t="str">
        <f>Allocation!A2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</row>
    <row r="3" spans="1:17">
      <c r="A3" s="1180" t="s">
        <v>1241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  <c r="M3" s="1180"/>
      <c r="N3" s="1180"/>
      <c r="O3" s="1180"/>
      <c r="P3" s="1180"/>
      <c r="Q3" s="1180"/>
    </row>
    <row r="4" spans="1:17">
      <c r="A4" s="1180" t="str">
        <f>Allocation!A3</f>
        <v>Base Period: Twelve Months Ended December 31, 2017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</row>
    <row r="5" spans="1:17">
      <c r="A5" s="31"/>
      <c r="B5" s="30"/>
      <c r="C5" s="30"/>
      <c r="D5" s="30"/>
      <c r="E5" s="30"/>
      <c r="F5" s="30"/>
      <c r="G5" s="30"/>
      <c r="H5" s="370"/>
      <c r="I5" s="30"/>
      <c r="J5" s="30"/>
      <c r="K5" s="30"/>
    </row>
    <row r="6" spans="1:17">
      <c r="A6" s="48" t="str">
        <f>'B.1 F '!A6</f>
        <v>Data:______Base Period__X___Forecasted Period</v>
      </c>
      <c r="B6" s="48"/>
      <c r="C6" s="35"/>
      <c r="P6" s="1" t="s">
        <v>1448</v>
      </c>
    </row>
    <row r="7" spans="1:17">
      <c r="A7" s="48" t="str">
        <f>'B.1 F '!A7</f>
        <v>Type of Filing:___X____Original________Updated ________Revised</v>
      </c>
      <c r="B7" s="35"/>
      <c r="C7" s="48"/>
      <c r="P7" s="1" t="s">
        <v>1177</v>
      </c>
    </row>
    <row r="8" spans="1:17">
      <c r="A8" s="51" t="str">
        <f>'B.1 F '!A8</f>
        <v>Workpaper Reference No(s).</v>
      </c>
      <c r="B8" s="6"/>
      <c r="C8" s="6"/>
      <c r="D8" s="6"/>
      <c r="E8" s="6"/>
      <c r="F8" s="6"/>
      <c r="G8" s="33"/>
      <c r="H8" s="82"/>
      <c r="I8" s="6"/>
      <c r="J8" s="6"/>
      <c r="K8" s="33"/>
      <c r="L8" s="6"/>
      <c r="M8" s="33"/>
      <c r="N8" s="33"/>
      <c r="O8" s="33"/>
      <c r="P8" s="33"/>
      <c r="Q8" s="33"/>
    </row>
    <row r="9" spans="1:17">
      <c r="D9" s="54"/>
      <c r="E9" s="222"/>
      <c r="F9" s="2"/>
      <c r="G9" s="2"/>
      <c r="H9" s="75"/>
      <c r="I9" s="2"/>
      <c r="J9" s="222"/>
      <c r="K9" s="2"/>
    </row>
    <row r="10" spans="1:17">
      <c r="A10" s="2" t="s">
        <v>94</v>
      </c>
      <c r="B10" s="2" t="s">
        <v>95</v>
      </c>
      <c r="D10" s="53" t="s">
        <v>458</v>
      </c>
      <c r="E10" s="789" t="s">
        <v>458</v>
      </c>
      <c r="F10" s="789" t="s">
        <v>458</v>
      </c>
      <c r="G10" s="789" t="s">
        <v>458</v>
      </c>
      <c r="H10" s="789" t="s">
        <v>458</v>
      </c>
      <c r="I10" s="610" t="s">
        <v>44</v>
      </c>
      <c r="J10" s="610" t="s">
        <v>44</v>
      </c>
      <c r="K10" s="610" t="s">
        <v>44</v>
      </c>
      <c r="L10" s="610" t="s">
        <v>44</v>
      </c>
      <c r="M10" s="610" t="s">
        <v>44</v>
      </c>
      <c r="N10" s="610" t="s">
        <v>44</v>
      </c>
      <c r="O10" s="610" t="s">
        <v>44</v>
      </c>
      <c r="P10" s="610" t="s">
        <v>44</v>
      </c>
      <c r="Q10" s="99" t="s">
        <v>319</v>
      </c>
    </row>
    <row r="11" spans="1:17">
      <c r="A11" s="9" t="s">
        <v>100</v>
      </c>
      <c r="B11" s="9" t="s">
        <v>101</v>
      </c>
      <c r="C11" s="6"/>
      <c r="D11" s="347">
        <f>'WP B.4.1F'!C8</f>
        <v>43160</v>
      </c>
      <c r="E11" s="347">
        <f>'WP B.4.1F'!D8</f>
        <v>43191</v>
      </c>
      <c r="F11" s="347">
        <f>'WP B.4.1F'!E8</f>
        <v>43221</v>
      </c>
      <c r="G11" s="347">
        <f>'WP B.4.1F'!F8</f>
        <v>43252</v>
      </c>
      <c r="H11" s="347">
        <f>'WP B.4.1F'!G8</f>
        <v>43282</v>
      </c>
      <c r="I11" s="347">
        <f>'WP B.4.1F'!H8</f>
        <v>43313</v>
      </c>
      <c r="J11" s="347">
        <f>'WP B.4.1F'!I8</f>
        <v>43344</v>
      </c>
      <c r="K11" s="347">
        <f>'WP B.4.1F'!J8</f>
        <v>43374</v>
      </c>
      <c r="L11" s="347">
        <f>'WP B.4.1F'!K8</f>
        <v>43405</v>
      </c>
      <c r="M11" s="347">
        <f>'WP B.4.1F'!L8</f>
        <v>43435</v>
      </c>
      <c r="N11" s="347">
        <f>'WP B.4.1F'!M8</f>
        <v>43466</v>
      </c>
      <c r="O11" s="347">
        <f>'WP B.4.1F'!N8</f>
        <v>43497</v>
      </c>
      <c r="P11" s="347">
        <f>'WP B.4.1F'!O8</f>
        <v>43525</v>
      </c>
      <c r="Q11" s="56" t="s">
        <v>99</v>
      </c>
    </row>
    <row r="12" spans="1:17" ht="15.75">
      <c r="B12" s="12" t="s">
        <v>214</v>
      </c>
      <c r="G12" s="81"/>
    </row>
    <row r="13" spans="1:17">
      <c r="A13" s="2">
        <v>1</v>
      </c>
      <c r="B13" s="371"/>
      <c r="C13" s="4" t="s">
        <v>53</v>
      </c>
      <c r="D13" s="376">
        <f>-'[10]Div 09'!Y$13</f>
        <v>-1437536.5350000001</v>
      </c>
      <c r="E13" s="376">
        <f>-'[10]Div 09'!Z$13</f>
        <v>-1437536.5350000001</v>
      </c>
      <c r="F13" s="376">
        <f>-'[10]Div 09'!AA$13</f>
        <v>-1437536.5350000001</v>
      </c>
      <c r="G13" s="376">
        <f>-'[10]Div 09'!AB$13</f>
        <v>-1437536.5350000001</v>
      </c>
      <c r="H13" s="376">
        <f>-'[10]Div 09'!AC$13</f>
        <v>-1437536.5350000001</v>
      </c>
      <c r="I13" s="376">
        <f>-'[10]Div 09'!AD$13</f>
        <v>-1437536.5350000001</v>
      </c>
      <c r="J13" s="376">
        <f>-'[10]Div 09'!AE$13</f>
        <v>-1437536.5350000001</v>
      </c>
      <c r="K13" s="376">
        <f>-'[10]Div 09'!AF$13</f>
        <v>-1437536.5350000001</v>
      </c>
      <c r="L13" s="376">
        <f>-'[10]Div 09'!AG$13</f>
        <v>-1437536.5350000001</v>
      </c>
      <c r="M13" s="376">
        <f>-'[10]Div 09'!AH$13</f>
        <v>-1437536.5350000001</v>
      </c>
      <c r="N13" s="376">
        <f>-'[10]Div 09'!AI$13</f>
        <v>-1437536.5350000001</v>
      </c>
      <c r="O13" s="376">
        <f>-'[10]Div 09'!AJ$13</f>
        <v>-1437536.5350000001</v>
      </c>
      <c r="P13" s="376">
        <f>-'[10]Div 09'!AK$13</f>
        <v>-1437536.5350000001</v>
      </c>
      <c r="Q13" s="1">
        <f>SUM(D13:P13)/13</f>
        <v>-1437536.5350000001</v>
      </c>
    </row>
    <row r="14" spans="1:17">
      <c r="A14" s="54">
        <v>2</v>
      </c>
      <c r="B14" s="372"/>
      <c r="D14" s="77"/>
      <c r="E14" s="77"/>
      <c r="F14" s="77"/>
      <c r="G14" s="77"/>
      <c r="H14" s="77"/>
      <c r="I14" s="77"/>
      <c r="J14" s="77"/>
      <c r="K14" s="77"/>
      <c r="L14" s="77"/>
      <c r="M14" s="81"/>
      <c r="N14" s="81"/>
      <c r="O14" s="81"/>
      <c r="P14" s="428"/>
    </row>
    <row r="15" spans="1:17" ht="15.75">
      <c r="A15" s="2">
        <v>3</v>
      </c>
      <c r="B15" s="12" t="s">
        <v>215</v>
      </c>
      <c r="D15" s="74"/>
      <c r="E15" s="74"/>
      <c r="F15" s="74"/>
      <c r="G15" s="74"/>
      <c r="I15" s="74"/>
      <c r="J15" s="74"/>
      <c r="K15" s="74"/>
      <c r="L15" s="380"/>
      <c r="M15" s="428"/>
      <c r="N15" s="428"/>
      <c r="O15" s="428"/>
      <c r="P15" s="428"/>
    </row>
    <row r="16" spans="1:17">
      <c r="A16" s="54">
        <v>4</v>
      </c>
      <c r="B16" s="371">
        <v>15560</v>
      </c>
      <c r="C16" s="4" t="s">
        <v>53</v>
      </c>
      <c r="D16" s="376">
        <v>0</v>
      </c>
      <c r="E16" s="376">
        <v>0</v>
      </c>
      <c r="F16" s="376">
        <v>0</v>
      </c>
      <c r="G16" s="376">
        <v>0</v>
      </c>
      <c r="H16" s="376">
        <v>0</v>
      </c>
      <c r="I16" s="376">
        <v>0</v>
      </c>
      <c r="J16" s="376">
        <v>0</v>
      </c>
      <c r="K16" s="376">
        <v>0</v>
      </c>
      <c r="L16" s="376">
        <v>0</v>
      </c>
      <c r="M16" s="376">
        <v>0</v>
      </c>
      <c r="N16" s="376">
        <v>0</v>
      </c>
      <c r="O16" s="376">
        <v>0</v>
      </c>
      <c r="P16" s="376">
        <v>0</v>
      </c>
      <c r="Q16" s="1">
        <f>SUM(D16:P16)/13</f>
        <v>0</v>
      </c>
    </row>
    <row r="17" spans="1:17">
      <c r="A17" s="2">
        <v>5</v>
      </c>
      <c r="B17" s="373"/>
      <c r="C17" s="4"/>
      <c r="D17" s="77"/>
      <c r="E17" s="77"/>
      <c r="F17" s="77"/>
      <c r="G17" s="77"/>
      <c r="H17" s="77"/>
      <c r="I17" s="74"/>
      <c r="J17" s="74"/>
      <c r="K17" s="74"/>
      <c r="L17" s="376"/>
      <c r="M17" s="428"/>
      <c r="N17" s="428"/>
      <c r="O17" s="428"/>
      <c r="P17" s="428"/>
    </row>
    <row r="18" spans="1:17" ht="15.75">
      <c r="A18" s="54">
        <v>6</v>
      </c>
      <c r="B18" s="12" t="s">
        <v>1126</v>
      </c>
      <c r="C18" s="22"/>
      <c r="D18" s="374"/>
      <c r="E18" s="374"/>
      <c r="F18" s="374"/>
      <c r="G18" s="76"/>
      <c r="H18" s="76"/>
      <c r="I18" s="76"/>
      <c r="J18" s="76"/>
      <c r="K18" s="76"/>
      <c r="L18" s="376"/>
      <c r="M18" s="428"/>
      <c r="N18" s="428"/>
      <c r="O18" s="428"/>
      <c r="P18" s="428"/>
    </row>
    <row r="19" spans="1:17">
      <c r="A19" s="2">
        <v>7</v>
      </c>
      <c r="B19" s="371">
        <v>15560</v>
      </c>
      <c r="C19" s="4" t="s">
        <v>53</v>
      </c>
      <c r="D19" s="381">
        <v>0</v>
      </c>
      <c r="E19" s="381">
        <v>0</v>
      </c>
      <c r="F19" s="381">
        <v>0</v>
      </c>
      <c r="G19" s="381">
        <v>0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1">
        <f>SUM(D19:P19)/13</f>
        <v>0</v>
      </c>
    </row>
    <row r="20" spans="1:17">
      <c r="A20" s="54">
        <v>8</v>
      </c>
      <c r="B20" s="373"/>
      <c r="C20" s="4"/>
      <c r="D20" s="38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</row>
    <row r="21" spans="1:17" ht="15.75">
      <c r="A21" s="2">
        <v>9</v>
      </c>
      <c r="B21" s="12" t="s">
        <v>682</v>
      </c>
      <c r="D21" s="74"/>
      <c r="E21" s="74"/>
      <c r="F21" s="74"/>
      <c r="G21" s="74"/>
      <c r="I21" s="74"/>
      <c r="J21" s="74"/>
      <c r="K21" s="74"/>
      <c r="L21" s="380"/>
      <c r="M21" s="428"/>
      <c r="N21" s="428"/>
      <c r="O21" s="428"/>
      <c r="P21" s="428"/>
    </row>
    <row r="22" spans="1:17">
      <c r="A22" s="54">
        <v>10</v>
      </c>
      <c r="B22" s="371">
        <v>15560</v>
      </c>
      <c r="C22" s="4" t="s">
        <v>53</v>
      </c>
      <c r="D22" s="376">
        <v>0</v>
      </c>
      <c r="E22" s="376">
        <v>0</v>
      </c>
      <c r="F22" s="376">
        <v>0</v>
      </c>
      <c r="G22" s="376">
        <v>0</v>
      </c>
      <c r="H22" s="376">
        <v>0</v>
      </c>
      <c r="I22" s="376">
        <v>0</v>
      </c>
      <c r="J22" s="376">
        <v>0</v>
      </c>
      <c r="K22" s="376">
        <v>0</v>
      </c>
      <c r="L22" s="376">
        <v>0</v>
      </c>
      <c r="M22" s="376">
        <v>0</v>
      </c>
      <c r="N22" s="376">
        <v>0</v>
      </c>
      <c r="O22" s="376">
        <v>0</v>
      </c>
      <c r="P22" s="376">
        <v>0</v>
      </c>
      <c r="Q22" s="1">
        <f>SUM(D22:P22)/13</f>
        <v>0</v>
      </c>
    </row>
    <row r="23" spans="1:17">
      <c r="A23" s="2"/>
      <c r="B23" s="372"/>
      <c r="D23" s="77"/>
      <c r="E23" s="42"/>
      <c r="F23" s="42"/>
      <c r="G23" s="77"/>
      <c r="H23" s="77"/>
      <c r="I23" s="77"/>
      <c r="J23" s="77"/>
      <c r="K23" s="77"/>
      <c r="L23" s="378"/>
      <c r="M23" s="310"/>
      <c r="N23" s="310"/>
      <c r="O23" s="310"/>
      <c r="P23" s="310"/>
    </row>
    <row r="24" spans="1:17">
      <c r="A24" s="2"/>
      <c r="D24" s="77"/>
      <c r="E24" s="42"/>
      <c r="F24" s="42"/>
      <c r="G24" s="77"/>
      <c r="H24" s="77"/>
      <c r="I24" s="77"/>
      <c r="J24" s="77"/>
      <c r="K24" s="77"/>
      <c r="L24" s="378"/>
      <c r="M24" s="310"/>
      <c r="N24" s="310"/>
      <c r="O24" s="310"/>
      <c r="P24" s="310"/>
    </row>
    <row r="25" spans="1:17">
      <c r="A25" s="35"/>
      <c r="B25" s="35"/>
    </row>
    <row r="26" spans="1:17">
      <c r="A26" s="35"/>
      <c r="B26" s="35"/>
    </row>
    <row r="27" spans="1:17">
      <c r="A27" s="35"/>
      <c r="B27" s="35"/>
    </row>
    <row r="28" spans="1:17">
      <c r="A28" s="35"/>
      <c r="B28" s="35"/>
    </row>
    <row r="29" spans="1:17">
      <c r="A29" s="35"/>
      <c r="B29" s="35"/>
    </row>
    <row r="30" spans="1:17">
      <c r="A30" s="35"/>
      <c r="B30" s="35"/>
    </row>
    <row r="31" spans="1:17">
      <c r="A31" s="35"/>
      <c r="B31" s="35"/>
    </row>
    <row r="32" spans="1:17">
      <c r="A32" s="35"/>
      <c r="B32" s="35"/>
    </row>
    <row r="33" spans="1:2">
      <c r="A33" s="35"/>
      <c r="B33" s="35"/>
    </row>
    <row r="34" spans="1:2">
      <c r="A34" s="35"/>
      <c r="B34" s="35"/>
    </row>
    <row r="35" spans="1:2">
      <c r="A35" s="35"/>
      <c r="B35" s="35"/>
    </row>
    <row r="36" spans="1:2">
      <c r="A36" s="35"/>
      <c r="B36" s="35"/>
    </row>
    <row r="37" spans="1:2">
      <c r="A37" s="35"/>
      <c r="B37" s="35"/>
    </row>
    <row r="38" spans="1:2">
      <c r="A38" s="35"/>
      <c r="B38" s="35"/>
    </row>
    <row r="39" spans="1:2">
      <c r="A39" s="35"/>
      <c r="B39" s="35"/>
    </row>
    <row r="40" spans="1:2">
      <c r="A40" s="35"/>
      <c r="B40" s="35"/>
    </row>
    <row r="41" spans="1:2">
      <c r="A41" s="35"/>
      <c r="B41" s="35"/>
    </row>
  </sheetData>
  <mergeCells count="4">
    <mergeCell ref="A1:Q1"/>
    <mergeCell ref="A2:Q2"/>
    <mergeCell ref="A3:Q3"/>
    <mergeCell ref="A4:Q4"/>
  </mergeCells>
  <phoneticPr fontId="22" type="noConversion"/>
  <printOptions horizontalCentered="1"/>
  <pageMargins left="0.54" right="0.55000000000000004" top="0.87" bottom="1" header="0.5" footer="0.5"/>
  <pageSetup scale="51" orientation="landscape" verticalDpi="300" r:id="rId1"/>
  <headerFooter alignWithMargins="0">
    <oddFooter>&amp;R&amp;A
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16"/>
  <sheetViews>
    <sheetView workbookViewId="0">
      <selection activeCell="C41" sqref="C41"/>
    </sheetView>
  </sheetViews>
  <sheetFormatPr defaultRowHeight="15"/>
  <cols>
    <col min="1" max="1" width="13.109375" customWidth="1"/>
    <col min="3" max="3" width="38.6640625" customWidth="1"/>
  </cols>
  <sheetData>
    <row r="1" spans="1:3">
      <c r="A1" s="1175" t="str">
        <f>'Table of Contents'!A1:C1</f>
        <v>Atmos Energy Corporation, Kentucky/Mid-States Division</v>
      </c>
      <c r="B1" s="1175"/>
      <c r="C1" s="1175"/>
    </row>
    <row r="2" spans="1:3">
      <c r="A2" s="1175" t="str">
        <f>'Table of Contents'!A2:C2</f>
        <v>Kentucky Jurisdiction Case No. 2017-00349</v>
      </c>
      <c r="B2" s="1175"/>
      <c r="C2" s="1175"/>
    </row>
    <row r="3" spans="1:3">
      <c r="A3" s="1175" t="str">
        <f>'Table of Contents'!A3:C3</f>
        <v>Base Period: Twelve Months Ended December 31, 2017</v>
      </c>
      <c r="B3" s="1175"/>
      <c r="C3" s="1175"/>
    </row>
    <row r="4" spans="1:3">
      <c r="A4" s="1175" t="str">
        <f>'Table of Contents'!A4:C4</f>
        <v>Forecasted Test Period: Twelve Months Ended March 31, 2019</v>
      </c>
      <c r="B4" s="1175"/>
      <c r="C4" s="1175"/>
    </row>
    <row r="14" spans="1:3" ht="15.75">
      <c r="A14" s="301" t="s">
        <v>59</v>
      </c>
      <c r="B14" s="301" t="s">
        <v>620</v>
      </c>
      <c r="C14" s="301" t="s">
        <v>993</v>
      </c>
    </row>
    <row r="15" spans="1:3">
      <c r="A15" s="78"/>
      <c r="B15" s="40"/>
      <c r="C15" s="40"/>
    </row>
    <row r="16" spans="1:3">
      <c r="A16" s="78" t="s">
        <v>171</v>
      </c>
      <c r="B16" s="78">
        <v>1</v>
      </c>
      <c r="C16" s="78" t="s">
        <v>1008</v>
      </c>
    </row>
  </sheetData>
  <mergeCells count="4">
    <mergeCell ref="A1:C1"/>
    <mergeCell ref="A2:C2"/>
    <mergeCell ref="A3:C3"/>
    <mergeCell ref="A4:C4"/>
  </mergeCells>
  <phoneticPr fontId="22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C21"/>
  <sheetViews>
    <sheetView view="pageBreakPreview" zoomScale="60" zoomScaleNormal="100" workbookViewId="0">
      <selection activeCell="E14" sqref="E14"/>
    </sheetView>
  </sheetViews>
  <sheetFormatPr defaultRowHeight="15"/>
  <cols>
    <col min="1" max="1" width="13.109375" customWidth="1"/>
    <col min="3" max="3" width="51.21875" customWidth="1"/>
  </cols>
  <sheetData>
    <row r="1" spans="1:3">
      <c r="A1" s="1175" t="str">
        <f>'Table of Contents'!A1:C1</f>
        <v>Atmos Energy Corporation, Kentucky/Mid-States Division</v>
      </c>
      <c r="B1" s="1175"/>
      <c r="C1" s="1175"/>
    </row>
    <row r="2" spans="1:3">
      <c r="A2" s="1175" t="str">
        <f>'Table of Contents'!A2:C2</f>
        <v>Kentucky Jurisdiction Case No. 2017-00349</v>
      </c>
      <c r="B2" s="1175"/>
      <c r="C2" s="1175"/>
    </row>
    <row r="3" spans="1:3">
      <c r="A3" s="1175" t="str">
        <f>'Table of Contents'!A3:C3</f>
        <v>Base Period: Twelve Months Ended December 31, 2017</v>
      </c>
      <c r="B3" s="1175"/>
      <c r="C3" s="1175"/>
    </row>
    <row r="4" spans="1:3">
      <c r="A4" s="1175" t="str">
        <f>'Table of Contents'!A4:C4</f>
        <v>Forecasted Test Period: Twelve Months Ended March 31, 2019</v>
      </c>
      <c r="B4" s="1175"/>
      <c r="C4" s="1175"/>
    </row>
    <row r="9" spans="1:3" ht="15.75">
      <c r="A9" s="1191" t="s">
        <v>1450</v>
      </c>
      <c r="B9" s="1191"/>
      <c r="C9" s="1191"/>
    </row>
    <row r="11" spans="1:3" ht="15.75">
      <c r="A11" s="1179" t="s">
        <v>60</v>
      </c>
      <c r="B11" s="1179"/>
      <c r="C11" s="1179"/>
    </row>
    <row r="14" spans="1:3">
      <c r="A14" s="223" t="s">
        <v>59</v>
      </c>
      <c r="B14" s="519" t="s">
        <v>620</v>
      </c>
      <c r="C14" s="60" t="s">
        <v>993</v>
      </c>
    </row>
    <row r="15" spans="1:3">
      <c r="A15" s="78"/>
      <c r="B15" s="196"/>
      <c r="C15" s="40"/>
    </row>
    <row r="16" spans="1:3">
      <c r="A16" s="225" t="s">
        <v>373</v>
      </c>
      <c r="B16" s="459">
        <v>1</v>
      </c>
      <c r="C16" s="40" t="s">
        <v>60</v>
      </c>
    </row>
    <row r="17" spans="1:3">
      <c r="A17" s="225" t="s">
        <v>141</v>
      </c>
      <c r="B17" s="459">
        <v>1</v>
      </c>
      <c r="C17" s="40" t="s">
        <v>125</v>
      </c>
    </row>
    <row r="18" spans="1:3">
      <c r="A18" s="225" t="s">
        <v>1178</v>
      </c>
      <c r="B18" s="459">
        <v>10</v>
      </c>
      <c r="C18" s="40" t="s">
        <v>1148</v>
      </c>
    </row>
    <row r="19" spans="1:3">
      <c r="A19" s="225" t="s">
        <v>3</v>
      </c>
      <c r="B19" s="459">
        <v>10</v>
      </c>
      <c r="C19" s="40" t="s">
        <v>465</v>
      </c>
    </row>
    <row r="20" spans="1:3">
      <c r="A20" s="225" t="s">
        <v>464</v>
      </c>
      <c r="B20" s="459">
        <v>2</v>
      </c>
      <c r="C20" t="s">
        <v>466</v>
      </c>
    </row>
    <row r="21" spans="1:3">
      <c r="B21" s="80"/>
    </row>
  </sheetData>
  <mergeCells count="6">
    <mergeCell ref="A9:C9"/>
    <mergeCell ref="A11:C11"/>
    <mergeCell ref="A1:C1"/>
    <mergeCell ref="A2:C2"/>
    <mergeCell ref="A3:C3"/>
    <mergeCell ref="A4:C4"/>
  </mergeCells>
  <phoneticPr fontId="22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X35"/>
  <sheetViews>
    <sheetView view="pageBreakPreview" zoomScale="80" zoomScaleNormal="90" zoomScaleSheetLayoutView="80" workbookViewId="0">
      <selection activeCell="J23" sqref="J23"/>
    </sheetView>
  </sheetViews>
  <sheetFormatPr defaultColWidth="10.109375" defaultRowHeight="15"/>
  <cols>
    <col min="1" max="1" width="5.21875" style="40" customWidth="1"/>
    <col min="2" max="2" width="2.21875" style="40" customWidth="1"/>
    <col min="3" max="3" width="26.109375" style="40" customWidth="1"/>
    <col min="4" max="4" width="13.21875" style="40" customWidth="1"/>
    <col min="5" max="5" width="2.33203125" style="40" customWidth="1"/>
    <col min="6" max="6" width="13.21875" style="40" customWidth="1"/>
    <col min="7" max="7" width="2.109375" style="40" customWidth="1"/>
    <col min="8" max="8" width="12.88671875" style="40" customWidth="1"/>
    <col min="9" max="9" width="2.109375" style="40" customWidth="1"/>
    <col min="10" max="10" width="13.88671875" style="40" customWidth="1"/>
    <col min="11" max="11" width="4.88671875" style="40" customWidth="1"/>
    <col min="12" max="12" width="6.5546875" style="40" bestFit="1" customWidth="1"/>
    <col min="13" max="13" width="11.109375" style="40" customWidth="1"/>
    <col min="14" max="14" width="8" style="40" bestFit="1" customWidth="1"/>
    <col min="15" max="15" width="12" style="40" customWidth="1"/>
    <col min="16" max="16" width="10.109375" style="40" customWidth="1"/>
    <col min="17" max="17" width="3.21875" style="40" customWidth="1"/>
    <col min="18" max="18" width="11.88671875" style="40" customWidth="1"/>
    <col min="19" max="19" width="1.33203125" style="40" customWidth="1"/>
    <col min="20" max="20" width="12.33203125" style="40" customWidth="1"/>
    <col min="21" max="21" width="1.6640625" style="40" customWidth="1"/>
    <col min="22" max="22" width="10.5546875" style="40" bestFit="1" customWidth="1"/>
    <col min="23" max="23" width="0.88671875" style="40" customWidth="1"/>
    <col min="24" max="24" width="10.44140625" style="40" bestFit="1" customWidth="1"/>
    <col min="25" max="16384" width="10.109375" style="40"/>
  </cols>
  <sheetData>
    <row r="1" spans="1:24" s="1" customFormat="1">
      <c r="A1" s="1192" t="str">
        <f>'Table of Contents'!A1:C1</f>
        <v>Atmos Energy Corporation, Kentucky/Mid-States Division</v>
      </c>
      <c r="B1" s="1192"/>
      <c r="C1" s="1192"/>
      <c r="D1" s="1192"/>
      <c r="E1" s="1192"/>
      <c r="F1" s="1192"/>
      <c r="G1" s="1192"/>
      <c r="H1" s="1192"/>
      <c r="I1" s="1192"/>
      <c r="J1" s="1192"/>
    </row>
    <row r="2" spans="1:24" s="1" customFormat="1">
      <c r="A2" s="1192" t="str">
        <f>'Table of Contents'!A2:C2</f>
        <v>Kentucky Jurisdiction Case No. 2017-00349</v>
      </c>
      <c r="B2" s="1192"/>
      <c r="C2" s="1192"/>
      <c r="D2" s="1192"/>
      <c r="E2" s="1192"/>
      <c r="F2" s="1192"/>
      <c r="G2" s="1192"/>
      <c r="H2" s="1192"/>
      <c r="I2" s="1192"/>
      <c r="J2" s="1192"/>
    </row>
    <row r="3" spans="1:24" s="1" customFormat="1">
      <c r="A3" s="1192" t="s">
        <v>60</v>
      </c>
      <c r="B3" s="1192"/>
      <c r="C3" s="1192"/>
      <c r="D3" s="1192"/>
      <c r="E3" s="1192"/>
      <c r="F3" s="1192"/>
      <c r="G3" s="1192"/>
      <c r="H3" s="1192"/>
      <c r="I3" s="1192"/>
      <c r="J3" s="1192"/>
    </row>
    <row r="4" spans="1:24" s="1" customFormat="1">
      <c r="A4" s="1192" t="str">
        <f>'Table of Contents'!A4:C4</f>
        <v>Forecasted Test Period: Twelve Months Ended March 31, 2019</v>
      </c>
      <c r="B4" s="1192"/>
      <c r="C4" s="1192"/>
      <c r="D4" s="1192"/>
      <c r="E4" s="1192"/>
      <c r="F4" s="1192"/>
      <c r="G4" s="1192"/>
      <c r="H4" s="1192"/>
      <c r="I4" s="1192"/>
      <c r="J4" s="1192"/>
    </row>
    <row r="5" spans="1:24" s="1" customFormat="1">
      <c r="A5" s="434"/>
      <c r="B5" s="434"/>
      <c r="C5" s="434"/>
      <c r="D5" s="434"/>
      <c r="E5" s="434"/>
      <c r="F5" s="434"/>
      <c r="G5" s="434"/>
      <c r="H5" s="434"/>
      <c r="I5" s="434"/>
      <c r="J5" s="434"/>
    </row>
    <row r="6" spans="1:24" s="1" customFormat="1"/>
    <row r="7" spans="1:24" s="1" customFormat="1">
      <c r="A7" s="4" t="s">
        <v>867</v>
      </c>
      <c r="I7" s="4"/>
      <c r="J7" s="375" t="s">
        <v>1451</v>
      </c>
    </row>
    <row r="8" spans="1:24" s="1" customFormat="1">
      <c r="A8" s="4" t="s">
        <v>621</v>
      </c>
      <c r="H8" s="4"/>
      <c r="I8" s="4"/>
      <c r="J8" s="487" t="s">
        <v>266</v>
      </c>
    </row>
    <row r="9" spans="1:24" s="1" customFormat="1">
      <c r="A9" s="5" t="s">
        <v>369</v>
      </c>
      <c r="B9" s="6"/>
      <c r="C9" s="6"/>
      <c r="D9" s="6"/>
      <c r="E9" s="6"/>
      <c r="F9" s="6"/>
      <c r="G9" s="6"/>
      <c r="H9" s="5"/>
      <c r="I9" s="5"/>
      <c r="J9" s="548" t="s">
        <v>1676</v>
      </c>
    </row>
    <row r="10" spans="1:24" s="1" customFormat="1">
      <c r="D10" s="54" t="s">
        <v>45</v>
      </c>
      <c r="F10" s="2" t="s">
        <v>44</v>
      </c>
      <c r="J10" s="2" t="s">
        <v>44</v>
      </c>
      <c r="R10" s="735"/>
      <c r="S10" s="735"/>
      <c r="T10" s="735"/>
      <c r="U10" s="735"/>
      <c r="V10" s="735"/>
      <c r="W10" s="735"/>
      <c r="X10" s="735"/>
    </row>
    <row r="11" spans="1:24" s="1" customFormat="1">
      <c r="A11" s="2" t="s">
        <v>94</v>
      </c>
      <c r="D11" s="2" t="s">
        <v>434</v>
      </c>
      <c r="F11" s="2" t="s">
        <v>434</v>
      </c>
      <c r="H11" s="2" t="s">
        <v>400</v>
      </c>
      <c r="J11" s="2" t="s">
        <v>434</v>
      </c>
      <c r="R11" s="735"/>
      <c r="S11" s="735"/>
      <c r="T11" s="735"/>
      <c r="U11" s="735"/>
      <c r="V11" s="735"/>
      <c r="W11" s="735"/>
      <c r="X11" s="735"/>
    </row>
    <row r="12" spans="1:24">
      <c r="A12" s="9" t="s">
        <v>100</v>
      </c>
      <c r="B12" s="6"/>
      <c r="C12" s="5" t="s">
        <v>993</v>
      </c>
      <c r="D12" s="9" t="s">
        <v>432</v>
      </c>
      <c r="E12" s="6"/>
      <c r="F12" s="9" t="s">
        <v>432</v>
      </c>
      <c r="G12" s="6"/>
      <c r="H12" s="9" t="s">
        <v>1121</v>
      </c>
      <c r="I12" s="6"/>
      <c r="J12" s="9" t="s">
        <v>433</v>
      </c>
      <c r="K12" s="1"/>
      <c r="L12" s="735"/>
      <c r="M12" s="1"/>
      <c r="N12" s="1"/>
      <c r="O12" s="743"/>
      <c r="P12" s="744"/>
      <c r="R12" s="735"/>
      <c r="S12" s="735"/>
      <c r="T12" s="735"/>
      <c r="U12" s="735"/>
      <c r="V12" s="745"/>
      <c r="W12" s="745"/>
      <c r="X12" s="735"/>
    </row>
    <row r="13" spans="1:24">
      <c r="D13" s="189"/>
      <c r="F13" s="189"/>
      <c r="H13" s="189"/>
      <c r="J13" s="189"/>
      <c r="L13" s="735"/>
      <c r="O13" s="744"/>
      <c r="P13" s="744"/>
      <c r="R13" s="746"/>
      <c r="S13" s="735"/>
      <c r="T13" s="735"/>
      <c r="U13" s="735"/>
      <c r="V13" s="746"/>
      <c r="W13" s="746"/>
      <c r="X13" s="735"/>
    </row>
    <row r="14" spans="1:24">
      <c r="F14" s="196"/>
      <c r="L14" s="735"/>
      <c r="O14" s="665"/>
      <c r="P14" s="665"/>
      <c r="R14" s="735"/>
      <c r="S14" s="735"/>
      <c r="T14" s="735"/>
      <c r="U14" s="735"/>
      <c r="V14" s="735"/>
      <c r="W14" s="735"/>
      <c r="X14" s="735"/>
    </row>
    <row r="15" spans="1:24">
      <c r="A15" s="189">
        <v>1</v>
      </c>
      <c r="C15" s="181" t="s">
        <v>745</v>
      </c>
      <c r="D15" s="306">
        <f>+C.2!D14</f>
        <v>156713246.88095582</v>
      </c>
      <c r="E15" s="196"/>
      <c r="F15" s="306">
        <f>C.2!O14</f>
        <v>170729275.9114207</v>
      </c>
      <c r="G15" s="188"/>
      <c r="H15" s="474">
        <f>A.1!G30</f>
        <v>3235315</v>
      </c>
      <c r="I15" s="188"/>
      <c r="J15" s="474">
        <f>+F15+H15</f>
        <v>173964590.9114207</v>
      </c>
      <c r="K15" s="188"/>
      <c r="L15" s="759"/>
      <c r="M15" s="474"/>
      <c r="N15" s="188"/>
      <c r="O15" s="668"/>
      <c r="P15" s="666"/>
      <c r="Q15" s="188"/>
      <c r="R15" s="747"/>
      <c r="S15" s="747"/>
      <c r="T15" s="747"/>
      <c r="U15" s="735"/>
      <c r="V15" s="735"/>
      <c r="W15" s="735"/>
      <c r="X15" s="735"/>
    </row>
    <row r="16" spans="1:24">
      <c r="D16" s="196"/>
      <c r="E16" s="196"/>
      <c r="F16" s="224"/>
      <c r="G16" s="188"/>
      <c r="H16" s="188"/>
      <c r="I16" s="188"/>
      <c r="J16" s="188"/>
      <c r="K16" s="188"/>
      <c r="L16" s="753"/>
      <c r="M16" s="188"/>
      <c r="N16" s="188"/>
      <c r="O16" s="667"/>
      <c r="P16" s="666"/>
      <c r="Q16" s="188"/>
      <c r="R16" s="748"/>
      <c r="S16" s="748"/>
      <c r="T16" s="749"/>
      <c r="U16" s="735"/>
      <c r="V16" s="735"/>
      <c r="W16" s="735"/>
      <c r="X16" s="735"/>
    </row>
    <row r="17" spans="1:24">
      <c r="A17" s="189">
        <v>2</v>
      </c>
      <c r="C17" s="181" t="s">
        <v>998</v>
      </c>
      <c r="D17" s="196"/>
      <c r="E17" s="196"/>
      <c r="F17" s="224"/>
      <c r="G17" s="188"/>
      <c r="H17" s="188"/>
      <c r="I17" s="188"/>
      <c r="J17" s="188"/>
      <c r="K17" s="188"/>
      <c r="L17" s="753"/>
      <c r="M17" s="188"/>
      <c r="N17" s="188"/>
      <c r="O17" s="667"/>
      <c r="P17" s="666"/>
      <c r="Q17" s="188"/>
      <c r="R17" s="748"/>
      <c r="S17" s="748"/>
      <c r="T17" s="749"/>
      <c r="U17" s="735"/>
      <c r="V17" s="735"/>
      <c r="W17" s="735"/>
      <c r="X17" s="735"/>
    </row>
    <row r="18" spans="1:24">
      <c r="A18" s="189">
        <v>3</v>
      </c>
      <c r="C18" s="248" t="s">
        <v>24</v>
      </c>
      <c r="D18" s="308">
        <f>+C.2!D17</f>
        <v>65546014.381216273</v>
      </c>
      <c r="E18" s="511"/>
      <c r="F18" s="308">
        <f>C.2!O17</f>
        <v>78709117.242809042</v>
      </c>
      <c r="G18" s="308"/>
      <c r="H18" s="308"/>
      <c r="I18" s="308"/>
      <c r="J18" s="308">
        <f>+F18+H18</f>
        <v>78709117.242809042</v>
      </c>
      <c r="K18" s="188"/>
      <c r="L18" s="759"/>
      <c r="M18" s="188"/>
      <c r="O18" s="668"/>
      <c r="P18" s="666"/>
      <c r="Q18" s="188"/>
      <c r="R18" s="747"/>
      <c r="S18" s="750"/>
      <c r="T18" s="747"/>
      <c r="U18" s="735"/>
      <c r="V18" s="735"/>
      <c r="W18" s="735"/>
      <c r="X18" s="735"/>
    </row>
    <row r="19" spans="1:24">
      <c r="A19" s="189">
        <v>4</v>
      </c>
      <c r="C19" s="248" t="s">
        <v>462</v>
      </c>
      <c r="D19" s="308">
        <f>SUM(C.2!D18:D25)</f>
        <v>26961891.384395156</v>
      </c>
      <c r="E19" s="511"/>
      <c r="F19" s="308">
        <f>SUM(C.2!O18:O25)</f>
        <v>26164029.229292534</v>
      </c>
      <c r="G19" s="308"/>
      <c r="H19" s="308">
        <f>+(H15*H.1!E19)</f>
        <v>16176.575000000001</v>
      </c>
      <c r="I19" s="308"/>
      <c r="J19" s="308">
        <f>+F19+H19</f>
        <v>26180205.804292534</v>
      </c>
      <c r="K19" s="188"/>
      <c r="L19" s="759"/>
      <c r="M19" s="666"/>
      <c r="N19" s="741"/>
      <c r="O19" s="668"/>
      <c r="P19" s="666"/>
      <c r="Q19" s="188"/>
      <c r="R19" s="747"/>
      <c r="S19" s="750"/>
      <c r="T19" s="747"/>
      <c r="U19" s="735"/>
      <c r="V19" s="735"/>
      <c r="W19" s="735"/>
      <c r="X19" s="735"/>
    </row>
    <row r="20" spans="1:24">
      <c r="A20" s="189">
        <v>5</v>
      </c>
      <c r="C20" s="181" t="s">
        <v>1060</v>
      </c>
      <c r="D20" s="308">
        <f>+C.2!D26</f>
        <v>18849734.532483872</v>
      </c>
      <c r="E20" s="511"/>
      <c r="F20" s="308">
        <f>+C.2!O26</f>
        <v>21511931.130947832</v>
      </c>
      <c r="G20" s="522"/>
      <c r="H20" s="308"/>
      <c r="I20" s="522"/>
      <c r="J20" s="522">
        <f>+F20+H20</f>
        <v>21511931.130947832</v>
      </c>
      <c r="K20" s="188"/>
      <c r="L20" s="759"/>
      <c r="M20" s="188"/>
      <c r="N20" s="742"/>
      <c r="O20" s="668"/>
      <c r="P20" s="666"/>
      <c r="Q20" s="188"/>
      <c r="R20" s="747"/>
      <c r="S20" s="750"/>
      <c r="T20" s="747"/>
      <c r="U20" s="735"/>
      <c r="V20" s="735"/>
      <c r="W20" s="735"/>
      <c r="X20" s="735"/>
    </row>
    <row r="21" spans="1:24">
      <c r="A21" s="189">
        <v>6</v>
      </c>
      <c r="C21" s="181" t="s">
        <v>632</v>
      </c>
      <c r="D21" s="308">
        <f>+C.2!D27</f>
        <v>4830375.4565365165</v>
      </c>
      <c r="E21" s="511"/>
      <c r="F21" s="308">
        <f>+C.2!O27</f>
        <v>6566445.2651408128</v>
      </c>
      <c r="G21" s="522"/>
      <c r="H21" s="308">
        <f>(H15*H.1!E21)</f>
        <v>6457.6887399999996</v>
      </c>
      <c r="I21" s="522"/>
      <c r="J21" s="522">
        <f>+F21+H21</f>
        <v>6572902.953880813</v>
      </c>
      <c r="K21" s="188"/>
      <c r="L21" s="759"/>
      <c r="M21" s="666"/>
      <c r="N21" s="741"/>
      <c r="O21" s="668"/>
      <c r="P21" s="666"/>
      <c r="Q21" s="188"/>
      <c r="R21" s="747"/>
      <c r="S21" s="750"/>
      <c r="T21" s="747"/>
      <c r="U21" s="735"/>
      <c r="V21" s="735"/>
      <c r="W21" s="735"/>
      <c r="X21" s="735"/>
    </row>
    <row r="22" spans="1:24">
      <c r="A22" s="189">
        <v>7</v>
      </c>
      <c r="C22" s="181"/>
      <c r="D22" s="404"/>
      <c r="E22" s="404"/>
      <c r="F22" s="522"/>
      <c r="G22" s="522"/>
      <c r="H22" s="308"/>
      <c r="I22" s="522"/>
      <c r="J22" s="522"/>
      <c r="K22" s="188"/>
      <c r="L22" s="753"/>
      <c r="M22" s="188"/>
      <c r="O22" s="668"/>
      <c r="P22" s="666"/>
      <c r="Q22" s="188"/>
      <c r="R22" s="751"/>
      <c r="S22" s="751"/>
      <c r="T22" s="752"/>
      <c r="U22" s="735"/>
      <c r="V22" s="735"/>
      <c r="W22" s="735"/>
      <c r="X22" s="735"/>
    </row>
    <row r="23" spans="1:24">
      <c r="A23" s="189">
        <v>8</v>
      </c>
      <c r="C23" s="181" t="s">
        <v>308</v>
      </c>
      <c r="D23" s="523">
        <f>+E!E23</f>
        <v>8353921.1987644052</v>
      </c>
      <c r="E23" s="404"/>
      <c r="F23" s="523">
        <f>E!G23</f>
        <v>7187416.091343659</v>
      </c>
      <c r="G23" s="522"/>
      <c r="H23" s="523">
        <f>((+H15-H19-H21)*0.06)+((+H15-H19-H21-((+H15-H19-H21)*0.06))*0.21)</f>
        <v>826944.02151332388</v>
      </c>
      <c r="I23" s="522"/>
      <c r="J23" s="524">
        <f>+F23+H23</f>
        <v>8014360.1128569832</v>
      </c>
      <c r="K23" s="188"/>
      <c r="L23" s="759"/>
      <c r="M23" s="188"/>
      <c r="N23" s="188"/>
      <c r="O23" s="668"/>
      <c r="P23" s="666"/>
      <c r="Q23" s="188"/>
      <c r="R23" s="747"/>
      <c r="S23" s="750"/>
      <c r="T23" s="747"/>
      <c r="U23" s="735"/>
      <c r="V23" s="735"/>
      <c r="W23" s="735"/>
      <c r="X23" s="735"/>
    </row>
    <row r="24" spans="1:24">
      <c r="A24" s="189">
        <v>9</v>
      </c>
      <c r="C24" s="181" t="s">
        <v>1130</v>
      </c>
      <c r="D24" s="474">
        <f>SUM(D18:D23)</f>
        <v>124541936.95339622</v>
      </c>
      <c r="F24" s="306">
        <f>SUM(F18:F23)</f>
        <v>140138938.95953387</v>
      </c>
      <c r="G24" s="188"/>
      <c r="H24" s="474">
        <f>SUM(H18:H23)</f>
        <v>849578.28525332385</v>
      </c>
      <c r="I24" s="188"/>
      <c r="J24" s="474">
        <f>SUM(J18:J23)</f>
        <v>140988517.24478719</v>
      </c>
      <c r="K24" s="188"/>
      <c r="L24" s="759"/>
      <c r="M24" s="188"/>
      <c r="N24" s="188"/>
      <c r="O24" s="668"/>
      <c r="P24" s="666"/>
      <c r="Q24" s="188"/>
      <c r="R24" s="747"/>
      <c r="S24" s="750"/>
      <c r="T24" s="747"/>
      <c r="U24" s="735"/>
      <c r="V24" s="735"/>
      <c r="W24" s="735"/>
      <c r="X24" s="735"/>
    </row>
    <row r="25" spans="1:24">
      <c r="D25" s="188"/>
      <c r="F25" s="224"/>
      <c r="G25" s="188"/>
      <c r="H25" s="188"/>
      <c r="I25" s="188"/>
      <c r="J25" s="188"/>
      <c r="K25" s="188"/>
      <c r="L25" s="753"/>
      <c r="M25" s="188"/>
      <c r="N25" s="188"/>
      <c r="O25" s="667"/>
      <c r="P25" s="666"/>
      <c r="Q25" s="188"/>
      <c r="R25" s="747"/>
      <c r="S25" s="750"/>
      <c r="T25" s="747"/>
      <c r="U25" s="735"/>
      <c r="V25" s="735"/>
      <c r="W25" s="735"/>
      <c r="X25" s="735"/>
    </row>
    <row r="26" spans="1:24" ht="15.75" thickBot="1">
      <c r="A26" s="189">
        <v>10</v>
      </c>
      <c r="C26" s="181" t="s">
        <v>800</v>
      </c>
      <c r="D26" s="520">
        <f>D15-D24</f>
        <v>32171309.927559599</v>
      </c>
      <c r="F26" s="521">
        <f>F15-F24</f>
        <v>30590336.951886833</v>
      </c>
      <c r="G26" s="188"/>
      <c r="H26" s="521">
        <f>H15-H24</f>
        <v>2385736.7147466764</v>
      </c>
      <c r="I26" s="188"/>
      <c r="J26" s="520">
        <f>J15-J24</f>
        <v>32976073.666633517</v>
      </c>
      <c r="K26" s="188"/>
      <c r="L26" s="759"/>
      <c r="M26" s="188"/>
      <c r="N26" s="188"/>
      <c r="O26" s="668"/>
      <c r="P26" s="666"/>
      <c r="Q26" s="188"/>
      <c r="R26" s="747"/>
      <c r="S26" s="750"/>
      <c r="T26" s="747"/>
      <c r="U26" s="735"/>
      <c r="V26" s="735"/>
      <c r="W26" s="735"/>
      <c r="X26" s="735"/>
    </row>
    <row r="27" spans="1:24" ht="15.75" thickTop="1">
      <c r="F27" s="224"/>
      <c r="G27" s="188"/>
      <c r="H27" s="188"/>
      <c r="I27" s="188"/>
      <c r="J27" s="188"/>
      <c r="K27" s="188"/>
      <c r="L27" s="753"/>
      <c r="M27" s="188"/>
      <c r="N27" s="188"/>
      <c r="O27" s="188"/>
      <c r="P27" s="188"/>
      <c r="Q27" s="188"/>
      <c r="R27" s="735"/>
      <c r="S27" s="751"/>
      <c r="T27" s="749"/>
      <c r="U27" s="735"/>
      <c r="V27" s="735"/>
      <c r="W27" s="735"/>
      <c r="X27" s="735"/>
    </row>
    <row r="28" spans="1:24">
      <c r="A28" s="189">
        <v>11</v>
      </c>
      <c r="C28" s="181" t="s">
        <v>272</v>
      </c>
      <c r="D28" s="308">
        <f>+'B.1 B'!F27</f>
        <v>358900188.19539595</v>
      </c>
      <c r="E28" s="404"/>
      <c r="F28" s="308">
        <f>+'B.1 F '!F27</f>
        <v>427151221.15514958</v>
      </c>
      <c r="G28" s="522"/>
      <c r="H28" s="522"/>
      <c r="I28" s="522"/>
      <c r="J28" s="522">
        <f>+'B.1 F '!F27</f>
        <v>427151221.15514958</v>
      </c>
      <c r="K28" s="188"/>
      <c r="L28" s="753"/>
      <c r="M28" s="188"/>
      <c r="N28" s="188"/>
      <c r="O28" s="188"/>
      <c r="P28" s="188"/>
      <c r="Q28" s="188"/>
      <c r="R28" s="747"/>
      <c r="S28" s="751"/>
      <c r="T28" s="747"/>
      <c r="U28" s="735"/>
      <c r="V28" s="735"/>
      <c r="W28" s="735"/>
      <c r="X28" s="735"/>
    </row>
    <row r="29" spans="1:24"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735"/>
      <c r="S29" s="735"/>
      <c r="T29" s="753"/>
      <c r="U29" s="735"/>
      <c r="V29" s="735"/>
      <c r="W29" s="735"/>
      <c r="X29" s="735"/>
    </row>
    <row r="30" spans="1:24">
      <c r="A30" s="189">
        <v>12</v>
      </c>
      <c r="C30" s="181" t="s">
        <v>744</v>
      </c>
      <c r="D30" s="302">
        <f>(D26/D28)</f>
        <v>8.9638598656974183E-2</v>
      </c>
      <c r="F30" s="302">
        <f>(F26/F28)</f>
        <v>7.1614771155660187E-2</v>
      </c>
      <c r="H30" s="226"/>
      <c r="J30" s="302">
        <f>(J26/J28)</f>
        <v>7.7199998580025062E-2</v>
      </c>
      <c r="K30" s="188"/>
      <c r="L30" s="188"/>
      <c r="M30" s="188"/>
      <c r="R30" s="754"/>
      <c r="S30" s="735"/>
      <c r="T30" s="754"/>
      <c r="U30" s="735"/>
      <c r="V30" s="754"/>
      <c r="W30" s="754"/>
      <c r="X30" s="754"/>
    </row>
    <row r="31" spans="1:24">
      <c r="F31" s="188"/>
      <c r="H31" s="226"/>
      <c r="J31" s="188"/>
      <c r="K31" s="188"/>
      <c r="L31" s="188"/>
      <c r="M31" s="188"/>
      <c r="R31" s="735"/>
      <c r="S31" s="735"/>
      <c r="T31" s="735"/>
      <c r="U31" s="735"/>
      <c r="V31" s="735"/>
      <c r="W31" s="735"/>
      <c r="X31" s="735"/>
    </row>
    <row r="32" spans="1:24">
      <c r="F32" s="188"/>
      <c r="H32" s="188"/>
      <c r="J32" s="188"/>
      <c r="K32" s="188"/>
      <c r="L32" s="188"/>
      <c r="M32" s="188"/>
      <c r="R32" s="735"/>
      <c r="S32" s="735"/>
      <c r="T32" s="735"/>
      <c r="U32" s="735"/>
      <c r="V32" s="735"/>
      <c r="W32" s="735"/>
      <c r="X32" s="735"/>
    </row>
    <row r="33" spans="3:24">
      <c r="C33" s="671"/>
      <c r="D33" s="672"/>
      <c r="E33" s="672"/>
      <c r="F33" s="672"/>
      <c r="G33" s="672"/>
      <c r="H33" s="672"/>
      <c r="I33" s="672"/>
      <c r="J33" s="672"/>
      <c r="K33" s="188"/>
      <c r="L33" s="188"/>
      <c r="M33" s="188"/>
      <c r="R33" s="735"/>
      <c r="S33" s="735"/>
      <c r="T33" s="735"/>
      <c r="U33" s="735"/>
      <c r="V33" s="735"/>
      <c r="W33" s="735"/>
      <c r="X33" s="735"/>
    </row>
    <row r="34" spans="3:24">
      <c r="F34" s="188"/>
      <c r="K34" s="188"/>
      <c r="L34" s="188"/>
      <c r="M34" s="188"/>
    </row>
    <row r="35" spans="3:24">
      <c r="F35" s="188"/>
      <c r="K35" s="188"/>
      <c r="L35" s="188"/>
      <c r="M35" s="188"/>
    </row>
  </sheetData>
  <mergeCells count="4">
    <mergeCell ref="A1:J1"/>
    <mergeCell ref="A2:J2"/>
    <mergeCell ref="A3:J3"/>
    <mergeCell ref="A4:J4"/>
  </mergeCells>
  <phoneticPr fontId="22" type="noConversion"/>
  <printOptions horizontalCentered="1"/>
  <pageMargins left="0.75" right="0.69" top="0.8" bottom="0.5" header="0.5" footer="0.5"/>
  <pageSetup orientation="landscape" verticalDpi="300" r:id="rId1"/>
  <headerFooter alignWithMargins="0">
    <oddFooter>&amp;RSchedule &amp;A
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W95"/>
  <sheetViews>
    <sheetView view="pageBreakPreview" zoomScale="70" zoomScaleNormal="90" zoomScaleSheetLayoutView="70" workbookViewId="0">
      <selection activeCell="K28" sqref="K28"/>
    </sheetView>
  </sheetViews>
  <sheetFormatPr defaultColWidth="7.109375" defaultRowHeight="15"/>
  <cols>
    <col min="1" max="1" width="3.5546875" style="40" customWidth="1"/>
    <col min="2" max="2" width="2.21875" style="40" customWidth="1"/>
    <col min="3" max="3" width="27.5546875" style="40" customWidth="1"/>
    <col min="4" max="4" width="13.109375" style="40" bestFit="1" customWidth="1"/>
    <col min="5" max="5" width="1.33203125" style="40" customWidth="1"/>
    <col min="6" max="6" width="12.6640625" style="40" customWidth="1"/>
    <col min="7" max="7" width="6.21875" style="40" bestFit="1" customWidth="1"/>
    <col min="8" max="8" width="7.33203125" style="40" customWidth="1"/>
    <col min="9" max="9" width="6" style="40" customWidth="1"/>
    <col min="10" max="10" width="1.44140625" style="40" customWidth="1"/>
    <col min="11" max="11" width="12.88671875" style="40" customWidth="1"/>
    <col min="12" max="12" width="1.44140625" style="40" customWidth="1"/>
    <col min="13" max="13" width="11.5546875" style="40" customWidth="1"/>
    <col min="14" max="14" width="14.5546875" style="40" customWidth="1"/>
    <col min="15" max="15" width="13.44140625" style="40" customWidth="1"/>
    <col min="16" max="16" width="11.77734375" style="40" bestFit="1" customWidth="1"/>
    <col min="17" max="17" width="2.109375" style="40" customWidth="1"/>
    <col min="18" max="18" width="8.5546875" style="40" customWidth="1"/>
    <col min="19" max="21" width="7.109375" style="40"/>
    <col min="22" max="22" width="8" style="40" bestFit="1" customWidth="1"/>
    <col min="23" max="23" width="9.21875" style="40" customWidth="1"/>
    <col min="24" max="16384" width="7.109375" style="40"/>
  </cols>
  <sheetData>
    <row r="1" spans="1:20" s="1" customFormat="1">
      <c r="A1" s="1193" t="str">
        <f>'Table of Contents'!A1:C1</f>
        <v>Atmos Energy Corporation, Kentucky/Mid-States Division</v>
      </c>
      <c r="B1" s="1193"/>
      <c r="C1" s="1193"/>
      <c r="D1" s="1193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</row>
    <row r="2" spans="1:20" s="1" customFormat="1">
      <c r="A2" s="1193" t="str">
        <f>'Table of Contents'!A2:C2</f>
        <v>Kentucky Jurisdiction Case No. 2017-00349</v>
      </c>
      <c r="B2" s="1193"/>
      <c r="C2" s="1193"/>
      <c r="D2" s="1193"/>
      <c r="E2" s="1193"/>
      <c r="F2" s="1193"/>
      <c r="G2" s="1193"/>
      <c r="H2" s="1193"/>
      <c r="I2" s="1193"/>
      <c r="J2" s="1193"/>
      <c r="K2" s="1193"/>
      <c r="L2" s="1193"/>
      <c r="M2" s="1193"/>
      <c r="N2" s="1193"/>
      <c r="O2" s="1193"/>
    </row>
    <row r="3" spans="1:20" s="1" customFormat="1">
      <c r="A3" s="1193" t="s">
        <v>402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</row>
    <row r="4" spans="1:20" s="1" customFormat="1">
      <c r="A4" s="1193" t="str">
        <f>'Table of Contents'!A3:C3</f>
        <v>Base Period: Twelve Months Ended December 31, 2017</v>
      </c>
      <c r="B4" s="1193"/>
      <c r="C4" s="1193"/>
      <c r="D4" s="1193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</row>
    <row r="5" spans="1:20" s="1" customFormat="1">
      <c r="A5" s="1193" t="str">
        <f>'Table of Contents'!A4:C4</f>
        <v>Forecasted Test Period: Twelve Months Ended March 31, 2019</v>
      </c>
      <c r="B5" s="1193"/>
      <c r="C5" s="1193"/>
      <c r="D5" s="1193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</row>
    <row r="6" spans="1:20" s="1" customFormat="1">
      <c r="C6" s="249"/>
    </row>
    <row r="7" spans="1:20" s="1" customFormat="1">
      <c r="A7" s="4" t="str">
        <f>C.1!A7</f>
        <v>Data:__X____Base Period___X___Forecasted Period</v>
      </c>
      <c r="K7" s="250"/>
      <c r="O7" s="375" t="s">
        <v>1452</v>
      </c>
    </row>
    <row r="8" spans="1:20" s="1" customFormat="1">
      <c r="A8" s="4" t="str">
        <f>C.1!A8</f>
        <v>Type of Filing:___X____Original________Updated ________Revised</v>
      </c>
      <c r="K8" s="250"/>
      <c r="O8" s="489" t="s">
        <v>267</v>
      </c>
    </row>
    <row r="9" spans="1:20" s="1" customFormat="1">
      <c r="A9" s="51" t="str">
        <f>C.1!A9</f>
        <v>Workpaper Reference No(s).____________________</v>
      </c>
      <c r="B9" s="6"/>
      <c r="C9" s="6"/>
      <c r="D9" s="6"/>
      <c r="E9" s="6"/>
      <c r="F9" s="6"/>
      <c r="G9" s="6"/>
      <c r="H9" s="6"/>
      <c r="I9" s="6"/>
      <c r="J9" s="6"/>
      <c r="K9" s="251"/>
      <c r="L9" s="6"/>
      <c r="M9" s="33"/>
      <c r="N9" s="33"/>
      <c r="O9" s="490" t="str">
        <f>C.1!J9</f>
        <v>Witness: Waller, Martin</v>
      </c>
    </row>
    <row r="10" spans="1:20">
      <c r="A10" s="1"/>
      <c r="B10" s="1"/>
      <c r="C10" s="1"/>
      <c r="D10" s="2" t="s">
        <v>1137</v>
      </c>
      <c r="E10" s="1"/>
      <c r="F10" s="1"/>
      <c r="G10" s="252"/>
      <c r="H10" s="78" t="s">
        <v>1377</v>
      </c>
      <c r="K10" s="189" t="s">
        <v>44</v>
      </c>
      <c r="O10" s="78" t="s">
        <v>129</v>
      </c>
    </row>
    <row r="11" spans="1:20">
      <c r="A11" s="206" t="s">
        <v>94</v>
      </c>
      <c r="C11" s="189" t="s">
        <v>1140</v>
      </c>
      <c r="D11" s="206" t="s">
        <v>746</v>
      </c>
      <c r="F11" s="78" t="s">
        <v>455</v>
      </c>
      <c r="G11" s="78" t="s">
        <v>453</v>
      </c>
      <c r="H11" s="189" t="s">
        <v>1378</v>
      </c>
      <c r="I11" s="78" t="s">
        <v>453</v>
      </c>
      <c r="K11" s="206" t="s">
        <v>746</v>
      </c>
      <c r="M11" s="78" t="s">
        <v>128</v>
      </c>
      <c r="N11" s="78" t="s">
        <v>453</v>
      </c>
      <c r="O11" s="78" t="s">
        <v>130</v>
      </c>
    </row>
    <row r="12" spans="1:20">
      <c r="A12" s="253" t="s">
        <v>100</v>
      </c>
      <c r="B12" s="191"/>
      <c r="C12" s="253" t="s">
        <v>1139</v>
      </c>
      <c r="D12" s="227" t="s">
        <v>1138</v>
      </c>
      <c r="E12" s="191"/>
      <c r="F12" s="227" t="s">
        <v>995</v>
      </c>
      <c r="G12" s="254" t="s">
        <v>454</v>
      </c>
      <c r="H12" s="227" t="s">
        <v>1379</v>
      </c>
      <c r="I12" s="254" t="s">
        <v>454</v>
      </c>
      <c r="J12" s="191"/>
      <c r="K12" s="227" t="s">
        <v>1138</v>
      </c>
      <c r="L12" s="191"/>
      <c r="M12" s="427" t="s">
        <v>995</v>
      </c>
      <c r="N12" s="254" t="s">
        <v>454</v>
      </c>
      <c r="O12" s="223" t="s">
        <v>996</v>
      </c>
    </row>
    <row r="13" spans="1:20">
      <c r="C13" s="15"/>
      <c r="D13" s="189"/>
      <c r="F13" s="189"/>
      <c r="H13" s="189"/>
      <c r="K13" s="210"/>
      <c r="M13" s="763"/>
      <c r="O13" s="189"/>
    </row>
    <row r="14" spans="1:20">
      <c r="A14" s="255">
        <v>1</v>
      </c>
      <c r="C14" s="181" t="s">
        <v>745</v>
      </c>
      <c r="D14" s="525">
        <f>+'C.2.1 B'!D32</f>
        <v>156713246.88095582</v>
      </c>
      <c r="E14" s="196"/>
      <c r="F14" s="306">
        <f>+K14-D14</f>
        <v>14016029.030464888</v>
      </c>
      <c r="G14" s="263" t="s">
        <v>1074</v>
      </c>
      <c r="H14" s="224"/>
      <c r="I14" s="196"/>
      <c r="J14" s="196"/>
      <c r="K14" s="525">
        <f>'C.2.1 F'!D28</f>
        <v>170729275.9114207</v>
      </c>
      <c r="L14" s="258"/>
      <c r="M14" s="306">
        <v>0</v>
      </c>
      <c r="N14" s="258"/>
      <c r="O14" s="306">
        <f>+K14+M14</f>
        <v>170729275.9114207</v>
      </c>
      <c r="P14" s="256"/>
    </row>
    <row r="15" spans="1:20">
      <c r="A15" s="233">
        <v>2</v>
      </c>
      <c r="C15" s="252"/>
      <c r="D15" s="258"/>
      <c r="E15" s="196"/>
      <c r="F15" s="258"/>
      <c r="G15" s="258"/>
      <c r="H15" s="258"/>
      <c r="I15" s="196"/>
      <c r="J15" s="196"/>
      <c r="K15" s="258"/>
      <c r="L15" s="258"/>
      <c r="M15" s="463"/>
      <c r="N15" s="258"/>
      <c r="O15" s="463"/>
      <c r="P15" s="256"/>
    </row>
    <row r="16" spans="1:20">
      <c r="A16" s="255">
        <v>3</v>
      </c>
      <c r="C16" s="181" t="s">
        <v>998</v>
      </c>
      <c r="D16" s="196"/>
      <c r="E16" s="196"/>
      <c r="F16" s="196"/>
      <c r="G16" s="196"/>
      <c r="H16" s="196"/>
      <c r="I16" s="196"/>
      <c r="J16" s="196"/>
      <c r="K16" s="196"/>
      <c r="L16" s="196"/>
      <c r="M16" s="463"/>
      <c r="N16" s="196"/>
      <c r="O16" s="463"/>
      <c r="P16" s="256"/>
      <c r="Q16" s="226"/>
      <c r="S16" s="226"/>
      <c r="T16" s="256"/>
    </row>
    <row r="17" spans="1:23">
      <c r="A17" s="233">
        <v>4</v>
      </c>
      <c r="C17" s="248" t="s">
        <v>24</v>
      </c>
      <c r="D17" s="395">
        <f>+'C.2.1 B'!D104</f>
        <v>65546014.381216273</v>
      </c>
      <c r="E17" s="196"/>
      <c r="F17" s="308">
        <f t="shared" ref="F17:F28" si="0">+K17-D17-H17</f>
        <v>13163102.86159277</v>
      </c>
      <c r="G17" s="263" t="s">
        <v>1074</v>
      </c>
      <c r="H17" s="224"/>
      <c r="I17" s="196"/>
      <c r="J17" s="196"/>
      <c r="K17" s="395">
        <f>'C.2.1 F'!D100</f>
        <v>78709117.242809042</v>
      </c>
      <c r="L17" s="258"/>
      <c r="M17" s="308">
        <v>0</v>
      </c>
      <c r="N17" s="258"/>
      <c r="O17" s="308">
        <f t="shared" ref="O17:O22" si="1">+K17+M17</f>
        <v>78709117.242809042</v>
      </c>
      <c r="P17" s="256"/>
      <c r="Q17" s="226"/>
      <c r="S17" s="226"/>
      <c r="T17" s="256"/>
    </row>
    <row r="18" spans="1:23">
      <c r="A18" s="255">
        <v>5</v>
      </c>
      <c r="C18" s="248" t="s">
        <v>641</v>
      </c>
      <c r="D18" s="526">
        <f>+'C.2.1 B'!D38+'C.2.1 B'!D42</f>
        <v>0</v>
      </c>
      <c r="E18" s="196"/>
      <c r="F18" s="308">
        <f t="shared" si="0"/>
        <v>0</v>
      </c>
      <c r="G18" s="263" t="s">
        <v>1074</v>
      </c>
      <c r="H18" s="224"/>
      <c r="I18" s="196"/>
      <c r="J18" s="196"/>
      <c r="K18" s="395">
        <f>'C.2.1 F'!D34+'C.2.1 F'!D38</f>
        <v>0</v>
      </c>
      <c r="L18" s="224"/>
      <c r="M18" s="308">
        <v>0</v>
      </c>
      <c r="N18" s="224"/>
      <c r="O18" s="308">
        <f t="shared" si="1"/>
        <v>0</v>
      </c>
      <c r="P18" s="256"/>
    </row>
    <row r="19" spans="1:23">
      <c r="A19" s="233">
        <v>6</v>
      </c>
      <c r="C19" s="248" t="s">
        <v>642</v>
      </c>
      <c r="D19" s="526">
        <f>+'C.2.1 B'!D54+'C.2.1 B'!D64</f>
        <v>402608.75718359562</v>
      </c>
      <c r="E19" s="196"/>
      <c r="F19" s="308">
        <f t="shared" si="0"/>
        <v>2372.5684540501679</v>
      </c>
      <c r="G19" s="263" t="s">
        <v>1074</v>
      </c>
      <c r="H19" s="224"/>
      <c r="I19" s="196"/>
      <c r="J19" s="196"/>
      <c r="K19" s="395">
        <f>'C.2.1 F'!D50+'C.2.1 F'!D60</f>
        <v>404981.32563764579</v>
      </c>
      <c r="L19" s="224"/>
      <c r="M19" s="308">
        <v>0</v>
      </c>
      <c r="N19" s="224"/>
      <c r="O19" s="308">
        <f t="shared" si="1"/>
        <v>404981.32563764579</v>
      </c>
      <c r="P19" s="256"/>
    </row>
    <row r="20" spans="1:23">
      <c r="A20" s="255">
        <v>7</v>
      </c>
      <c r="C20" s="248" t="s">
        <v>657</v>
      </c>
      <c r="D20" s="526">
        <f>+'C.2.1 B'!D74+'C.2.1 B'!D82</f>
        <v>267885.1416324373</v>
      </c>
      <c r="E20" s="196"/>
      <c r="F20" s="308">
        <f t="shared" si="0"/>
        <v>2787.7297778790817</v>
      </c>
      <c r="G20" s="263" t="s">
        <v>1074</v>
      </c>
      <c r="H20" s="224"/>
      <c r="I20" s="196"/>
      <c r="J20" s="196"/>
      <c r="K20" s="395">
        <f>'C.2.1 F'!D70+'C.2.1 F'!D78</f>
        <v>270672.87141031638</v>
      </c>
      <c r="L20" s="224"/>
      <c r="M20" s="308">
        <v>0</v>
      </c>
      <c r="N20" s="224"/>
      <c r="O20" s="308">
        <f t="shared" si="1"/>
        <v>270672.87141031638</v>
      </c>
      <c r="P20" s="256"/>
      <c r="R20" s="591"/>
      <c r="S20" s="591"/>
      <c r="T20" s="591"/>
      <c r="U20" s="591"/>
      <c r="V20" s="591"/>
      <c r="W20" s="591"/>
    </row>
    <row r="21" spans="1:23">
      <c r="A21" s="233">
        <v>8</v>
      </c>
      <c r="C21" s="260" t="s">
        <v>678</v>
      </c>
      <c r="D21" s="526">
        <f>+'C.2.1 B'!D119+'C.2.1 B'!D132</f>
        <v>6643817.962154286</v>
      </c>
      <c r="E21" s="196"/>
      <c r="F21" s="308">
        <f t="shared" si="0"/>
        <v>131725.66012019105</v>
      </c>
      <c r="G21" s="263" t="s">
        <v>1074</v>
      </c>
      <c r="H21" s="224"/>
      <c r="I21" s="459" t="s">
        <v>782</v>
      </c>
      <c r="J21" s="196"/>
      <c r="K21" s="527">
        <f>'C.2.1 F'!D115+'C.2.1 F'!D128</f>
        <v>6775543.622274477</v>
      </c>
      <c r="L21" s="224"/>
      <c r="M21" s="308">
        <f>-F.2.2!H20</f>
        <v>0</v>
      </c>
      <c r="N21" s="237"/>
      <c r="O21" s="308">
        <f t="shared" si="1"/>
        <v>6775543.622274477</v>
      </c>
      <c r="P21" s="256"/>
      <c r="R21" s="591"/>
      <c r="S21" s="591"/>
      <c r="T21" s="591"/>
      <c r="U21" s="591"/>
      <c r="V21" s="591"/>
      <c r="W21" s="591"/>
    </row>
    <row r="22" spans="1:23">
      <c r="A22" s="255">
        <v>9</v>
      </c>
      <c r="C22" s="260" t="s">
        <v>71</v>
      </c>
      <c r="D22" s="526">
        <f>+'C.2.1 B'!D139</f>
        <v>3218090.9482542495</v>
      </c>
      <c r="E22" s="196"/>
      <c r="F22" s="308">
        <f t="shared" si="0"/>
        <v>158674.88617670769</v>
      </c>
      <c r="G22" s="263" t="s">
        <v>1074</v>
      </c>
      <c r="H22" s="224"/>
      <c r="I22" s="459" t="s">
        <v>782</v>
      </c>
      <c r="J22" s="196"/>
      <c r="K22" s="395">
        <f>'C.2.1 F'!D135</f>
        <v>3376765.8344309572</v>
      </c>
      <c r="L22" s="224"/>
      <c r="M22" s="308">
        <v>0</v>
      </c>
      <c r="N22" s="224"/>
      <c r="O22" s="308">
        <f t="shared" si="1"/>
        <v>3376765.8344309572</v>
      </c>
      <c r="P22" s="256"/>
      <c r="R22" s="591"/>
      <c r="S22" s="591"/>
      <c r="T22" s="680"/>
      <c r="U22" s="591"/>
      <c r="V22" s="591"/>
      <c r="W22" s="591"/>
    </row>
    <row r="23" spans="1:23">
      <c r="A23" s="233">
        <v>10</v>
      </c>
      <c r="C23" s="248" t="s">
        <v>72</v>
      </c>
      <c r="D23" s="395">
        <f>+'C.2.1 B'!D146</f>
        <v>134412.29365729415</v>
      </c>
      <c r="E23" s="196"/>
      <c r="F23" s="308">
        <f t="shared" si="0"/>
        <v>-798.68748963411781</v>
      </c>
      <c r="G23" s="263" t="s">
        <v>1074</v>
      </c>
      <c r="H23" s="224"/>
      <c r="I23" s="459" t="s">
        <v>782</v>
      </c>
      <c r="J23" s="196"/>
      <c r="K23" s="395">
        <f>'C.2.1 F'!D142</f>
        <v>133613.60616766004</v>
      </c>
      <c r="L23" s="258"/>
      <c r="M23" s="308">
        <v>0</v>
      </c>
      <c r="N23" s="237"/>
      <c r="O23" s="308">
        <f>+K23+M23</f>
        <v>133613.60616766004</v>
      </c>
      <c r="P23" s="256"/>
      <c r="R23" s="591"/>
      <c r="S23" s="591"/>
      <c r="T23" s="681"/>
      <c r="U23" s="591"/>
      <c r="V23" s="591"/>
      <c r="W23" s="591"/>
    </row>
    <row r="24" spans="1:23">
      <c r="A24" s="255">
        <v>11</v>
      </c>
      <c r="C24" s="260" t="s">
        <v>499</v>
      </c>
      <c r="D24" s="395">
        <f>+'C.2.1 B'!D153</f>
        <v>410952.66041130282</v>
      </c>
      <c r="E24" s="196"/>
      <c r="F24" s="308">
        <f t="shared" si="0"/>
        <v>32781.969086789526</v>
      </c>
      <c r="G24" s="263" t="s">
        <v>1074</v>
      </c>
      <c r="H24" s="224"/>
      <c r="I24" s="459" t="s">
        <v>782</v>
      </c>
      <c r="J24" s="196"/>
      <c r="K24" s="395">
        <f>'C.2.1 F'!D149</f>
        <v>443734.62949809234</v>
      </c>
      <c r="L24" s="258"/>
      <c r="M24" s="308">
        <f>-F.4!K29</f>
        <v>-86665.388132007472</v>
      </c>
      <c r="N24" s="237" t="s">
        <v>559</v>
      </c>
      <c r="O24" s="308">
        <f>+K24+M24</f>
        <v>357069.2413660849</v>
      </c>
      <c r="P24" s="256"/>
      <c r="R24" s="591"/>
      <c r="S24" s="591"/>
      <c r="T24" s="681"/>
      <c r="U24" s="591"/>
      <c r="V24" s="591"/>
      <c r="W24" s="591"/>
    </row>
    <row r="25" spans="1:23">
      <c r="A25" s="233">
        <v>12</v>
      </c>
      <c r="C25" s="260" t="s">
        <v>500</v>
      </c>
      <c r="D25" s="395">
        <f>+'C.2.1 B'!D167+'C.2.1 B'!D171</f>
        <v>15884123.621101992</v>
      </c>
      <c r="E25" s="196"/>
      <c r="F25" s="308">
        <f t="shared" si="0"/>
        <v>274798.11655801162</v>
      </c>
      <c r="G25" s="263" t="s">
        <v>1074</v>
      </c>
      <c r="H25" s="224"/>
      <c r="I25" s="459" t="s">
        <v>782</v>
      </c>
      <c r="J25" s="196"/>
      <c r="K25" s="395">
        <f>'C.2.1 F'!D163+'C.2.1 F'!D167</f>
        <v>16158921.737660004</v>
      </c>
      <c r="L25" s="258"/>
      <c r="M25" s="308">
        <f>F.6!J27-F.8!I24+F.9!G20-F.10!F41</f>
        <v>-1313539.0096546118</v>
      </c>
      <c r="N25" s="237" t="s">
        <v>1392</v>
      </c>
      <c r="O25" s="308">
        <f>+K25+M25</f>
        <v>14845382.728005392</v>
      </c>
      <c r="P25" s="256"/>
      <c r="Q25" s="226"/>
      <c r="R25" s="591"/>
      <c r="S25" s="591"/>
      <c r="T25" s="681"/>
      <c r="U25" s="591"/>
      <c r="V25" s="591"/>
      <c r="W25" s="591"/>
    </row>
    <row r="26" spans="1:23">
      <c r="A26" s="255">
        <v>13</v>
      </c>
      <c r="C26" s="262" t="s">
        <v>92</v>
      </c>
      <c r="D26" s="395">
        <f>+'C.2.1 B'!D175</f>
        <v>18849734.532483872</v>
      </c>
      <c r="E26" s="196"/>
      <c r="F26" s="308">
        <f t="shared" si="0"/>
        <v>2662196.59846396</v>
      </c>
      <c r="G26" s="263" t="s">
        <v>1074</v>
      </c>
      <c r="H26" s="224"/>
      <c r="I26" s="196"/>
      <c r="J26" s="196"/>
      <c r="K26" s="395">
        <f>'C.2.1 F'!D171</f>
        <v>21511931.130947832</v>
      </c>
      <c r="L26" s="258"/>
      <c r="M26" s="308">
        <f>O26-K26</f>
        <v>0</v>
      </c>
      <c r="N26" s="258"/>
      <c r="O26" s="395">
        <f>'C.2.1 F'!D171</f>
        <v>21511931.130947832</v>
      </c>
      <c r="P26" s="256"/>
      <c r="Q26" s="226"/>
      <c r="R26" s="591"/>
      <c r="S26" s="682"/>
      <c r="T26" s="681"/>
      <c r="U26" s="591"/>
      <c r="V26" s="591"/>
      <c r="W26" s="591"/>
    </row>
    <row r="27" spans="1:23">
      <c r="A27" s="233">
        <v>14</v>
      </c>
      <c r="C27" s="260" t="s">
        <v>598</v>
      </c>
      <c r="D27" s="395">
        <f>+'C.2.1 B'!D176</f>
        <v>4830375.4565365165</v>
      </c>
      <c r="F27" s="522">
        <f t="shared" si="0"/>
        <v>1736069.8086042963</v>
      </c>
      <c r="G27" s="257" t="s">
        <v>1074</v>
      </c>
      <c r="H27" s="188"/>
      <c r="K27" s="395">
        <f>'C.2.1 F'!D172</f>
        <v>6566445.2651408128</v>
      </c>
      <c r="L27" s="224"/>
      <c r="M27" s="308">
        <v>0</v>
      </c>
      <c r="N27" s="237"/>
      <c r="O27" s="522">
        <f>+K27+M27</f>
        <v>6566445.2651408128</v>
      </c>
      <c r="P27" s="256"/>
      <c r="Q27" s="226"/>
      <c r="S27" s="226"/>
      <c r="T27" s="188"/>
    </row>
    <row r="28" spans="1:23">
      <c r="A28" s="255">
        <v>15</v>
      </c>
      <c r="C28" s="262" t="s">
        <v>573</v>
      </c>
      <c r="D28" s="395">
        <f>+'C.2.1 B'!D177</f>
        <v>8353921.1987644052</v>
      </c>
      <c r="F28" s="522">
        <f t="shared" si="0"/>
        <v>-1166505.1074207444</v>
      </c>
      <c r="H28" s="188"/>
      <c r="K28" s="395">
        <f>'C.2.1 F'!D173</f>
        <v>7187416.0913436608</v>
      </c>
      <c r="L28" s="258"/>
      <c r="M28" s="395">
        <f>+O28-K28</f>
        <v>0</v>
      </c>
      <c r="N28" s="263"/>
      <c r="O28" s="395">
        <f>+E!G23</f>
        <v>7187416.091343659</v>
      </c>
      <c r="P28" s="256"/>
      <c r="Q28" s="226"/>
      <c r="S28" s="226"/>
      <c r="T28" s="256"/>
    </row>
    <row r="29" spans="1:23">
      <c r="A29" s="233">
        <v>16</v>
      </c>
      <c r="C29" s="205"/>
      <c r="D29" s="193"/>
      <c r="F29" s="264"/>
      <c r="H29" s="265"/>
      <c r="K29" s="193"/>
      <c r="L29" s="188"/>
      <c r="M29" s="190"/>
      <c r="N29" s="188"/>
      <c r="O29" s="190"/>
      <c r="P29" s="256"/>
    </row>
    <row r="30" spans="1:23">
      <c r="A30" s="255">
        <v>17</v>
      </c>
      <c r="C30" s="221"/>
      <c r="D30" s="188"/>
      <c r="F30" s="188"/>
      <c r="H30" s="188"/>
      <c r="K30" s="188"/>
      <c r="L30" s="188"/>
      <c r="M30" s="259"/>
      <c r="N30" s="188"/>
      <c r="O30" s="259"/>
      <c r="P30" s="256"/>
      <c r="T30" s="261"/>
    </row>
    <row r="31" spans="1:23">
      <c r="A31" s="233">
        <v>18</v>
      </c>
      <c r="C31" s="181" t="s">
        <v>1130</v>
      </c>
      <c r="D31" s="474">
        <f>SUM(D17:D29)</f>
        <v>124541936.9533962</v>
      </c>
      <c r="F31" s="474">
        <f>SUM(F17:F29)</f>
        <v>16997206.403924279</v>
      </c>
      <c r="H31" s="474">
        <f>SUM(H21:H29)</f>
        <v>0</v>
      </c>
      <c r="K31" s="474">
        <f>SUM(K17:K29)</f>
        <v>141539143.35732049</v>
      </c>
      <c r="L31" s="188"/>
      <c r="M31" s="474">
        <f>SUM(M17:M29)</f>
        <v>-1400204.3977866194</v>
      </c>
      <c r="N31" s="188"/>
      <c r="O31" s="474">
        <f>SUM(O17:O29)</f>
        <v>140138938.95953387</v>
      </c>
      <c r="P31" s="256"/>
    </row>
    <row r="32" spans="1:23">
      <c r="A32" s="255">
        <v>19</v>
      </c>
      <c r="D32" s="256"/>
      <c r="F32" s="256"/>
      <c r="H32" s="256"/>
      <c r="K32" s="256"/>
      <c r="L32" s="256"/>
      <c r="M32" s="256"/>
      <c r="N32" s="256"/>
      <c r="O32" s="256"/>
      <c r="P32" s="256"/>
    </row>
    <row r="33" spans="1:21" ht="15.75" thickBot="1">
      <c r="A33" s="233">
        <v>20</v>
      </c>
      <c r="C33" s="181" t="s">
        <v>1201</v>
      </c>
      <c r="D33" s="520">
        <f>D14-D31</f>
        <v>32171309.927559614</v>
      </c>
      <c r="F33" s="520">
        <f>F14-F31</f>
        <v>-2981177.3734593913</v>
      </c>
      <c r="H33" s="520">
        <f>H14-H31</f>
        <v>0</v>
      </c>
      <c r="K33" s="520">
        <f>K14-K31</f>
        <v>29190132.554100215</v>
      </c>
      <c r="L33" s="188"/>
      <c r="M33" s="520">
        <f>M14-M31</f>
        <v>1400204.3977866194</v>
      </c>
      <c r="N33" s="188"/>
      <c r="O33" s="520">
        <f>O14-O31</f>
        <v>30590336.951886833</v>
      </c>
      <c r="P33" s="256"/>
      <c r="Q33" s="226"/>
      <c r="S33" s="226"/>
      <c r="T33" s="188"/>
      <c r="U33" s="188"/>
    </row>
    <row r="34" spans="1:21" ht="15.75" thickTop="1">
      <c r="A34" s="233"/>
      <c r="D34" s="188"/>
      <c r="F34" s="188"/>
      <c r="G34" s="188"/>
      <c r="H34" s="188"/>
      <c r="K34" s="228"/>
      <c r="L34" s="188"/>
      <c r="M34" s="228"/>
      <c r="N34" s="188"/>
      <c r="O34" s="188"/>
      <c r="P34" s="188"/>
      <c r="Q34" s="226"/>
      <c r="S34" s="226"/>
      <c r="T34" s="188"/>
      <c r="U34" s="188"/>
    </row>
    <row r="35" spans="1:21">
      <c r="A35" s="255"/>
      <c r="D35" s="266"/>
      <c r="F35" s="188"/>
      <c r="G35" s="188"/>
      <c r="H35" s="188"/>
      <c r="K35" s="266"/>
      <c r="L35" s="188"/>
      <c r="M35" s="226"/>
      <c r="N35" s="188"/>
      <c r="O35" s="266"/>
      <c r="P35" s="188"/>
    </row>
    <row r="36" spans="1:21">
      <c r="A36" s="255"/>
      <c r="C36" s="765"/>
      <c r="D36" s="666"/>
      <c r="E36" s="665"/>
      <c r="F36" s="666"/>
      <c r="G36" s="666"/>
      <c r="H36" s="666"/>
      <c r="I36" s="665"/>
      <c r="J36" s="665"/>
      <c r="K36" s="666"/>
      <c r="L36" s="188"/>
      <c r="M36" s="308"/>
      <c r="N36" s="188"/>
      <c r="O36" s="266"/>
      <c r="P36" s="188"/>
    </row>
    <row r="37" spans="1:21">
      <c r="A37" s="255"/>
      <c r="C37" s="665"/>
      <c r="D37" s="766"/>
      <c r="E37" s="665"/>
      <c r="F37" s="666"/>
      <c r="G37" s="666"/>
      <c r="H37" s="666"/>
      <c r="I37" s="665"/>
      <c r="J37" s="665"/>
      <c r="K37" s="766"/>
      <c r="L37" s="188"/>
      <c r="M37" s="226"/>
      <c r="N37" s="188"/>
      <c r="O37" s="266"/>
      <c r="P37" s="188"/>
    </row>
    <row r="38" spans="1:21" s="268" customFormat="1">
      <c r="A38" s="233"/>
      <c r="B38" s="267"/>
      <c r="C38" s="765"/>
      <c r="D38" s="666"/>
      <c r="E38" s="665"/>
      <c r="F38" s="666"/>
      <c r="G38" s="666"/>
      <c r="H38" s="666"/>
      <c r="I38" s="665"/>
      <c r="J38" s="665"/>
      <c r="K38" s="666"/>
      <c r="L38" s="269"/>
      <c r="N38" s="269"/>
      <c r="P38" s="269"/>
    </row>
    <row r="39" spans="1:21" s="268" customFormat="1">
      <c r="A39" s="270"/>
      <c r="B39" s="271"/>
      <c r="C39" s="765"/>
      <c r="D39" s="666"/>
      <c r="E39" s="665"/>
      <c r="F39" s="666"/>
      <c r="G39" s="666"/>
      <c r="H39" s="666"/>
      <c r="I39" s="665"/>
      <c r="J39" s="665"/>
      <c r="K39" s="666"/>
      <c r="L39" s="269"/>
      <c r="M39" s="272"/>
      <c r="N39" s="269"/>
      <c r="O39" s="272"/>
      <c r="P39" s="269"/>
      <c r="T39" s="273"/>
    </row>
    <row r="40" spans="1:21" s="268" customFormat="1">
      <c r="D40" s="269"/>
      <c r="F40" s="269"/>
      <c r="G40" s="269"/>
      <c r="K40" s="269"/>
      <c r="L40" s="269"/>
      <c r="M40" s="666"/>
      <c r="N40" s="665"/>
    </row>
    <row r="41" spans="1:21">
      <c r="A41" s="268"/>
      <c r="B41" s="268"/>
      <c r="C41" s="268"/>
      <c r="D41" s="188"/>
      <c r="F41" s="188"/>
      <c r="G41" s="188"/>
      <c r="H41" s="226"/>
      <c r="K41" s="188"/>
      <c r="L41" s="188"/>
      <c r="M41" s="666"/>
      <c r="N41" s="666"/>
      <c r="O41" s="226"/>
      <c r="P41" s="188"/>
    </row>
    <row r="42" spans="1:21">
      <c r="A42" s="221"/>
      <c r="D42" s="188"/>
      <c r="F42" s="188"/>
      <c r="G42" s="188"/>
      <c r="K42" s="188"/>
      <c r="L42" s="188"/>
      <c r="M42" s="666"/>
      <c r="N42" s="666"/>
      <c r="P42" s="188"/>
      <c r="Q42" s="226"/>
      <c r="S42" s="226"/>
      <c r="T42" s="188"/>
      <c r="U42" s="188"/>
    </row>
    <row r="43" spans="1:21">
      <c r="A43" s="221"/>
      <c r="D43" s="188"/>
      <c r="F43" s="188"/>
      <c r="G43" s="188"/>
      <c r="H43" s="226"/>
      <c r="K43" s="188"/>
      <c r="L43" s="188"/>
      <c r="M43" s="192"/>
      <c r="N43" s="666"/>
      <c r="O43" s="226"/>
      <c r="P43" s="188"/>
      <c r="Q43" s="226"/>
      <c r="S43" s="226"/>
      <c r="T43" s="188"/>
      <c r="U43" s="188"/>
    </row>
    <row r="44" spans="1:21">
      <c r="A44" s="221"/>
      <c r="C44" s="221"/>
      <c r="D44" s="188"/>
      <c r="F44" s="188"/>
      <c r="G44" s="188"/>
      <c r="M44" s="843"/>
      <c r="N44" s="665"/>
    </row>
    <row r="45" spans="1:21">
      <c r="A45" s="221"/>
      <c r="C45" s="221"/>
      <c r="D45" s="188"/>
      <c r="F45" s="188"/>
      <c r="G45" s="188"/>
    </row>
    <row r="46" spans="1:21">
      <c r="D46" s="188"/>
      <c r="F46" s="188"/>
      <c r="G46" s="188"/>
      <c r="K46" s="261"/>
      <c r="L46" s="261"/>
      <c r="N46" s="261"/>
      <c r="P46" s="261"/>
      <c r="T46" s="261"/>
    </row>
    <row r="47" spans="1:21">
      <c r="A47" s="221"/>
      <c r="D47" s="188"/>
      <c r="F47" s="188"/>
      <c r="G47" s="188"/>
    </row>
    <row r="48" spans="1:21">
      <c r="C48" s="252"/>
      <c r="E48" s="188"/>
      <c r="G48" s="188"/>
    </row>
    <row r="49" spans="1:23">
      <c r="A49" s="221"/>
      <c r="C49" s="221"/>
      <c r="E49" s="188"/>
      <c r="F49" s="226"/>
      <c r="G49" s="188"/>
      <c r="H49" s="226"/>
      <c r="K49" s="226"/>
      <c r="L49" s="256"/>
      <c r="M49" s="226"/>
      <c r="N49" s="256"/>
      <c r="O49" s="226"/>
      <c r="P49" s="256"/>
      <c r="Q49" s="226"/>
      <c r="S49" s="226"/>
      <c r="T49" s="188"/>
      <c r="V49" s="221"/>
    </row>
    <row r="50" spans="1:23">
      <c r="C50" s="221"/>
      <c r="D50" s="226"/>
      <c r="E50" s="188"/>
      <c r="F50" s="226"/>
      <c r="G50" s="188"/>
      <c r="H50" s="226"/>
      <c r="K50" s="226"/>
      <c r="L50" s="256"/>
      <c r="M50" s="226"/>
      <c r="N50" s="256"/>
      <c r="O50" s="226"/>
      <c r="P50" s="256"/>
      <c r="Q50" s="226"/>
      <c r="S50" s="226"/>
      <c r="T50" s="188"/>
    </row>
    <row r="51" spans="1:23">
      <c r="D51" s="226"/>
      <c r="V51" s="221"/>
    </row>
    <row r="52" spans="1:23">
      <c r="V52" s="256"/>
      <c r="W52" s="188"/>
    </row>
    <row r="53" spans="1:23">
      <c r="V53" s="256"/>
      <c r="W53" s="188"/>
    </row>
    <row r="56" spans="1:23">
      <c r="V56" s="261"/>
    </row>
    <row r="58" spans="1:23">
      <c r="S58" s="188"/>
      <c r="T58" s="188"/>
    </row>
    <row r="59" spans="1:23">
      <c r="E59" s="256"/>
      <c r="R59" s="256"/>
      <c r="S59" s="188"/>
      <c r="T59" s="188"/>
    </row>
    <row r="62" spans="1:23">
      <c r="R62" s="261"/>
    </row>
    <row r="63" spans="1:23">
      <c r="R63" s="256"/>
    </row>
    <row r="64" spans="1:23">
      <c r="R64" s="256"/>
    </row>
    <row r="65" spans="1:18">
      <c r="R65" s="256"/>
    </row>
    <row r="67" spans="1:18">
      <c r="A67" s="221"/>
    </row>
    <row r="68" spans="1:18">
      <c r="A68" s="221"/>
      <c r="C68" s="221"/>
      <c r="G68" s="261"/>
      <c r="I68" s="261"/>
      <c r="J68" s="261"/>
      <c r="L68" s="261"/>
      <c r="N68" s="261"/>
      <c r="P68" s="261"/>
      <c r="R68" s="261"/>
    </row>
    <row r="69" spans="1:18">
      <c r="G69" s="256"/>
      <c r="R69" s="256"/>
    </row>
    <row r="70" spans="1:18">
      <c r="A70" s="221"/>
    </row>
    <row r="71" spans="1:18">
      <c r="A71" s="221"/>
    </row>
    <row r="72" spans="1:18">
      <c r="A72" s="221"/>
    </row>
    <row r="73" spans="1:18">
      <c r="A73" s="221"/>
    </row>
    <row r="75" spans="1:18">
      <c r="A75" s="221"/>
    </row>
    <row r="76" spans="1:18">
      <c r="A76" s="221"/>
    </row>
    <row r="79" spans="1:18">
      <c r="A79" s="221"/>
    </row>
    <row r="80" spans="1:18">
      <c r="C80" s="221"/>
    </row>
    <row r="86" spans="7:18">
      <c r="G86" s="256"/>
      <c r="I86" s="256"/>
      <c r="J86" s="256"/>
      <c r="L86" s="256"/>
      <c r="N86" s="256"/>
      <c r="P86" s="256"/>
      <c r="R86" s="256"/>
    </row>
    <row r="87" spans="7:18">
      <c r="G87" s="256"/>
      <c r="I87" s="256"/>
      <c r="J87" s="256"/>
      <c r="L87" s="256"/>
      <c r="N87" s="256"/>
      <c r="P87" s="256"/>
      <c r="R87" s="256"/>
    </row>
    <row r="88" spans="7:18">
      <c r="G88" s="256"/>
      <c r="I88" s="256"/>
      <c r="J88" s="256"/>
      <c r="L88" s="256"/>
      <c r="N88" s="256"/>
      <c r="P88" s="256"/>
      <c r="R88" s="256"/>
    </row>
    <row r="89" spans="7:18">
      <c r="G89" s="256"/>
      <c r="I89" s="256"/>
      <c r="J89" s="256"/>
      <c r="L89" s="256"/>
      <c r="N89" s="256"/>
      <c r="P89" s="256"/>
      <c r="R89" s="256"/>
    </row>
    <row r="90" spans="7:18">
      <c r="G90" s="256"/>
      <c r="I90" s="256"/>
      <c r="J90" s="256"/>
      <c r="L90" s="256"/>
      <c r="N90" s="256"/>
      <c r="P90" s="256"/>
      <c r="R90" s="256"/>
    </row>
    <row r="91" spans="7:18">
      <c r="G91" s="256"/>
      <c r="I91" s="256"/>
      <c r="J91" s="256"/>
      <c r="L91" s="256"/>
      <c r="N91" s="256"/>
      <c r="P91" s="256"/>
      <c r="R91" s="256"/>
    </row>
    <row r="92" spans="7:18">
      <c r="G92" s="256"/>
      <c r="I92" s="256"/>
      <c r="J92" s="256"/>
      <c r="L92" s="256"/>
      <c r="N92" s="256"/>
      <c r="P92" s="256"/>
      <c r="R92" s="256"/>
    </row>
    <row r="93" spans="7:18">
      <c r="G93" s="256"/>
      <c r="I93" s="256"/>
      <c r="J93" s="256"/>
      <c r="L93" s="256"/>
      <c r="N93" s="256"/>
      <c r="P93" s="256"/>
      <c r="R93" s="256"/>
    </row>
    <row r="94" spans="7:18">
      <c r="G94" s="256"/>
      <c r="I94" s="256"/>
      <c r="J94" s="256"/>
      <c r="L94" s="256"/>
      <c r="N94" s="256"/>
      <c r="P94" s="256"/>
      <c r="R94" s="256"/>
    </row>
    <row r="95" spans="7:18">
      <c r="G95" s="256"/>
      <c r="I95" s="256"/>
      <c r="J95" s="256"/>
      <c r="L95" s="256"/>
      <c r="N95" s="256"/>
      <c r="P95" s="256"/>
      <c r="R95" s="256"/>
    </row>
  </sheetData>
  <mergeCells count="5">
    <mergeCell ref="A5:O5"/>
    <mergeCell ref="A1:O1"/>
    <mergeCell ref="A2:O2"/>
    <mergeCell ref="A3:O3"/>
    <mergeCell ref="A4:O4"/>
  </mergeCells>
  <phoneticPr fontId="22" type="noConversion"/>
  <printOptions horizontalCentered="1"/>
  <pageMargins left="0.38" right="0.5" top="0.75" bottom="0.5" header="0.5" footer="0.5"/>
  <pageSetup scale="80" orientation="landscape" verticalDpi="300" r:id="rId1"/>
  <headerFooter alignWithMargins="0">
    <oddFooter>&amp;RSchedule &amp;A
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H195"/>
  <sheetViews>
    <sheetView view="pageBreakPreview" zoomScale="60" zoomScaleNormal="80" workbookViewId="0">
      <pane ySplit="11" topLeftCell="A144" activePane="bottomLeft" state="frozen"/>
      <selection activeCell="B6" sqref="B6"/>
      <selection pane="bottomLeft" activeCell="I176" sqref="I176"/>
    </sheetView>
  </sheetViews>
  <sheetFormatPr defaultColWidth="8.44140625" defaultRowHeight="15.75" customHeight="1"/>
  <cols>
    <col min="1" max="1" width="4.77734375" style="62" customWidth="1"/>
    <col min="2" max="2" width="11.88671875" style="62" customWidth="1"/>
    <col min="3" max="3" width="49.109375" style="62" customWidth="1"/>
    <col min="4" max="4" width="13.109375" style="62" customWidth="1"/>
    <col min="5" max="5" width="7.21875" style="62" customWidth="1"/>
    <col min="6" max="6" width="11.44140625" style="62" bestFit="1" customWidth="1"/>
    <col min="7" max="7" width="10" style="62" bestFit="1" customWidth="1"/>
    <col min="8" max="8" width="10.21875" style="62" customWidth="1"/>
    <col min="9" max="16384" width="8.44140625" style="62"/>
  </cols>
  <sheetData>
    <row r="1" spans="1:7" ht="15.75" customHeight="1">
      <c r="A1" s="1194" t="str">
        <f>'Table of Contents'!A1:C1</f>
        <v>Atmos Energy Corporation, Kentucky/Mid-States Division</v>
      </c>
      <c r="B1" s="1194"/>
      <c r="C1" s="1194"/>
      <c r="D1" s="1194"/>
    </row>
    <row r="2" spans="1:7" ht="15.75" customHeight="1">
      <c r="A2" s="1194" t="str">
        <f>'Table of Contents'!A2:C2</f>
        <v>Kentucky Jurisdiction Case No. 2017-00349</v>
      </c>
      <c r="B2" s="1194"/>
      <c r="C2" s="1194"/>
      <c r="D2" s="1194"/>
    </row>
    <row r="3" spans="1:7" ht="15.75" customHeight="1">
      <c r="A3" s="1194" t="s">
        <v>1148</v>
      </c>
      <c r="B3" s="1194"/>
      <c r="C3" s="1194"/>
      <c r="D3" s="1194"/>
    </row>
    <row r="4" spans="1:7" ht="15.75" customHeight="1">
      <c r="A4" s="1194" t="str">
        <f>'Table of Contents'!A3:C3</f>
        <v>Base Period: Twelve Months Ended December 31, 2017</v>
      </c>
      <c r="B4" s="1194"/>
      <c r="C4" s="1194"/>
      <c r="D4" s="1194"/>
    </row>
    <row r="5" spans="1:7" ht="15.75" customHeight="1">
      <c r="A5" s="65"/>
      <c r="B5" s="65"/>
      <c r="C5" s="201"/>
      <c r="D5" s="201"/>
    </row>
    <row r="6" spans="1:7" ht="15.75" customHeight="1">
      <c r="A6" s="66" t="s">
        <v>55</v>
      </c>
      <c r="D6" s="495" t="s">
        <v>1453</v>
      </c>
    </row>
    <row r="7" spans="1:7" ht="15.75" customHeight="1">
      <c r="A7" s="4" t="s">
        <v>621</v>
      </c>
      <c r="D7" s="496" t="s">
        <v>719</v>
      </c>
    </row>
    <row r="8" spans="1:7" ht="15.75" customHeight="1">
      <c r="A8" s="238" t="s">
        <v>369</v>
      </c>
      <c r="B8" s="239"/>
      <c r="C8" s="239"/>
      <c r="D8" s="497" t="str">
        <f>C.1!J9</f>
        <v>Witness: Waller, Martin</v>
      </c>
    </row>
    <row r="9" spans="1:7" ht="15.75" customHeight="1">
      <c r="D9" s="274"/>
    </row>
    <row r="10" spans="1:7" ht="15.75" customHeight="1">
      <c r="A10" s="275" t="s">
        <v>94</v>
      </c>
      <c r="B10" s="274" t="s">
        <v>342</v>
      </c>
      <c r="C10" s="275" t="s">
        <v>342</v>
      </c>
      <c r="D10" s="274" t="s">
        <v>994</v>
      </c>
    </row>
    <row r="11" spans="1:7" ht="15.75" customHeight="1">
      <c r="A11" s="276" t="s">
        <v>100</v>
      </c>
      <c r="B11" s="277" t="s">
        <v>1323</v>
      </c>
      <c r="C11" s="276" t="s">
        <v>218</v>
      </c>
      <c r="D11" s="277" t="s">
        <v>318</v>
      </c>
    </row>
    <row r="12" spans="1:7" ht="15.75" customHeight="1">
      <c r="D12" s="274" t="s">
        <v>1101</v>
      </c>
    </row>
    <row r="13" spans="1:7" ht="15.75" customHeight="1">
      <c r="A13" s="274">
        <v>1</v>
      </c>
      <c r="B13" s="278"/>
      <c r="C13" s="279" t="s">
        <v>66</v>
      </c>
    </row>
    <row r="14" spans="1:7" ht="15.75" customHeight="1">
      <c r="A14" s="274">
        <f>A13+1</f>
        <v>2</v>
      </c>
      <c r="B14" s="278"/>
      <c r="C14" s="279" t="s">
        <v>136</v>
      </c>
      <c r="D14" s="96"/>
    </row>
    <row r="15" spans="1:7" ht="15.75" customHeight="1">
      <c r="A15" s="274">
        <f t="shared" ref="A15:A84" si="0">A14+1</f>
        <v>3</v>
      </c>
      <c r="B15" s="528">
        <v>4800</v>
      </c>
      <c r="C15" s="280" t="s">
        <v>131</v>
      </c>
      <c r="D15" s="339">
        <f>-'C.2.2 B 09'!P17</f>
        <v>92003987.593029201</v>
      </c>
      <c r="F15" s="407"/>
      <c r="G15" s="407"/>
    </row>
    <row r="16" spans="1:7" ht="15.75" customHeight="1">
      <c r="A16" s="274">
        <f t="shared" si="0"/>
        <v>4</v>
      </c>
      <c r="B16" s="707">
        <v>4805</v>
      </c>
      <c r="C16" s="708" t="s">
        <v>1329</v>
      </c>
      <c r="D16" s="352">
        <f>-'C.2.2 B 09'!P18</f>
        <v>-4036098.25</v>
      </c>
      <c r="F16" s="407"/>
      <c r="G16" s="407"/>
    </row>
    <row r="17" spans="1:8" ht="15.75" customHeight="1">
      <c r="A17" s="274">
        <f t="shared" si="0"/>
        <v>5</v>
      </c>
      <c r="B17" s="707">
        <v>4811</v>
      </c>
      <c r="C17" s="708" t="s">
        <v>132</v>
      </c>
      <c r="D17" s="352">
        <f>-'C.2.2 B 09'!P19</f>
        <v>38443047.651499577</v>
      </c>
      <c r="F17" s="407"/>
      <c r="G17" s="407"/>
    </row>
    <row r="18" spans="1:8" ht="15.75" customHeight="1">
      <c r="A18" s="274">
        <f t="shared" si="0"/>
        <v>6</v>
      </c>
      <c r="B18" s="707">
        <v>4812</v>
      </c>
      <c r="C18" s="708" t="s">
        <v>133</v>
      </c>
      <c r="D18" s="352">
        <f>-'C.2.2 B 09'!P20</f>
        <v>6816385.5647433177</v>
      </c>
      <c r="F18" s="407"/>
      <c r="G18" s="407"/>
    </row>
    <row r="19" spans="1:8" ht="15.75" customHeight="1">
      <c r="A19" s="274">
        <f t="shared" si="0"/>
        <v>7</v>
      </c>
      <c r="B19" s="707">
        <v>4815</v>
      </c>
      <c r="C19" s="708" t="s">
        <v>1330</v>
      </c>
      <c r="D19" s="352">
        <f>-'C.2.2 B 09'!P21</f>
        <v>-1524310.75</v>
      </c>
      <c r="F19" s="407"/>
      <c r="G19" s="407"/>
    </row>
    <row r="20" spans="1:8" ht="15.75" customHeight="1">
      <c r="A20" s="274">
        <f t="shared" si="0"/>
        <v>8</v>
      </c>
      <c r="B20" s="707">
        <v>4816</v>
      </c>
      <c r="C20" s="708" t="s">
        <v>1368</v>
      </c>
      <c r="D20" s="352">
        <f>-'C.2.2 B 09'!P22</f>
        <v>-99394.930000000051</v>
      </c>
      <c r="F20" s="407"/>
      <c r="G20" s="407"/>
    </row>
    <row r="21" spans="1:8" ht="15.75" customHeight="1">
      <c r="A21" s="274">
        <f t="shared" si="0"/>
        <v>9</v>
      </c>
      <c r="B21" s="707">
        <v>4820</v>
      </c>
      <c r="C21" s="708" t="s">
        <v>785</v>
      </c>
      <c r="D21" s="352">
        <f>-'C.2.2 B 09'!P23</f>
        <v>6397243.3093471676</v>
      </c>
      <c r="F21" s="407"/>
      <c r="G21" s="407"/>
    </row>
    <row r="22" spans="1:8" ht="15.75" customHeight="1">
      <c r="A22" s="274">
        <f t="shared" si="0"/>
        <v>10</v>
      </c>
      <c r="B22" s="707">
        <v>4825</v>
      </c>
      <c r="C22" s="708" t="s">
        <v>1331</v>
      </c>
      <c r="D22" s="353">
        <f>-'C.2.2 B 09'!P24</f>
        <v>-329425</v>
      </c>
      <c r="F22" s="407"/>
      <c r="G22" s="407"/>
    </row>
    <row r="23" spans="1:8" ht="15.75" customHeight="1">
      <c r="A23" s="274">
        <f t="shared" si="0"/>
        <v>11</v>
      </c>
      <c r="B23" s="274"/>
      <c r="C23" s="275" t="s">
        <v>1165</v>
      </c>
      <c r="D23" s="339">
        <f>SUM(D15:D22)</f>
        <v>137671435.18861926</v>
      </c>
    </row>
    <row r="24" spans="1:8" ht="15.75" customHeight="1">
      <c r="A24" s="274">
        <f t="shared" si="0"/>
        <v>12</v>
      </c>
      <c r="B24" s="274"/>
      <c r="D24" s="96"/>
    </row>
    <row r="25" spans="1:8" ht="15.75" customHeight="1">
      <c r="A25" s="274">
        <f t="shared" si="0"/>
        <v>13</v>
      </c>
      <c r="B25" s="529"/>
      <c r="C25" s="279" t="s">
        <v>65</v>
      </c>
      <c r="D25" s="455"/>
    </row>
    <row r="26" spans="1:8" ht="15.75" customHeight="1">
      <c r="A26" s="274">
        <f t="shared" si="0"/>
        <v>14</v>
      </c>
      <c r="B26" s="528">
        <v>4870</v>
      </c>
      <c r="C26" s="280" t="s">
        <v>1021</v>
      </c>
      <c r="D26" s="339">
        <f>-'C.2.2 B 09'!P25</f>
        <v>1231451.7485199214</v>
      </c>
    </row>
    <row r="27" spans="1:8" ht="15.75" customHeight="1">
      <c r="A27" s="274">
        <f t="shared" si="0"/>
        <v>15</v>
      </c>
      <c r="B27" s="528">
        <v>4880</v>
      </c>
      <c r="C27" s="280" t="s">
        <v>1022</v>
      </c>
      <c r="D27" s="352">
        <f>-'C.2.2 B 09'!P26</f>
        <v>805992</v>
      </c>
    </row>
    <row r="28" spans="1:8" ht="15.75" customHeight="1">
      <c r="A28" s="274">
        <f t="shared" si="0"/>
        <v>16</v>
      </c>
      <c r="B28" s="530">
        <v>4893</v>
      </c>
      <c r="C28" s="283" t="s">
        <v>64</v>
      </c>
      <c r="D28" s="352">
        <f>-'C.2.2 B 09'!P27</f>
        <v>15830893.886251401</v>
      </c>
      <c r="F28" s="597"/>
    </row>
    <row r="29" spans="1:8" ht="15.75" customHeight="1">
      <c r="A29" s="274">
        <f t="shared" si="0"/>
        <v>17</v>
      </c>
      <c r="B29" s="528">
        <v>4950</v>
      </c>
      <c r="C29" s="280" t="s">
        <v>668</v>
      </c>
      <c r="D29" s="352">
        <f>-'C.2.2 B 09'!P28</f>
        <v>1173474.0575652353</v>
      </c>
      <c r="F29" s="96"/>
      <c r="G29" s="96"/>
      <c r="H29" s="597"/>
    </row>
    <row r="30" spans="1:8" ht="15.75" customHeight="1">
      <c r="A30" s="274">
        <f t="shared" si="0"/>
        <v>18</v>
      </c>
      <c r="B30" s="529"/>
      <c r="C30" s="275" t="s">
        <v>1166</v>
      </c>
      <c r="D30" s="729">
        <f>SUM(D26:D29)</f>
        <v>19041811.692336556</v>
      </c>
    </row>
    <row r="31" spans="1:8" ht="15.75" customHeight="1">
      <c r="A31" s="274">
        <f t="shared" si="0"/>
        <v>19</v>
      </c>
      <c r="B31" s="529"/>
      <c r="D31" s="455"/>
      <c r="F31" s="731"/>
      <c r="G31" s="96"/>
    </row>
    <row r="32" spans="1:8" ht="15.75" customHeight="1">
      <c r="A32" s="274">
        <f t="shared" si="0"/>
        <v>20</v>
      </c>
      <c r="B32" s="274"/>
      <c r="C32" s="275" t="s">
        <v>67</v>
      </c>
      <c r="D32" s="339">
        <f>D23+D30</f>
        <v>156713246.88095582</v>
      </c>
      <c r="E32" s="284"/>
      <c r="F32" s="96"/>
      <c r="G32" s="96"/>
      <c r="H32" s="597"/>
    </row>
    <row r="33" spans="1:7" ht="15.75" customHeight="1">
      <c r="A33" s="274">
        <f t="shared" si="0"/>
        <v>21</v>
      </c>
      <c r="B33" s="529"/>
      <c r="D33" s="455"/>
      <c r="F33" s="96"/>
      <c r="G33" s="96"/>
    </row>
    <row r="34" spans="1:7" ht="15.75" customHeight="1">
      <c r="A34" s="274">
        <f t="shared" si="0"/>
        <v>22</v>
      </c>
      <c r="B34" s="529"/>
      <c r="C34" s="279" t="s">
        <v>306</v>
      </c>
      <c r="D34" s="455"/>
    </row>
    <row r="35" spans="1:7" ht="15.75" customHeight="1">
      <c r="A35" s="274">
        <f t="shared" si="0"/>
        <v>23</v>
      </c>
      <c r="B35" s="529"/>
      <c r="C35" s="285" t="s">
        <v>667</v>
      </c>
      <c r="D35" s="396"/>
    </row>
    <row r="36" spans="1:7" ht="15.75" customHeight="1">
      <c r="A36" s="274">
        <f t="shared" si="0"/>
        <v>24</v>
      </c>
      <c r="B36" s="531">
        <v>7560</v>
      </c>
      <c r="C36" s="280" t="s">
        <v>330</v>
      </c>
      <c r="D36" s="456">
        <f>'C.2.2 B 09'!P29</f>
        <v>0</v>
      </c>
    </row>
    <row r="37" spans="1:7" ht="15.75" customHeight="1">
      <c r="A37" s="274">
        <f t="shared" si="0"/>
        <v>25</v>
      </c>
      <c r="B37" s="531">
        <v>7590</v>
      </c>
      <c r="C37" s="280" t="s">
        <v>1367</v>
      </c>
      <c r="D37" s="353">
        <f>'C.2.2 B 09'!P30</f>
        <v>0</v>
      </c>
    </row>
    <row r="38" spans="1:7" ht="15.75" customHeight="1">
      <c r="A38" s="274">
        <f t="shared" si="0"/>
        <v>26</v>
      </c>
      <c r="B38" s="529"/>
      <c r="C38" s="286" t="s">
        <v>441</v>
      </c>
      <c r="D38" s="339">
        <f>SUM(D36:D37)</f>
        <v>0</v>
      </c>
    </row>
    <row r="39" spans="1:7" ht="15.75" customHeight="1">
      <c r="A39" s="274">
        <f t="shared" si="0"/>
        <v>27</v>
      </c>
      <c r="B39" s="529"/>
      <c r="C39" s="286"/>
      <c r="D39" s="339"/>
    </row>
    <row r="40" spans="1:7" ht="15.75" customHeight="1">
      <c r="A40" s="274">
        <f t="shared" si="0"/>
        <v>28</v>
      </c>
      <c r="B40" s="529"/>
      <c r="C40" s="285" t="s">
        <v>1149</v>
      </c>
      <c r="D40" s="352"/>
    </row>
    <row r="41" spans="1:7" ht="15.75" customHeight="1">
      <c r="A41" s="274">
        <f t="shared" si="0"/>
        <v>29</v>
      </c>
      <c r="B41" s="531">
        <v>7610</v>
      </c>
      <c r="C41" s="280" t="s">
        <v>1150</v>
      </c>
      <c r="D41" s="491">
        <v>0</v>
      </c>
    </row>
    <row r="42" spans="1:7" ht="15.75" customHeight="1">
      <c r="A42" s="274">
        <f t="shared" si="0"/>
        <v>30</v>
      </c>
      <c r="B42" s="529"/>
      <c r="C42" s="66"/>
      <c r="D42" s="339">
        <f>SUM(D41)</f>
        <v>0</v>
      </c>
    </row>
    <row r="43" spans="1:7" ht="15.75" customHeight="1">
      <c r="A43" s="274">
        <f t="shared" si="0"/>
        <v>31</v>
      </c>
      <c r="B43" s="529"/>
      <c r="C43" s="285" t="s">
        <v>1033</v>
      </c>
      <c r="D43" s="396"/>
    </row>
    <row r="44" spans="1:7" ht="15.75" customHeight="1">
      <c r="A44" s="274">
        <f t="shared" si="0"/>
        <v>32</v>
      </c>
      <c r="B44" s="531">
        <v>8140</v>
      </c>
      <c r="C44" s="280" t="s">
        <v>677</v>
      </c>
      <c r="D44" s="492">
        <f>'C.2.2 B 09'!P46</f>
        <v>0</v>
      </c>
    </row>
    <row r="45" spans="1:7" ht="15.75" customHeight="1">
      <c r="A45" s="274">
        <f t="shared" si="0"/>
        <v>33</v>
      </c>
      <c r="B45" s="531">
        <v>8150</v>
      </c>
      <c r="C45" s="280" t="s">
        <v>298</v>
      </c>
      <c r="D45" s="456">
        <v>0</v>
      </c>
    </row>
    <row r="46" spans="1:7" ht="15.75" customHeight="1">
      <c r="A46" s="274">
        <f t="shared" si="0"/>
        <v>34</v>
      </c>
      <c r="B46" s="531">
        <v>8160</v>
      </c>
      <c r="C46" s="280" t="s">
        <v>512</v>
      </c>
      <c r="D46" s="456">
        <f>'C.2.2 B 09'!P47</f>
        <v>128970.30463018743</v>
      </c>
    </row>
    <row r="47" spans="1:7" ht="15.75" customHeight="1">
      <c r="A47" s="274">
        <f t="shared" si="0"/>
        <v>35</v>
      </c>
      <c r="B47" s="531">
        <v>8170</v>
      </c>
      <c r="C47" s="280" t="s">
        <v>513</v>
      </c>
      <c r="D47" s="456">
        <f>'C.2.2 B 09'!P48</f>
        <v>35012.455108996946</v>
      </c>
    </row>
    <row r="48" spans="1:7" ht="15.75" customHeight="1">
      <c r="A48" s="274">
        <f t="shared" si="0"/>
        <v>36</v>
      </c>
      <c r="B48" s="531">
        <v>8180</v>
      </c>
      <c r="C48" s="280" t="s">
        <v>145</v>
      </c>
      <c r="D48" s="456">
        <f>'C.2.2 B 09'!P49</f>
        <v>34837.861808389884</v>
      </c>
    </row>
    <row r="49" spans="1:4" ht="15.75" customHeight="1">
      <c r="A49" s="274">
        <f t="shared" si="0"/>
        <v>37</v>
      </c>
      <c r="B49" s="532">
        <v>8190</v>
      </c>
      <c r="C49" s="287" t="s">
        <v>146</v>
      </c>
      <c r="D49" s="456">
        <f>'C.2.2 B 09'!P50</f>
        <v>1122.6154937582521</v>
      </c>
    </row>
    <row r="50" spans="1:4" ht="15.75" customHeight="1">
      <c r="A50" s="274">
        <f t="shared" si="0"/>
        <v>38</v>
      </c>
      <c r="B50" s="532">
        <v>8200</v>
      </c>
      <c r="C50" s="287" t="s">
        <v>480</v>
      </c>
      <c r="D50" s="456">
        <f>'C.2.2 B 09'!P51</f>
        <v>3666.7845814151633</v>
      </c>
    </row>
    <row r="51" spans="1:4" ht="15.75" customHeight="1">
      <c r="A51" s="274">
        <f t="shared" si="0"/>
        <v>39</v>
      </c>
      <c r="B51" s="532">
        <v>8210</v>
      </c>
      <c r="C51" s="287" t="s">
        <v>481</v>
      </c>
      <c r="D51" s="456">
        <f>'C.2.2 B 09'!P52</f>
        <v>25634.811314407776</v>
      </c>
    </row>
    <row r="52" spans="1:4" ht="15.75" customHeight="1">
      <c r="A52" s="274">
        <f t="shared" si="0"/>
        <v>40</v>
      </c>
      <c r="B52" s="532">
        <v>8240</v>
      </c>
      <c r="C52" s="287" t="s">
        <v>590</v>
      </c>
      <c r="D52" s="456">
        <f>'C.2.2 B 09'!P53</f>
        <v>0</v>
      </c>
    </row>
    <row r="53" spans="1:4" ht="15.75" customHeight="1">
      <c r="A53" s="274">
        <f t="shared" si="0"/>
        <v>41</v>
      </c>
      <c r="B53" s="532">
        <v>8250</v>
      </c>
      <c r="C53" s="287" t="s">
        <v>643</v>
      </c>
      <c r="D53" s="353">
        <f>'C.2.2 B 09'!P54</f>
        <v>13498.232385991532</v>
      </c>
    </row>
    <row r="54" spans="1:4" ht="15.75" customHeight="1">
      <c r="A54" s="274">
        <f t="shared" si="0"/>
        <v>42</v>
      </c>
      <c r="B54" s="529"/>
      <c r="C54" s="286" t="s">
        <v>1034</v>
      </c>
      <c r="D54" s="339">
        <f>SUM(D44:D53)</f>
        <v>242743.06532314696</v>
      </c>
    </row>
    <row r="55" spans="1:4" ht="15.75" customHeight="1">
      <c r="A55" s="274">
        <f t="shared" si="0"/>
        <v>43</v>
      </c>
      <c r="B55" s="529"/>
      <c r="C55" s="66"/>
      <c r="D55" s="352"/>
    </row>
    <row r="56" spans="1:4" ht="15.75" customHeight="1">
      <c r="A56" s="274">
        <f t="shared" si="0"/>
        <v>44</v>
      </c>
      <c r="B56" s="529"/>
      <c r="C56" s="285" t="s">
        <v>1020</v>
      </c>
      <c r="D56" s="352"/>
    </row>
    <row r="57" spans="1:4" ht="15.75" customHeight="1">
      <c r="A57" s="274">
        <f t="shared" si="0"/>
        <v>45</v>
      </c>
      <c r="B57" s="532">
        <v>8310</v>
      </c>
      <c r="C57" s="287" t="s">
        <v>644</v>
      </c>
      <c r="D57" s="492">
        <f>'C.2.2 B 09'!P55</f>
        <v>15144.962592184031</v>
      </c>
    </row>
    <row r="58" spans="1:4" ht="15.75" customHeight="1">
      <c r="A58" s="274">
        <f t="shared" si="0"/>
        <v>46</v>
      </c>
      <c r="B58" s="532">
        <v>8320</v>
      </c>
      <c r="C58" s="287" t="s">
        <v>645</v>
      </c>
      <c r="D58" s="456">
        <v>0</v>
      </c>
    </row>
    <row r="59" spans="1:4" ht="15.75" customHeight="1">
      <c r="A59" s="274">
        <f t="shared" si="0"/>
        <v>47</v>
      </c>
      <c r="B59" s="532">
        <v>8340</v>
      </c>
      <c r="C59" s="287" t="s">
        <v>646</v>
      </c>
      <c r="D59" s="456">
        <f>'C.2.2 B 09'!P56</f>
        <v>11247.78480437396</v>
      </c>
    </row>
    <row r="60" spans="1:4" ht="15.75" customHeight="1">
      <c r="A60" s="274">
        <f t="shared" si="0"/>
        <v>48</v>
      </c>
      <c r="B60" s="532">
        <v>8350</v>
      </c>
      <c r="C60" s="287" t="s">
        <v>647</v>
      </c>
      <c r="D60" s="456">
        <f>'C.2.2 B 09'!P57</f>
        <v>0</v>
      </c>
    </row>
    <row r="61" spans="1:4" ht="15.75" customHeight="1">
      <c r="A61" s="274">
        <f t="shared" si="0"/>
        <v>49</v>
      </c>
      <c r="B61" s="532">
        <v>8360</v>
      </c>
      <c r="C61" s="287" t="s">
        <v>1049</v>
      </c>
      <c r="D61" s="456">
        <f>'C.2.2 B 09'!P58</f>
        <v>0</v>
      </c>
    </row>
    <row r="62" spans="1:4" ht="15.75" customHeight="1">
      <c r="A62" s="274">
        <f t="shared" si="0"/>
        <v>50</v>
      </c>
      <c r="B62" s="532">
        <v>8370</v>
      </c>
      <c r="C62" s="287" t="s">
        <v>1360</v>
      </c>
      <c r="D62" s="456">
        <f>'C.2.2 B 09'!P59</f>
        <v>0</v>
      </c>
    </row>
    <row r="63" spans="1:4" ht="15.75" customHeight="1">
      <c r="A63" s="274">
        <f t="shared" si="0"/>
        <v>51</v>
      </c>
      <c r="B63" s="533" t="s">
        <v>299</v>
      </c>
      <c r="C63" s="287" t="s">
        <v>452</v>
      </c>
      <c r="D63" s="456">
        <f>'C.2.2 B 09'!P60</f>
        <v>133472.94446389066</v>
      </c>
    </row>
    <row r="64" spans="1:4" ht="15.75" customHeight="1">
      <c r="A64" s="274">
        <f t="shared" si="0"/>
        <v>52</v>
      </c>
      <c r="B64" s="529"/>
      <c r="C64" s="286" t="s">
        <v>1035</v>
      </c>
      <c r="D64" s="729">
        <f>SUM(D57:D63)</f>
        <v>159865.69186044866</v>
      </c>
    </row>
    <row r="65" spans="1:7" ht="15.75" customHeight="1">
      <c r="A65" s="274">
        <f t="shared" si="0"/>
        <v>53</v>
      </c>
      <c r="B65" s="529"/>
      <c r="C65" s="66"/>
      <c r="D65" s="352"/>
    </row>
    <row r="66" spans="1:7" ht="15.75" customHeight="1">
      <c r="A66" s="274">
        <f t="shared" si="0"/>
        <v>54</v>
      </c>
      <c r="B66" s="529"/>
      <c r="C66" s="285" t="s">
        <v>1036</v>
      </c>
      <c r="D66" s="352"/>
    </row>
    <row r="67" spans="1:7" ht="15.75" customHeight="1">
      <c r="A67" s="274">
        <f t="shared" si="0"/>
        <v>55</v>
      </c>
      <c r="B67" s="532">
        <v>8500</v>
      </c>
      <c r="C67" s="287" t="s">
        <v>677</v>
      </c>
      <c r="D67" s="492">
        <v>0</v>
      </c>
    </row>
    <row r="68" spans="1:7" ht="15.75" customHeight="1">
      <c r="A68" s="274">
        <f t="shared" si="0"/>
        <v>56</v>
      </c>
      <c r="B68" s="532">
        <v>8520</v>
      </c>
      <c r="C68" s="287" t="s">
        <v>1361</v>
      </c>
      <c r="D68" s="456">
        <f>'C.2.2 B 09'!P61</f>
        <v>0</v>
      </c>
      <c r="G68" s="799"/>
    </row>
    <row r="69" spans="1:7" ht="15.75" customHeight="1">
      <c r="A69" s="274">
        <f t="shared" si="0"/>
        <v>57</v>
      </c>
      <c r="B69" s="532">
        <v>8550</v>
      </c>
      <c r="C69" s="287" t="s">
        <v>1417</v>
      </c>
      <c r="D69" s="456">
        <f>'C.2.2 B 09'!P62</f>
        <v>332.03626380790166</v>
      </c>
      <c r="G69" s="799"/>
    </row>
    <row r="70" spans="1:7" ht="15.75" customHeight="1">
      <c r="A70" s="274">
        <f t="shared" si="0"/>
        <v>58</v>
      </c>
      <c r="B70" s="532">
        <v>8560</v>
      </c>
      <c r="C70" s="287" t="s">
        <v>648</v>
      </c>
      <c r="D70" s="456">
        <f>'C.2.2 B 09'!P63</f>
        <v>252639.51159502778</v>
      </c>
    </row>
    <row r="71" spans="1:7" ht="15.75" customHeight="1">
      <c r="A71" s="274">
        <f t="shared" si="0"/>
        <v>59</v>
      </c>
      <c r="B71" s="532">
        <v>8570</v>
      </c>
      <c r="C71" s="287" t="s">
        <v>649</v>
      </c>
      <c r="D71" s="456">
        <f>'C.2.2 B 09'!P64</f>
        <v>11617.869592657094</v>
      </c>
    </row>
    <row r="72" spans="1:7" ht="15.75" customHeight="1">
      <c r="A72" s="274">
        <f t="shared" si="0"/>
        <v>60</v>
      </c>
      <c r="B72" s="532">
        <v>8590</v>
      </c>
      <c r="C72" s="287" t="s">
        <v>652</v>
      </c>
      <c r="D72" s="456">
        <v>0</v>
      </c>
    </row>
    <row r="73" spans="1:7" ht="15.75" customHeight="1">
      <c r="A73" s="274">
        <f t="shared" si="0"/>
        <v>61</v>
      </c>
      <c r="B73" s="532">
        <v>8600</v>
      </c>
      <c r="C73" s="287" t="s">
        <v>776</v>
      </c>
      <c r="D73" s="353">
        <v>0</v>
      </c>
    </row>
    <row r="74" spans="1:7" ht="15.75" customHeight="1">
      <c r="A74" s="274">
        <f t="shared" si="0"/>
        <v>62</v>
      </c>
      <c r="B74" s="529"/>
      <c r="C74" s="286" t="s">
        <v>1012</v>
      </c>
      <c r="D74" s="339">
        <f>SUM(D67:D73)</f>
        <v>264589.4174514928</v>
      </c>
    </row>
    <row r="75" spans="1:7" ht="15.75" customHeight="1">
      <c r="A75" s="274">
        <f t="shared" si="0"/>
        <v>63</v>
      </c>
      <c r="B75" s="529"/>
      <c r="C75" s="66"/>
      <c r="D75" s="352"/>
    </row>
    <row r="76" spans="1:7" ht="15.75" customHeight="1">
      <c r="A76" s="274">
        <f t="shared" si="0"/>
        <v>64</v>
      </c>
      <c r="B76" s="529"/>
      <c r="C76" s="285" t="s">
        <v>1013</v>
      </c>
      <c r="D76" s="352"/>
    </row>
    <row r="77" spans="1:7" ht="15.75" customHeight="1">
      <c r="A77" s="274">
        <f t="shared" si="0"/>
        <v>65</v>
      </c>
      <c r="B77" s="532">
        <v>8620</v>
      </c>
      <c r="C77" s="287" t="s">
        <v>977</v>
      </c>
      <c r="D77" s="492">
        <v>0</v>
      </c>
    </row>
    <row r="78" spans="1:7" ht="15.75" customHeight="1">
      <c r="A78" s="274">
        <f t="shared" si="0"/>
        <v>66</v>
      </c>
      <c r="B78" s="532">
        <v>8630</v>
      </c>
      <c r="C78" s="287" t="s">
        <v>511</v>
      </c>
      <c r="D78" s="456">
        <f>'C.2.2 B 09'!P65</f>
        <v>2900.0863154740337</v>
      </c>
    </row>
    <row r="79" spans="1:7" ht="15.75" customHeight="1">
      <c r="A79" s="274">
        <f t="shared" si="0"/>
        <v>67</v>
      </c>
      <c r="B79" s="532">
        <v>8640</v>
      </c>
      <c r="C79" s="287" t="s">
        <v>597</v>
      </c>
      <c r="D79" s="456">
        <f>'C.2.2 B 09'!P66</f>
        <v>0</v>
      </c>
    </row>
    <row r="80" spans="1:7" ht="15.75" customHeight="1">
      <c r="A80" s="274">
        <f t="shared" si="0"/>
        <v>68</v>
      </c>
      <c r="B80" s="532">
        <v>8650</v>
      </c>
      <c r="C80" s="287" t="s">
        <v>650</v>
      </c>
      <c r="D80" s="456">
        <f>'C.2.2 B 09'!P67</f>
        <v>395.6378654704647</v>
      </c>
    </row>
    <row r="81" spans="1:5" ht="15.75" customHeight="1">
      <c r="A81" s="274">
        <f t="shared" si="0"/>
        <v>69</v>
      </c>
      <c r="B81" s="532">
        <v>8670</v>
      </c>
      <c r="C81" s="287" t="s">
        <v>651</v>
      </c>
      <c r="D81" s="353">
        <v>0</v>
      </c>
    </row>
    <row r="82" spans="1:5" ht="15.75" customHeight="1">
      <c r="A82" s="274">
        <f t="shared" si="0"/>
        <v>70</v>
      </c>
      <c r="B82" s="529"/>
      <c r="C82" s="286" t="s">
        <v>1014</v>
      </c>
      <c r="D82" s="339">
        <f>SUM(D77:D81)</f>
        <v>3295.7241809444986</v>
      </c>
    </row>
    <row r="83" spans="1:5" ht="15.75" customHeight="1">
      <c r="A83" s="274">
        <f t="shared" si="0"/>
        <v>71</v>
      </c>
      <c r="B83" s="529"/>
      <c r="C83" s="66"/>
      <c r="D83" s="352"/>
    </row>
    <row r="84" spans="1:5" ht="15.75" customHeight="1">
      <c r="A84" s="274">
        <f t="shared" si="0"/>
        <v>72</v>
      </c>
      <c r="B84" s="529"/>
      <c r="C84" s="285" t="s">
        <v>331</v>
      </c>
      <c r="D84" s="455"/>
    </row>
    <row r="85" spans="1:5" ht="15.75" customHeight="1">
      <c r="A85" s="274">
        <f t="shared" ref="A85:A148" si="1">A84+1</f>
        <v>73</v>
      </c>
      <c r="B85" s="528">
        <v>8001</v>
      </c>
      <c r="C85" s="280" t="s">
        <v>874</v>
      </c>
      <c r="D85" s="492">
        <f>'C.2.2 B 09'!P31</f>
        <v>0</v>
      </c>
      <c r="E85" s="311"/>
    </row>
    <row r="86" spans="1:5" ht="15.75" customHeight="1">
      <c r="A86" s="274">
        <f t="shared" si="1"/>
        <v>74</v>
      </c>
      <c r="B86" s="528">
        <v>8010</v>
      </c>
      <c r="C86" s="92" t="s">
        <v>1222</v>
      </c>
      <c r="D86" s="456">
        <f>'C.2.2 B 09'!P32</f>
        <v>73968.876695950108</v>
      </c>
      <c r="E86" s="311"/>
    </row>
    <row r="87" spans="1:5" ht="15.75" customHeight="1">
      <c r="A87" s="274">
        <f t="shared" si="1"/>
        <v>75</v>
      </c>
      <c r="B87" s="528">
        <v>8040</v>
      </c>
      <c r="C87" s="275" t="s">
        <v>307</v>
      </c>
      <c r="D87" s="456">
        <f>'C.2.2 B 09'!P33</f>
        <v>51863463.289276235</v>
      </c>
      <c r="E87" s="311"/>
    </row>
    <row r="88" spans="1:5" ht="15.75" customHeight="1">
      <c r="A88" s="274">
        <f t="shared" si="1"/>
        <v>76</v>
      </c>
      <c r="B88" s="528">
        <v>8045</v>
      </c>
      <c r="C88" s="275" t="s">
        <v>1147</v>
      </c>
      <c r="D88" s="456">
        <v>0</v>
      </c>
      <c r="E88" s="311"/>
    </row>
    <row r="89" spans="1:5" ht="15.75" customHeight="1">
      <c r="A89" s="274">
        <f t="shared" si="1"/>
        <v>77</v>
      </c>
      <c r="B89" s="528">
        <v>8050</v>
      </c>
      <c r="C89" s="280" t="s">
        <v>916</v>
      </c>
      <c r="D89" s="456">
        <f>'C.2.2 B 09'!P34</f>
        <v>-16802.690165322019</v>
      </c>
      <c r="E89" s="311"/>
    </row>
    <row r="90" spans="1:5" ht="15.75" customHeight="1">
      <c r="A90" s="274">
        <f t="shared" si="1"/>
        <v>78</v>
      </c>
      <c r="B90" s="528">
        <v>8051</v>
      </c>
      <c r="C90" s="275" t="s">
        <v>818</v>
      </c>
      <c r="D90" s="456">
        <f>'C.2.2 B 09'!P35</f>
        <v>36547883.56070222</v>
      </c>
      <c r="E90" s="311"/>
    </row>
    <row r="91" spans="1:5" ht="15.75" customHeight="1">
      <c r="A91" s="274">
        <f t="shared" si="1"/>
        <v>79</v>
      </c>
      <c r="B91" s="528">
        <v>8052</v>
      </c>
      <c r="C91" s="275" t="s">
        <v>426</v>
      </c>
      <c r="D91" s="456">
        <f>'C.2.2 B 09'!P36</f>
        <v>19322135.571964119</v>
      </c>
      <c r="E91" s="311"/>
    </row>
    <row r="92" spans="1:5" ht="15.75" customHeight="1">
      <c r="A92" s="274">
        <f t="shared" si="1"/>
        <v>80</v>
      </c>
      <c r="B92" s="528">
        <v>8053</v>
      </c>
      <c r="C92" s="275" t="s">
        <v>842</v>
      </c>
      <c r="D92" s="456">
        <f>'C.2.2 B 09'!P37</f>
        <v>4914402.3401601929</v>
      </c>
      <c r="E92" s="311"/>
    </row>
    <row r="93" spans="1:5" ht="15.75" customHeight="1">
      <c r="A93" s="274">
        <f t="shared" si="1"/>
        <v>81</v>
      </c>
      <c r="B93" s="528">
        <v>8054</v>
      </c>
      <c r="C93" s="275" t="s">
        <v>843</v>
      </c>
      <c r="D93" s="456">
        <f>'C.2.2 B 09'!P38</f>
        <v>3720082.4440469779</v>
      </c>
      <c r="E93" s="311"/>
    </row>
    <row r="94" spans="1:5" ht="15.75" customHeight="1">
      <c r="A94" s="274">
        <f t="shared" si="1"/>
        <v>82</v>
      </c>
      <c r="B94" s="528">
        <v>8057</v>
      </c>
      <c r="C94" s="275" t="s">
        <v>282</v>
      </c>
      <c r="D94" s="456">
        <v>0</v>
      </c>
      <c r="E94" s="311"/>
    </row>
    <row r="95" spans="1:5" ht="15.75" customHeight="1">
      <c r="A95" s="274">
        <f t="shared" si="1"/>
        <v>83</v>
      </c>
      <c r="B95" s="528">
        <v>8058</v>
      </c>
      <c r="C95" s="275" t="s">
        <v>283</v>
      </c>
      <c r="D95" s="456">
        <f>'C.2.2 B 09'!P39</f>
        <v>1061715.060666963</v>
      </c>
      <c r="E95" s="311"/>
    </row>
    <row r="96" spans="1:5" ht="15.75" customHeight="1">
      <c r="A96" s="274">
        <f t="shared" si="1"/>
        <v>84</v>
      </c>
      <c r="B96" s="528">
        <v>8059</v>
      </c>
      <c r="C96" s="275" t="s">
        <v>284</v>
      </c>
      <c r="D96" s="456">
        <f>'C.2.2 B 09'!P40</f>
        <v>-74730667.771736294</v>
      </c>
      <c r="E96" s="311"/>
    </row>
    <row r="97" spans="1:6" ht="15.75" customHeight="1">
      <c r="A97" s="274">
        <f t="shared" si="1"/>
        <v>85</v>
      </c>
      <c r="B97" s="528">
        <v>8060</v>
      </c>
      <c r="C97" s="275" t="s">
        <v>1015</v>
      </c>
      <c r="D97" s="456">
        <f>'C.2.2 B 09'!P41</f>
        <v>1872117.4936615911</v>
      </c>
      <c r="E97" s="311"/>
    </row>
    <row r="98" spans="1:6" ht="15.75" customHeight="1">
      <c r="A98" s="274">
        <f t="shared" si="1"/>
        <v>86</v>
      </c>
      <c r="B98" s="528">
        <v>8081</v>
      </c>
      <c r="C98" s="275" t="s">
        <v>285</v>
      </c>
      <c r="D98" s="456">
        <f>'C.2.2 B 09'!P42</f>
        <v>10862929.794191871</v>
      </c>
      <c r="E98" s="311"/>
    </row>
    <row r="99" spans="1:6" ht="15.75" customHeight="1">
      <c r="A99" s="274">
        <f t="shared" si="1"/>
        <v>87</v>
      </c>
      <c r="B99" s="528">
        <v>8082</v>
      </c>
      <c r="C99" s="275" t="s">
        <v>68</v>
      </c>
      <c r="D99" s="456">
        <f>'C.2.2 B 09'!P43</f>
        <v>-17187952.161440887</v>
      </c>
      <c r="E99" s="311"/>
    </row>
    <row r="100" spans="1:6" ht="15.75" customHeight="1">
      <c r="A100" s="274">
        <f t="shared" si="1"/>
        <v>88</v>
      </c>
      <c r="B100" s="528">
        <v>8110</v>
      </c>
      <c r="C100" s="275" t="s">
        <v>1223</v>
      </c>
      <c r="D100" s="456">
        <v>0</v>
      </c>
      <c r="E100" s="311"/>
    </row>
    <row r="101" spans="1:6" ht="15.75" customHeight="1">
      <c r="A101" s="274">
        <f t="shared" si="1"/>
        <v>89</v>
      </c>
      <c r="B101" s="528">
        <v>8120</v>
      </c>
      <c r="C101" s="275" t="s">
        <v>1031</v>
      </c>
      <c r="D101" s="456">
        <f>'C.2.2 B 09'!P44</f>
        <v>-20204.596324208855</v>
      </c>
      <c r="E101" s="311"/>
    </row>
    <row r="102" spans="1:6" ht="15.75" customHeight="1">
      <c r="A102" s="274">
        <f t="shared" si="1"/>
        <v>90</v>
      </c>
      <c r="B102" s="528">
        <v>8130</v>
      </c>
      <c r="C102" s="275" t="s">
        <v>1031</v>
      </c>
      <c r="D102" s="456">
        <v>0</v>
      </c>
      <c r="E102" s="311"/>
    </row>
    <row r="103" spans="1:6" ht="15.75" customHeight="1">
      <c r="A103" s="274">
        <f t="shared" si="1"/>
        <v>91</v>
      </c>
      <c r="B103" s="528">
        <v>8580</v>
      </c>
      <c r="C103" s="275" t="s">
        <v>1221</v>
      </c>
      <c r="D103" s="353">
        <f>'C.2.2 B 09'!P45</f>
        <v>27262943.169516858</v>
      </c>
      <c r="E103" s="311"/>
      <c r="F103" s="591"/>
    </row>
    <row r="104" spans="1:6" ht="15.75" customHeight="1">
      <c r="A104" s="274">
        <f t="shared" si="1"/>
        <v>92</v>
      </c>
      <c r="B104" s="529"/>
      <c r="C104" s="288" t="s">
        <v>1032</v>
      </c>
      <c r="D104" s="339">
        <f>SUM(D85:D103)</f>
        <v>65546014.381216273</v>
      </c>
      <c r="F104" s="86"/>
    </row>
    <row r="105" spans="1:6" ht="15.75" customHeight="1">
      <c r="A105" s="274">
        <f t="shared" si="1"/>
        <v>93</v>
      </c>
      <c r="B105" s="529"/>
      <c r="D105" s="396"/>
    </row>
    <row r="106" spans="1:6" ht="15.75" customHeight="1">
      <c r="A106" s="274">
        <f t="shared" si="1"/>
        <v>94</v>
      </c>
      <c r="B106" s="529"/>
      <c r="C106" s="285" t="s">
        <v>1059</v>
      </c>
      <c r="D106" s="396"/>
    </row>
    <row r="107" spans="1:6" ht="15.75" customHeight="1">
      <c r="A107" s="274">
        <f t="shared" si="1"/>
        <v>95</v>
      </c>
      <c r="B107" s="528">
        <v>8700</v>
      </c>
      <c r="C107" s="280" t="s">
        <v>653</v>
      </c>
      <c r="D107" s="492">
        <f>'C.2.2 B 09'!P68</f>
        <v>1193064.7758118485</v>
      </c>
    </row>
    <row r="108" spans="1:6" ht="15.75" customHeight="1">
      <c r="A108" s="274">
        <f t="shared" si="1"/>
        <v>96</v>
      </c>
      <c r="B108" s="528">
        <v>8710</v>
      </c>
      <c r="C108" s="280" t="s">
        <v>654</v>
      </c>
      <c r="D108" s="456">
        <f>'C.2.2 B 09'!P69</f>
        <v>1103.2196448664054</v>
      </c>
    </row>
    <row r="109" spans="1:6" ht="15.75" customHeight="1">
      <c r="A109" s="274">
        <f t="shared" si="1"/>
        <v>97</v>
      </c>
      <c r="B109" s="528">
        <v>8711</v>
      </c>
      <c r="C109" s="275" t="s">
        <v>348</v>
      </c>
      <c r="D109" s="456">
        <f>'C.2.2 B 09'!P70</f>
        <v>2544.7323411015291</v>
      </c>
    </row>
    <row r="110" spans="1:6" ht="15.75" customHeight="1">
      <c r="A110" s="274">
        <f t="shared" si="1"/>
        <v>98</v>
      </c>
      <c r="B110" s="528">
        <v>8720</v>
      </c>
      <c r="C110" s="280" t="s">
        <v>969</v>
      </c>
      <c r="D110" s="456">
        <f>'C.2.2 B 09'!P71</f>
        <v>0</v>
      </c>
    </row>
    <row r="111" spans="1:6" ht="15.75" customHeight="1">
      <c r="A111" s="274">
        <f t="shared" si="1"/>
        <v>99</v>
      </c>
      <c r="B111" s="528">
        <v>8740</v>
      </c>
      <c r="C111" s="280" t="s">
        <v>970</v>
      </c>
      <c r="D111" s="456">
        <f>'C.2.2 B 09'!P72</f>
        <v>3300058.753444274</v>
      </c>
    </row>
    <row r="112" spans="1:6" ht="15.75" customHeight="1">
      <c r="A112" s="274">
        <f t="shared" si="1"/>
        <v>100</v>
      </c>
      <c r="B112" s="528">
        <v>8750</v>
      </c>
      <c r="C112" s="280" t="s">
        <v>974</v>
      </c>
      <c r="D112" s="456">
        <f>'C.2.2 B 09'!P73</f>
        <v>478055.06217812601</v>
      </c>
    </row>
    <row r="113" spans="1:4" ht="15.75" customHeight="1">
      <c r="A113" s="274">
        <f t="shared" si="1"/>
        <v>101</v>
      </c>
      <c r="B113" s="528">
        <v>8760</v>
      </c>
      <c r="C113" s="280" t="s">
        <v>975</v>
      </c>
      <c r="D113" s="456">
        <f>'C.2.2 B 09'!P74</f>
        <v>30153.919069219461</v>
      </c>
    </row>
    <row r="114" spans="1:4" ht="15.75" customHeight="1">
      <c r="A114" s="274">
        <f t="shared" si="1"/>
        <v>102</v>
      </c>
      <c r="B114" s="528">
        <v>8770</v>
      </c>
      <c r="C114" s="280" t="s">
        <v>976</v>
      </c>
      <c r="D114" s="456">
        <f>'C.2.2 B 09'!P75</f>
        <v>22074.208092721281</v>
      </c>
    </row>
    <row r="115" spans="1:4" ht="15.75" customHeight="1">
      <c r="A115" s="274">
        <f t="shared" si="1"/>
        <v>103</v>
      </c>
      <c r="B115" s="528">
        <v>8780</v>
      </c>
      <c r="C115" s="280" t="s">
        <v>971</v>
      </c>
      <c r="D115" s="456">
        <f>'C.2.2 B 09'!P76</f>
        <v>934416.13374619116</v>
      </c>
    </row>
    <row r="116" spans="1:4" ht="15.75" customHeight="1">
      <c r="A116" s="274">
        <f t="shared" si="1"/>
        <v>104</v>
      </c>
      <c r="B116" s="528">
        <v>8790</v>
      </c>
      <c r="C116" s="280" t="s">
        <v>972</v>
      </c>
      <c r="D116" s="456">
        <f>'C.2.2 B 09'!P77</f>
        <v>4013.7773096211868</v>
      </c>
    </row>
    <row r="117" spans="1:4" ht="15.75" customHeight="1">
      <c r="A117" s="274">
        <f t="shared" si="1"/>
        <v>105</v>
      </c>
      <c r="B117" s="528">
        <v>8800</v>
      </c>
      <c r="C117" s="280" t="s">
        <v>973</v>
      </c>
      <c r="D117" s="456">
        <f>'C.2.2 B 09'!P78</f>
        <v>149633.49444794879</v>
      </c>
    </row>
    <row r="118" spans="1:4" ht="15.75" customHeight="1">
      <c r="A118" s="274">
        <f t="shared" si="1"/>
        <v>106</v>
      </c>
      <c r="B118" s="528">
        <v>8810</v>
      </c>
      <c r="C118" s="280" t="s">
        <v>776</v>
      </c>
      <c r="D118" s="353">
        <f>'C.2.2 B 09'!P79</f>
        <v>383107.51066346146</v>
      </c>
    </row>
    <row r="119" spans="1:4" ht="15.75" customHeight="1">
      <c r="A119" s="274">
        <f t="shared" si="1"/>
        <v>107</v>
      </c>
      <c r="B119" s="529"/>
      <c r="C119" s="286" t="s">
        <v>665</v>
      </c>
      <c r="D119" s="339">
        <f>SUM(D107:D118)</f>
        <v>6498225.5867493786</v>
      </c>
    </row>
    <row r="120" spans="1:4" ht="15.75" customHeight="1">
      <c r="A120" s="274">
        <f t="shared" si="1"/>
        <v>108</v>
      </c>
      <c r="B120" s="529"/>
      <c r="C120" s="66"/>
      <c r="D120" s="352"/>
    </row>
    <row r="121" spans="1:4" ht="15.75" customHeight="1">
      <c r="A121" s="274">
        <f t="shared" si="1"/>
        <v>109</v>
      </c>
      <c r="B121" s="274"/>
      <c r="C121" s="285" t="s">
        <v>666</v>
      </c>
      <c r="D121" s="455"/>
    </row>
    <row r="122" spans="1:4" ht="15.75" customHeight="1">
      <c r="A122" s="274">
        <f t="shared" si="1"/>
        <v>110</v>
      </c>
      <c r="B122" s="528">
        <v>8850</v>
      </c>
      <c r="C122" s="280" t="s">
        <v>653</v>
      </c>
      <c r="D122" s="492">
        <f>'C.2.2 B 09'!P80</f>
        <v>1623.0670662596563</v>
      </c>
    </row>
    <row r="123" spans="1:4" ht="15.75" customHeight="1">
      <c r="A123" s="274">
        <f t="shared" si="1"/>
        <v>111</v>
      </c>
      <c r="B123" s="528">
        <v>8860</v>
      </c>
      <c r="C123" s="280" t="s">
        <v>977</v>
      </c>
      <c r="D123" s="456">
        <f>'C.2.2 B 09'!P81</f>
        <v>299.69783559778364</v>
      </c>
    </row>
    <row r="124" spans="1:4" ht="15.75" customHeight="1">
      <c r="A124" s="274">
        <f t="shared" si="1"/>
        <v>112</v>
      </c>
      <c r="B124" s="528">
        <v>8870</v>
      </c>
      <c r="C124" s="280" t="s">
        <v>511</v>
      </c>
      <c r="D124" s="456">
        <f>'C.2.2 B 09'!P82</f>
        <v>29454.642555986084</v>
      </c>
    </row>
    <row r="125" spans="1:4" ht="15.75" customHeight="1">
      <c r="A125" s="274">
        <f t="shared" si="1"/>
        <v>113</v>
      </c>
      <c r="B125" s="528">
        <v>8890</v>
      </c>
      <c r="C125" s="280" t="s">
        <v>974</v>
      </c>
      <c r="D125" s="456">
        <f>'C.2.2 B 09'!P83</f>
        <v>36.114656480308867</v>
      </c>
    </row>
    <row r="126" spans="1:4" ht="15.75" customHeight="1">
      <c r="A126" s="274">
        <f t="shared" si="1"/>
        <v>114</v>
      </c>
      <c r="B126" s="528">
        <v>8900</v>
      </c>
      <c r="C126" s="280" t="s">
        <v>975</v>
      </c>
      <c r="D126" s="456">
        <f>'C.2.2 B 09'!P84</f>
        <v>8796.2837416703478</v>
      </c>
    </row>
    <row r="127" spans="1:4" ht="15.75" customHeight="1">
      <c r="A127" s="274">
        <f t="shared" si="1"/>
        <v>115</v>
      </c>
      <c r="B127" s="528">
        <v>8910</v>
      </c>
      <c r="C127" s="280" t="s">
        <v>976</v>
      </c>
      <c r="D127" s="456">
        <f>'C.2.2 B 09'!P85</f>
        <v>4280.7808136643916</v>
      </c>
    </row>
    <row r="128" spans="1:4" ht="15.75" customHeight="1">
      <c r="A128" s="274">
        <f t="shared" si="1"/>
        <v>116</v>
      </c>
      <c r="B128" s="528">
        <v>8920</v>
      </c>
      <c r="C128" s="280" t="s">
        <v>1061</v>
      </c>
      <c r="D128" s="456">
        <f>'C.2.2 B 09'!P86</f>
        <v>101.95075333814162</v>
      </c>
    </row>
    <row r="129" spans="1:5" ht="15.75" customHeight="1">
      <c r="A129" s="274">
        <f t="shared" si="1"/>
        <v>117</v>
      </c>
      <c r="B129" s="528">
        <v>8930</v>
      </c>
      <c r="C129" s="280" t="s">
        <v>978</v>
      </c>
      <c r="D129" s="456">
        <f>'C.2.2 B 09'!P87</f>
        <v>89917.213566702529</v>
      </c>
    </row>
    <row r="130" spans="1:5" ht="15.75" customHeight="1">
      <c r="A130" s="274">
        <f t="shared" si="1"/>
        <v>118</v>
      </c>
      <c r="B130" s="528">
        <v>8940</v>
      </c>
      <c r="C130" s="280" t="s">
        <v>651</v>
      </c>
      <c r="D130" s="456">
        <f>'C.2.2 B 09'!P88</f>
        <v>11082.624415208618</v>
      </c>
    </row>
    <row r="131" spans="1:5" ht="15.75" customHeight="1">
      <c r="A131" s="274">
        <f t="shared" si="1"/>
        <v>119</v>
      </c>
      <c r="B131" s="528">
        <v>8950</v>
      </c>
      <c r="C131" s="280" t="s">
        <v>297</v>
      </c>
      <c r="D131" s="353">
        <v>0</v>
      </c>
    </row>
    <row r="132" spans="1:5" ht="15.75" customHeight="1">
      <c r="A132" s="274">
        <f t="shared" si="1"/>
        <v>120</v>
      </c>
      <c r="B132" s="529"/>
      <c r="C132" s="286" t="s">
        <v>427</v>
      </c>
      <c r="D132" s="339">
        <f>SUM(D122:D131)</f>
        <v>145592.37540490786</v>
      </c>
    </row>
    <row r="133" spans="1:5" ht="15.75" customHeight="1">
      <c r="A133" s="274">
        <f t="shared" si="1"/>
        <v>121</v>
      </c>
      <c r="B133" s="529"/>
      <c r="C133" s="286"/>
      <c r="D133" s="352"/>
    </row>
    <row r="134" spans="1:5" ht="15.75" customHeight="1">
      <c r="A134" s="274">
        <f t="shared" si="1"/>
        <v>122</v>
      </c>
      <c r="B134" s="274"/>
      <c r="C134" s="285" t="s">
        <v>428</v>
      </c>
      <c r="D134" s="455"/>
    </row>
    <row r="135" spans="1:5" ht="15.75" customHeight="1">
      <c r="A135" s="274">
        <f t="shared" si="1"/>
        <v>123</v>
      </c>
      <c r="B135" s="528">
        <v>9010</v>
      </c>
      <c r="C135" s="280" t="s">
        <v>483</v>
      </c>
      <c r="D135" s="492">
        <f>'C.2.2 B 09'!P89</f>
        <v>406.0930132024418</v>
      </c>
    </row>
    <row r="136" spans="1:5" ht="15.75" customHeight="1">
      <c r="A136" s="274">
        <f t="shared" si="1"/>
        <v>124</v>
      </c>
      <c r="B136" s="528">
        <v>9020</v>
      </c>
      <c r="C136" s="280" t="s">
        <v>672</v>
      </c>
      <c r="D136" s="456">
        <f>'C.2.2 B 09'!P90</f>
        <v>1186801.9868062921</v>
      </c>
    </row>
    <row r="137" spans="1:5" ht="15.75" customHeight="1">
      <c r="A137" s="274">
        <f t="shared" si="1"/>
        <v>125</v>
      </c>
      <c r="B137" s="528">
        <v>9030</v>
      </c>
      <c r="C137" s="280" t="s">
        <v>979</v>
      </c>
      <c r="D137" s="456">
        <f>'C.2.2 B 09'!P91</f>
        <v>1660971.6767347548</v>
      </c>
    </row>
    <row r="138" spans="1:5" ht="15.75" customHeight="1">
      <c r="A138" s="274">
        <f t="shared" si="1"/>
        <v>126</v>
      </c>
      <c r="B138" s="528">
        <v>9040</v>
      </c>
      <c r="C138" s="280" t="s">
        <v>673</v>
      </c>
      <c r="D138" s="353">
        <f>'C.2.2 B 09'!P92</f>
        <v>369911.19170000002</v>
      </c>
      <c r="E138" s="577"/>
    </row>
    <row r="139" spans="1:5" ht="15.75" customHeight="1">
      <c r="A139" s="274">
        <f t="shared" si="1"/>
        <v>127</v>
      </c>
      <c r="B139" s="274"/>
      <c r="C139" s="286" t="s">
        <v>549</v>
      </c>
      <c r="D139" s="339">
        <f>SUM(D135:D138)</f>
        <v>3218090.9482542495</v>
      </c>
    </row>
    <row r="140" spans="1:5" ht="15.75" customHeight="1">
      <c r="A140" s="274">
        <f t="shared" si="1"/>
        <v>128</v>
      </c>
      <c r="B140" s="529"/>
      <c r="C140" s="286"/>
      <c r="D140" s="352"/>
    </row>
    <row r="141" spans="1:5" ht="15.75" customHeight="1">
      <c r="A141" s="274">
        <f t="shared" si="1"/>
        <v>129</v>
      </c>
      <c r="B141" s="529"/>
      <c r="C141" s="285" t="s">
        <v>550</v>
      </c>
      <c r="D141" s="396"/>
    </row>
    <row r="142" spans="1:5" ht="15.75" customHeight="1">
      <c r="A142" s="274">
        <f t="shared" si="1"/>
        <v>130</v>
      </c>
      <c r="B142" s="528">
        <v>9070</v>
      </c>
      <c r="C142" s="280" t="s">
        <v>483</v>
      </c>
      <c r="D142" s="492">
        <v>0</v>
      </c>
    </row>
    <row r="143" spans="1:5" ht="15.75" customHeight="1">
      <c r="A143" s="274">
        <f t="shared" si="1"/>
        <v>131</v>
      </c>
      <c r="B143" s="528">
        <v>9080</v>
      </c>
      <c r="C143" s="280" t="s">
        <v>671</v>
      </c>
      <c r="D143" s="456">
        <v>0</v>
      </c>
    </row>
    <row r="144" spans="1:5" ht="15.75" customHeight="1">
      <c r="A144" s="274">
        <f t="shared" si="1"/>
        <v>132</v>
      </c>
      <c r="B144" s="528">
        <v>9090</v>
      </c>
      <c r="C144" s="280" t="s">
        <v>670</v>
      </c>
      <c r="D144" s="456">
        <f>'C.2.2 B 09'!P93</f>
        <v>134412.29365729415</v>
      </c>
    </row>
    <row r="145" spans="1:4" ht="15.75" customHeight="1">
      <c r="A145" s="274">
        <f t="shared" si="1"/>
        <v>133</v>
      </c>
      <c r="B145" s="528">
        <v>9100</v>
      </c>
      <c r="C145" s="280" t="s">
        <v>457</v>
      </c>
      <c r="D145" s="353">
        <f>'C.2.2 B 09'!P94</f>
        <v>0</v>
      </c>
    </row>
    <row r="146" spans="1:4" ht="15.75" customHeight="1">
      <c r="A146" s="274">
        <f t="shared" si="1"/>
        <v>134</v>
      </c>
      <c r="B146" s="274"/>
      <c r="C146" s="286" t="s">
        <v>862</v>
      </c>
      <c r="D146" s="339">
        <f>SUM(D142:D145)</f>
        <v>134412.29365729415</v>
      </c>
    </row>
    <row r="147" spans="1:4" ht="15.75" customHeight="1">
      <c r="A147" s="274">
        <f t="shared" si="1"/>
        <v>135</v>
      </c>
      <c r="B147" s="274"/>
      <c r="C147" s="278"/>
      <c r="D147" s="455"/>
    </row>
    <row r="148" spans="1:4" ht="15.75" customHeight="1">
      <c r="A148" s="274">
        <f t="shared" si="1"/>
        <v>136</v>
      </c>
      <c r="B148" s="274"/>
      <c r="C148" s="285" t="s">
        <v>499</v>
      </c>
      <c r="D148" s="455"/>
    </row>
    <row r="149" spans="1:4" ht="15.75" customHeight="1">
      <c r="A149" s="274">
        <f t="shared" ref="A149:A181" si="2">A148+1</f>
        <v>137</v>
      </c>
      <c r="B149" s="528">
        <v>9110</v>
      </c>
      <c r="C149" s="280" t="s">
        <v>483</v>
      </c>
      <c r="D149" s="492">
        <f>'C.2.2 B 09'!P95</f>
        <v>255129.29012212393</v>
      </c>
    </row>
    <row r="150" spans="1:4" ht="15.75" customHeight="1">
      <c r="A150" s="274">
        <f t="shared" si="2"/>
        <v>138</v>
      </c>
      <c r="B150" s="528">
        <v>9120</v>
      </c>
      <c r="C150" s="280" t="s">
        <v>777</v>
      </c>
      <c r="D150" s="456">
        <f>'C.2.2 B 09'!P96</f>
        <v>117086.30179510081</v>
      </c>
    </row>
    <row r="151" spans="1:4" ht="15.75" customHeight="1">
      <c r="A151" s="274">
        <f t="shared" si="2"/>
        <v>139</v>
      </c>
      <c r="B151" s="528">
        <v>9130</v>
      </c>
      <c r="C151" s="280" t="s">
        <v>859</v>
      </c>
      <c r="D151" s="456">
        <f>'C.2.2 B 09'!P97</f>
        <v>38737.06849407807</v>
      </c>
    </row>
    <row r="152" spans="1:4" ht="15.75" customHeight="1">
      <c r="A152" s="274">
        <f t="shared" si="2"/>
        <v>140</v>
      </c>
      <c r="B152" s="528">
        <v>9160</v>
      </c>
      <c r="C152" s="280" t="s">
        <v>844</v>
      </c>
      <c r="D152" s="353">
        <v>0</v>
      </c>
    </row>
    <row r="153" spans="1:4" ht="15.75" customHeight="1">
      <c r="A153" s="274">
        <f t="shared" si="2"/>
        <v>141</v>
      </c>
      <c r="B153" s="274"/>
      <c r="C153" s="286" t="s">
        <v>1124</v>
      </c>
      <c r="D153" s="339">
        <f>SUM(D149:D152)</f>
        <v>410952.66041130282</v>
      </c>
    </row>
    <row r="154" spans="1:4" ht="15.75" customHeight="1">
      <c r="A154" s="274">
        <f t="shared" si="2"/>
        <v>142</v>
      </c>
      <c r="B154" s="529"/>
      <c r="D154" s="455"/>
    </row>
    <row r="155" spans="1:4" ht="15.75" customHeight="1">
      <c r="A155" s="274">
        <f t="shared" si="2"/>
        <v>143</v>
      </c>
      <c r="B155" s="274"/>
      <c r="C155" s="285" t="s">
        <v>1125</v>
      </c>
      <c r="D155" s="455"/>
    </row>
    <row r="156" spans="1:4" ht="15.75" customHeight="1">
      <c r="A156" s="274">
        <f t="shared" si="2"/>
        <v>144</v>
      </c>
      <c r="B156" s="528">
        <v>9200</v>
      </c>
      <c r="C156" s="280" t="s">
        <v>768</v>
      </c>
      <c r="D156" s="492">
        <f>'C.2.2 B 09'!P98</f>
        <v>141985.19929653441</v>
      </c>
    </row>
    <row r="157" spans="1:4" ht="15.75" customHeight="1">
      <c r="A157" s="274">
        <f t="shared" si="2"/>
        <v>145</v>
      </c>
      <c r="B157" s="528">
        <v>9210</v>
      </c>
      <c r="C157" s="280" t="s">
        <v>769</v>
      </c>
      <c r="D157" s="456">
        <f>'C.2.2 B 09'!P99</f>
        <v>1379.9935257030206</v>
      </c>
    </row>
    <row r="158" spans="1:4" ht="15.75" customHeight="1">
      <c r="A158" s="274">
        <f t="shared" si="2"/>
        <v>146</v>
      </c>
      <c r="B158" s="528">
        <v>9220</v>
      </c>
      <c r="C158" s="280" t="s">
        <v>770</v>
      </c>
      <c r="D158" s="456">
        <f>'C.2.2 B 09'!P100</f>
        <v>13526079.802595161</v>
      </c>
    </row>
    <row r="159" spans="1:4" ht="15.75" customHeight="1">
      <c r="A159" s="274">
        <f t="shared" si="2"/>
        <v>147</v>
      </c>
      <c r="B159" s="528">
        <v>9230</v>
      </c>
      <c r="C159" s="280" t="s">
        <v>771</v>
      </c>
      <c r="D159" s="456">
        <f>'C.2.2 B 09'!P101</f>
        <v>64810.557379835765</v>
      </c>
    </row>
    <row r="160" spans="1:4" ht="15.75" customHeight="1">
      <c r="A160" s="274">
        <f t="shared" si="2"/>
        <v>148</v>
      </c>
      <c r="B160" s="528">
        <v>9240</v>
      </c>
      <c r="C160" s="280" t="s">
        <v>313</v>
      </c>
      <c r="D160" s="456">
        <f>'C.2.2 B 09'!P102</f>
        <v>88982.39662252953</v>
      </c>
    </row>
    <row r="161" spans="1:7" ht="15.75" customHeight="1">
      <c r="A161" s="274">
        <f t="shared" si="2"/>
        <v>149</v>
      </c>
      <c r="B161" s="528">
        <v>9250</v>
      </c>
      <c r="C161" s="280" t="s">
        <v>772</v>
      </c>
      <c r="D161" s="456">
        <f>'C.2.2 B 09'!P103</f>
        <v>18680.978177223515</v>
      </c>
    </row>
    <row r="162" spans="1:7" ht="15.75" customHeight="1">
      <c r="A162" s="274">
        <f t="shared" si="2"/>
        <v>150</v>
      </c>
      <c r="B162" s="528">
        <v>9260</v>
      </c>
      <c r="C162" s="280" t="s">
        <v>774</v>
      </c>
      <c r="D162" s="456">
        <f>'C.2.2 B 09'!P104</f>
        <v>1947365.4299807029</v>
      </c>
    </row>
    <row r="163" spans="1:7" ht="15.75" customHeight="1">
      <c r="A163" s="274">
        <f t="shared" si="2"/>
        <v>151</v>
      </c>
      <c r="B163" s="528">
        <v>9270</v>
      </c>
      <c r="C163" s="280" t="s">
        <v>314</v>
      </c>
      <c r="D163" s="456">
        <f>'C.2.2 B 09'!P105</f>
        <v>6390.3648239198037</v>
      </c>
    </row>
    <row r="164" spans="1:7" ht="15.75" customHeight="1">
      <c r="A164" s="274">
        <f t="shared" si="2"/>
        <v>152</v>
      </c>
      <c r="B164" s="528">
        <v>9280</v>
      </c>
      <c r="C164" s="280" t="s">
        <v>775</v>
      </c>
      <c r="D164" s="456">
        <f>'C.2.2 B 09'!P106</f>
        <v>0</v>
      </c>
    </row>
    <row r="165" spans="1:7" ht="15.75" customHeight="1">
      <c r="A165" s="274">
        <f t="shared" si="2"/>
        <v>153</v>
      </c>
      <c r="B165" s="534">
        <v>930.2</v>
      </c>
      <c r="C165" s="280" t="s">
        <v>315</v>
      </c>
      <c r="D165" s="456">
        <f>'C.2.2 B 09'!P107</f>
        <v>74161.595295544976</v>
      </c>
    </row>
    <row r="166" spans="1:7" ht="15.75" customHeight="1">
      <c r="A166" s="274">
        <f t="shared" si="2"/>
        <v>154</v>
      </c>
      <c r="B166" s="528">
        <v>9310</v>
      </c>
      <c r="C166" s="280" t="s">
        <v>185</v>
      </c>
      <c r="D166" s="491">
        <f>'C.2.2 B 09'!P108</f>
        <v>14287.303404838631</v>
      </c>
    </row>
    <row r="167" spans="1:7" ht="15.75" customHeight="1">
      <c r="A167" s="274">
        <f t="shared" si="2"/>
        <v>155</v>
      </c>
      <c r="B167" s="274"/>
      <c r="C167" s="286" t="s">
        <v>767</v>
      </c>
      <c r="D167" s="339">
        <f>SUM(D156:D166)</f>
        <v>15884123.621101992</v>
      </c>
    </row>
    <row r="168" spans="1:7" ht="15.75" customHeight="1">
      <c r="A168" s="274">
        <f t="shared" si="2"/>
        <v>156</v>
      </c>
      <c r="B168" s="274"/>
      <c r="C168" s="278"/>
      <c r="D168" s="455"/>
    </row>
    <row r="169" spans="1:7" ht="15.75" customHeight="1">
      <c r="A169" s="274">
        <f t="shared" si="2"/>
        <v>157</v>
      </c>
      <c r="B169" s="274"/>
      <c r="C169" s="285" t="s">
        <v>778</v>
      </c>
      <c r="D169" s="455"/>
    </row>
    <row r="170" spans="1:7" ht="15.75" customHeight="1">
      <c r="A170" s="274">
        <f t="shared" si="2"/>
        <v>158</v>
      </c>
      <c r="B170" s="528">
        <v>9320</v>
      </c>
      <c r="C170" s="280" t="s">
        <v>865</v>
      </c>
      <c r="D170" s="491">
        <f>'C.2.2 B 09'!P109</f>
        <v>0</v>
      </c>
    </row>
    <row r="171" spans="1:7" ht="15.75" customHeight="1">
      <c r="A171" s="274">
        <f t="shared" si="2"/>
        <v>159</v>
      </c>
      <c r="B171" s="274"/>
      <c r="C171" s="286" t="s">
        <v>739</v>
      </c>
      <c r="D171" s="493">
        <f>SUM(D170:D170)</f>
        <v>0</v>
      </c>
    </row>
    <row r="172" spans="1:7" ht="15.75" customHeight="1">
      <c r="A172" s="274">
        <f t="shared" si="2"/>
        <v>160</v>
      </c>
      <c r="B172" s="529"/>
      <c r="D172" s="396"/>
    </row>
    <row r="173" spans="1:7" ht="15.75" customHeight="1">
      <c r="A173" s="274">
        <f t="shared" si="2"/>
        <v>161</v>
      </c>
      <c r="B173" s="274"/>
      <c r="C173" s="279" t="s">
        <v>333</v>
      </c>
      <c r="D173" s="494">
        <f>+D38+D42+D54+D64+D74+D82+D104+D119+D132+D139+D146+D153+D167+D171</f>
        <v>92507905.76561141</v>
      </c>
      <c r="G173" s="96"/>
    </row>
    <row r="174" spans="1:7" ht="15.75" customHeight="1">
      <c r="A174" s="274">
        <f t="shared" si="2"/>
        <v>162</v>
      </c>
      <c r="B174" s="529"/>
      <c r="D174" s="396"/>
    </row>
    <row r="175" spans="1:7" ht="15.75" customHeight="1">
      <c r="A175" s="274">
        <f t="shared" si="2"/>
        <v>163</v>
      </c>
      <c r="B175" s="274">
        <v>403</v>
      </c>
      <c r="C175" s="275" t="s">
        <v>675</v>
      </c>
      <c r="D175" s="493">
        <f>SUM('C.2.2 B 09'!P14)</f>
        <v>18849734.532483872</v>
      </c>
    </row>
    <row r="176" spans="1:7" ht="15.75" customHeight="1">
      <c r="A176" s="274">
        <f t="shared" si="2"/>
        <v>164</v>
      </c>
      <c r="B176" s="528">
        <v>4081</v>
      </c>
      <c r="C176" s="275" t="s">
        <v>676</v>
      </c>
      <c r="D176" s="456">
        <f>'C.2.2 B 09'!P16</f>
        <v>4830375.4565365165</v>
      </c>
    </row>
    <row r="177" spans="1:7" ht="15.75" customHeight="1">
      <c r="A177" s="274">
        <f t="shared" si="2"/>
        <v>165</v>
      </c>
      <c r="B177" s="528" t="s">
        <v>740</v>
      </c>
      <c r="C177" s="275" t="s">
        <v>674</v>
      </c>
      <c r="D177" s="353">
        <f>+E!E23</f>
        <v>8353921.1987644052</v>
      </c>
      <c r="F177" s="597"/>
      <c r="G177" s="597"/>
    </row>
    <row r="178" spans="1:7" ht="15.75" customHeight="1">
      <c r="A178" s="274">
        <f t="shared" si="2"/>
        <v>166</v>
      </c>
      <c r="B178" s="529"/>
      <c r="D178" s="396"/>
    </row>
    <row r="179" spans="1:7" ht="15.75" customHeight="1">
      <c r="A179" s="274">
        <f t="shared" si="2"/>
        <v>167</v>
      </c>
      <c r="B179" s="281"/>
      <c r="C179" s="275" t="s">
        <v>337</v>
      </c>
      <c r="D179" s="491">
        <f>+D173+SUM(D175:D177)</f>
        <v>124541936.9533962</v>
      </c>
    </row>
    <row r="180" spans="1:7" ht="15.75" customHeight="1">
      <c r="A180" s="274">
        <f t="shared" si="2"/>
        <v>168</v>
      </c>
      <c r="B180" s="282"/>
      <c r="D180" s="396"/>
    </row>
    <row r="181" spans="1:7" ht="15.75" customHeight="1" thickBot="1">
      <c r="A181" s="274">
        <f t="shared" si="2"/>
        <v>169</v>
      </c>
      <c r="B181" s="281"/>
      <c r="C181" s="275" t="s">
        <v>338</v>
      </c>
      <c r="D181" s="675">
        <f>D32-D179</f>
        <v>32171309.927559614</v>
      </c>
    </row>
    <row r="182" spans="1:7" ht="15.75" customHeight="1" thickTop="1">
      <c r="B182" s="289"/>
    </row>
    <row r="183" spans="1:7" ht="15.75" customHeight="1">
      <c r="A183" s="278"/>
      <c r="B183" s="289"/>
    </row>
    <row r="184" spans="1:7" ht="15.75" customHeight="1">
      <c r="B184" s="289"/>
    </row>
    <row r="185" spans="1:7" ht="15.75" customHeight="1">
      <c r="B185" s="289"/>
    </row>
    <row r="186" spans="1:7" ht="15.75" customHeight="1">
      <c r="B186" s="289"/>
    </row>
    <row r="187" spans="1:7" ht="15.75" customHeight="1">
      <c r="B187" s="289"/>
    </row>
    <row r="188" spans="1:7" ht="15.75" customHeight="1">
      <c r="B188" s="289"/>
    </row>
    <row r="189" spans="1:7" ht="15.75" customHeight="1">
      <c r="B189" s="289"/>
    </row>
    <row r="190" spans="1:7" ht="15.75" customHeight="1">
      <c r="B190" s="289"/>
    </row>
    <row r="191" spans="1:7" ht="15.75" customHeight="1">
      <c r="B191" s="282"/>
    </row>
    <row r="192" spans="1:7" ht="15.75" customHeight="1">
      <c r="B192" s="282"/>
    </row>
    <row r="193" spans="2:2" ht="15.75" customHeight="1">
      <c r="B193" s="282"/>
    </row>
    <row r="194" spans="2:2" ht="15.75" customHeight="1">
      <c r="B194" s="282"/>
    </row>
    <row r="195" spans="2:2" ht="15.75" customHeight="1">
      <c r="B195" s="282"/>
    </row>
  </sheetData>
  <mergeCells count="4">
    <mergeCell ref="A1:D1"/>
    <mergeCell ref="A2:D2"/>
    <mergeCell ref="A3:D3"/>
    <mergeCell ref="A4:D4"/>
  </mergeCells>
  <phoneticPr fontId="22" type="noConversion"/>
  <printOptions horizontalCentered="1"/>
  <pageMargins left="0.84" right="0.67" top="0.62" bottom="1.04" header="0.5" footer="0.5"/>
  <pageSetup scale="94" fitToHeight="15" orientation="portrait" verticalDpi="300" r:id="rId1"/>
  <headerFooter alignWithMargins="0">
    <oddFooter>&amp;RSchedule &amp;A
Page &amp;P of &amp;N</oddFooter>
  </headerFooter>
  <rowBreaks count="1" manualBreakCount="1">
    <brk id="119" max="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J188"/>
  <sheetViews>
    <sheetView view="pageBreakPreview" zoomScale="70" zoomScaleNormal="80" zoomScaleSheetLayoutView="70" workbookViewId="0">
      <pane ySplit="11" topLeftCell="A93" activePane="bottomLeft" state="frozen"/>
      <selection activeCell="B6" sqref="B6"/>
      <selection pane="bottomLeft" activeCell="H162" sqref="H162"/>
    </sheetView>
  </sheetViews>
  <sheetFormatPr defaultColWidth="8.44140625" defaultRowHeight="15"/>
  <cols>
    <col min="1" max="1" width="4.77734375" style="40" customWidth="1"/>
    <col min="2" max="2" width="11.88671875" style="40" customWidth="1"/>
    <col min="3" max="3" width="45.77734375" style="40" customWidth="1"/>
    <col min="4" max="4" width="13.109375" style="40" customWidth="1"/>
    <col min="5" max="5" width="3.77734375" style="40" customWidth="1"/>
    <col min="6" max="6" width="14" style="40" customWidth="1"/>
    <col min="7" max="7" width="11.109375" style="40" customWidth="1"/>
    <col min="8" max="8" width="10.88671875" style="40" customWidth="1"/>
    <col min="9" max="16384" width="8.44140625" style="40"/>
  </cols>
  <sheetData>
    <row r="1" spans="1:8" s="1" customFormat="1">
      <c r="A1" s="1195" t="str">
        <f>'Table of Contents'!A1:C1</f>
        <v>Atmos Energy Corporation, Kentucky/Mid-States Division</v>
      </c>
      <c r="B1" s="1195"/>
      <c r="C1" s="1195"/>
      <c r="D1" s="1195"/>
      <c r="E1" s="595"/>
    </row>
    <row r="2" spans="1:8" s="1" customFormat="1">
      <c r="A2" s="1195" t="str">
        <f>'Table of Contents'!A2:C2</f>
        <v>Kentucky Jurisdiction Case No. 2017-00349</v>
      </c>
      <c r="B2" s="1195"/>
      <c r="C2" s="1195"/>
      <c r="D2" s="1195"/>
      <c r="E2" s="595"/>
    </row>
    <row r="3" spans="1:8" s="1" customFormat="1">
      <c r="A3" s="1195" t="s">
        <v>286</v>
      </c>
      <c r="B3" s="1195"/>
      <c r="C3" s="1195"/>
      <c r="D3" s="1195"/>
      <c r="E3" s="595"/>
    </row>
    <row r="4" spans="1:8">
      <c r="A4" s="1195" t="str">
        <f>'Table of Contents'!A4:C4</f>
        <v>Forecasted Test Period: Twelve Months Ended March 31, 2019</v>
      </c>
      <c r="B4" s="1195"/>
      <c r="C4" s="1195"/>
      <c r="D4" s="1195"/>
      <c r="E4" s="595"/>
    </row>
    <row r="5" spans="1:8">
      <c r="A5" s="187"/>
      <c r="B5" s="187"/>
      <c r="C5" s="30"/>
      <c r="D5" s="30"/>
      <c r="E5" s="30"/>
    </row>
    <row r="6" spans="1:8">
      <c r="A6" s="181" t="s">
        <v>1073</v>
      </c>
      <c r="D6" s="495" t="s">
        <v>1453</v>
      </c>
      <c r="E6" s="495"/>
    </row>
    <row r="7" spans="1:8">
      <c r="A7" s="4" t="str">
        <f>'C.2.1 B'!A7</f>
        <v>Type of Filing:___X____Original________Updated ________Revised</v>
      </c>
      <c r="D7" s="496" t="s">
        <v>718</v>
      </c>
      <c r="E7" s="496"/>
    </row>
    <row r="8" spans="1:8">
      <c r="A8" s="203" t="s">
        <v>369</v>
      </c>
      <c r="B8" s="191"/>
      <c r="C8" s="191"/>
      <c r="D8" s="498" t="str">
        <f>C.1!J9</f>
        <v>Witness: Waller, Martin</v>
      </c>
      <c r="E8" s="598"/>
    </row>
    <row r="9" spans="1:8">
      <c r="D9" s="206"/>
      <c r="E9" s="206"/>
    </row>
    <row r="10" spans="1:8">
      <c r="A10" s="205" t="s">
        <v>94</v>
      </c>
      <c r="B10" s="206" t="s">
        <v>342</v>
      </c>
      <c r="C10" s="205" t="s">
        <v>342</v>
      </c>
      <c r="D10" s="206" t="s">
        <v>994</v>
      </c>
      <c r="E10" s="206"/>
    </row>
    <row r="11" spans="1:8">
      <c r="A11" s="207" t="s">
        <v>100</v>
      </c>
      <c r="B11" s="253" t="s">
        <v>1323</v>
      </c>
      <c r="C11" s="207" t="s">
        <v>218</v>
      </c>
      <c r="D11" s="253" t="s">
        <v>318</v>
      </c>
      <c r="E11" s="599"/>
    </row>
    <row r="12" spans="1:8">
      <c r="D12" s="206" t="s">
        <v>1101</v>
      </c>
      <c r="E12" s="206"/>
    </row>
    <row r="13" spans="1:8">
      <c r="A13" s="206">
        <v>1</v>
      </c>
      <c r="B13" s="221"/>
      <c r="C13" s="41" t="s">
        <v>66</v>
      </c>
    </row>
    <row r="14" spans="1:8">
      <c r="A14" s="206">
        <f>A13+1</f>
        <v>2</v>
      </c>
      <c r="B14" s="206"/>
      <c r="C14" s="41" t="s">
        <v>136</v>
      </c>
      <c r="G14" s="192"/>
      <c r="H14" s="578"/>
    </row>
    <row r="15" spans="1:8">
      <c r="A15" s="206">
        <f t="shared" ref="A15:A81" si="0">A14+1</f>
        <v>3</v>
      </c>
      <c r="B15" s="535">
        <v>4800</v>
      </c>
      <c r="C15" s="290" t="s">
        <v>131</v>
      </c>
      <c r="D15" s="499">
        <f>-'C.2.2-F 09'!P17</f>
        <v>98377919.415192276</v>
      </c>
      <c r="E15" s="499"/>
      <c r="G15" s="192"/>
      <c r="H15" s="192"/>
    </row>
    <row r="16" spans="1:8">
      <c r="A16" s="206">
        <f t="shared" si="0"/>
        <v>4</v>
      </c>
      <c r="B16" s="535">
        <v>4811</v>
      </c>
      <c r="C16" s="290" t="s">
        <v>132</v>
      </c>
      <c r="D16" s="363">
        <f>-'C.2.2-F 09'!P19</f>
        <v>40637063.73720403</v>
      </c>
      <c r="E16" s="363"/>
      <c r="G16" s="192"/>
      <c r="H16" s="192"/>
    </row>
    <row r="17" spans="1:8">
      <c r="A17" s="206">
        <f t="shared" si="0"/>
        <v>5</v>
      </c>
      <c r="B17" s="535">
        <v>4812</v>
      </c>
      <c r="C17" s="290" t="s">
        <v>133</v>
      </c>
      <c r="D17" s="363">
        <f>-'C.2.2-F 09'!P20</f>
        <v>5286755.3393530753</v>
      </c>
      <c r="E17" s="363"/>
      <c r="F17" s="591"/>
      <c r="G17" s="720"/>
      <c r="H17" s="192"/>
    </row>
    <row r="18" spans="1:8">
      <c r="A18" s="206">
        <f t="shared" si="0"/>
        <v>6</v>
      </c>
      <c r="B18" s="535">
        <v>4820</v>
      </c>
      <c r="C18" s="290" t="s">
        <v>785</v>
      </c>
      <c r="D18" s="309">
        <f>-'C.2.2-F 09'!P23</f>
        <v>6847372.3870250378</v>
      </c>
      <c r="E18" s="363"/>
      <c r="F18" s="591"/>
      <c r="G18" s="720"/>
      <c r="H18" s="192"/>
    </row>
    <row r="19" spans="1:8">
      <c r="A19" s="206">
        <f t="shared" si="0"/>
        <v>7</v>
      </c>
      <c r="B19" s="206"/>
      <c r="C19" s="205" t="s">
        <v>1165</v>
      </c>
      <c r="D19" s="305">
        <f>SUM(D15:D18)</f>
        <v>151149110.87877443</v>
      </c>
      <c r="E19" s="305"/>
      <c r="F19" s="591"/>
      <c r="G19" s="720"/>
      <c r="H19" s="192"/>
    </row>
    <row r="20" spans="1:8">
      <c r="A20" s="206">
        <f t="shared" si="0"/>
        <v>8</v>
      </c>
      <c r="B20" s="78"/>
      <c r="D20" s="196"/>
      <c r="E20" s="196"/>
      <c r="F20" s="591"/>
      <c r="G20" s="720"/>
      <c r="H20" s="192"/>
    </row>
    <row r="21" spans="1:8">
      <c r="A21" s="206">
        <f t="shared" si="0"/>
        <v>9</v>
      </c>
      <c r="B21" s="78"/>
      <c r="C21" s="41" t="s">
        <v>65</v>
      </c>
      <c r="D21" s="258"/>
      <c r="E21" s="258"/>
      <c r="F21" s="591"/>
      <c r="G21" s="720"/>
      <c r="H21" s="192"/>
    </row>
    <row r="22" spans="1:8">
      <c r="A22" s="206">
        <f t="shared" si="0"/>
        <v>10</v>
      </c>
      <c r="B22" s="535">
        <v>4870</v>
      </c>
      <c r="C22" s="290" t="s">
        <v>1021</v>
      </c>
      <c r="D22" s="499">
        <f>-'C.2.2-F 09'!P25</f>
        <v>1297964.1796976668</v>
      </c>
      <c r="E22" s="499"/>
      <c r="F22" s="591"/>
      <c r="G22" s="720"/>
      <c r="H22" s="192"/>
    </row>
    <row r="23" spans="1:8">
      <c r="A23" s="206">
        <f t="shared" si="0"/>
        <v>11</v>
      </c>
      <c r="B23" s="535">
        <v>4880</v>
      </c>
      <c r="C23" s="290" t="s">
        <v>1022</v>
      </c>
      <c r="D23" s="363">
        <f>-'C.2.2-F 09'!P26</f>
        <v>806054</v>
      </c>
      <c r="E23" s="363"/>
      <c r="F23" s="591"/>
      <c r="G23" s="720"/>
      <c r="H23" s="192"/>
    </row>
    <row r="24" spans="1:8">
      <c r="A24" s="206">
        <f t="shared" si="0"/>
        <v>12</v>
      </c>
      <c r="B24" s="536" t="s">
        <v>1224</v>
      </c>
      <c r="C24" s="292" t="s">
        <v>64</v>
      </c>
      <c r="D24" s="363">
        <f>-'C.2.2-F 09'!P27</f>
        <v>15202087.192665644</v>
      </c>
      <c r="E24" s="363"/>
      <c r="F24" s="591"/>
      <c r="G24" s="591"/>
      <c r="H24" s="192"/>
    </row>
    <row r="25" spans="1:8">
      <c r="A25" s="206">
        <f t="shared" si="0"/>
        <v>13</v>
      </c>
      <c r="B25" s="535">
        <v>4950</v>
      </c>
      <c r="C25" s="290" t="s">
        <v>668</v>
      </c>
      <c r="D25" s="363">
        <f>-'C.2.2-F 09'!P28</f>
        <v>2274059.6602829527</v>
      </c>
      <c r="E25" s="363"/>
      <c r="F25" s="591"/>
      <c r="G25" s="591"/>
      <c r="H25" s="192"/>
    </row>
    <row r="26" spans="1:8">
      <c r="A26" s="206">
        <f t="shared" si="0"/>
        <v>14</v>
      </c>
      <c r="B26" s="78"/>
      <c r="C26" s="205" t="s">
        <v>1166</v>
      </c>
      <c r="D26" s="674">
        <f>SUM(D22:D25)</f>
        <v>19580165.032646261</v>
      </c>
      <c r="E26" s="305"/>
      <c r="F26" s="591"/>
      <c r="G26" s="720"/>
      <c r="H26" s="192"/>
    </row>
    <row r="27" spans="1:8">
      <c r="A27" s="206">
        <f t="shared" si="0"/>
        <v>15</v>
      </c>
      <c r="B27" s="78"/>
      <c r="D27" s="258"/>
      <c r="E27" s="258"/>
      <c r="F27" s="591"/>
      <c r="G27" s="591"/>
      <c r="H27" s="192"/>
    </row>
    <row r="28" spans="1:8">
      <c r="A28" s="206">
        <f t="shared" si="0"/>
        <v>16</v>
      </c>
      <c r="B28" s="206"/>
      <c r="C28" s="205" t="s">
        <v>67</v>
      </c>
      <c r="D28" s="304">
        <f>D26+D19</f>
        <v>170729275.9114207</v>
      </c>
      <c r="E28" s="304"/>
      <c r="F28" s="591"/>
      <c r="G28" s="720"/>
      <c r="H28" s="192"/>
    </row>
    <row r="29" spans="1:8">
      <c r="A29" s="206">
        <f t="shared" si="0"/>
        <v>17</v>
      </c>
      <c r="B29" s="78"/>
      <c r="D29" s="258"/>
      <c r="E29" s="258"/>
    </row>
    <row r="30" spans="1:8">
      <c r="A30" s="206">
        <f t="shared" si="0"/>
        <v>18</v>
      </c>
      <c r="B30" s="78"/>
      <c r="C30" s="41" t="s">
        <v>306</v>
      </c>
      <c r="D30" s="258"/>
      <c r="E30" s="258"/>
    </row>
    <row r="31" spans="1:8">
      <c r="A31" s="206">
        <f t="shared" si="0"/>
        <v>19</v>
      </c>
      <c r="B31" s="78"/>
      <c r="C31" s="293" t="s">
        <v>667</v>
      </c>
      <c r="D31" s="196"/>
      <c r="E31" s="196"/>
    </row>
    <row r="32" spans="1:8">
      <c r="A32" s="206">
        <f t="shared" si="0"/>
        <v>20</v>
      </c>
      <c r="B32" s="537">
        <v>7560</v>
      </c>
      <c r="C32" s="290" t="s">
        <v>330</v>
      </c>
      <c r="D32" s="363">
        <f>'C.2.2-F 09'!P29</f>
        <v>0</v>
      </c>
      <c r="E32" s="363"/>
    </row>
    <row r="33" spans="1:10">
      <c r="A33" s="206">
        <f t="shared" si="0"/>
        <v>21</v>
      </c>
      <c r="B33" s="531">
        <v>7590</v>
      </c>
      <c r="C33" s="280" t="s">
        <v>1367</v>
      </c>
      <c r="D33" s="591">
        <f>'C.2.2-F 09'!P30</f>
        <v>0</v>
      </c>
      <c r="E33" s="363"/>
    </row>
    <row r="34" spans="1:10">
      <c r="A34" s="206">
        <f t="shared" si="0"/>
        <v>22</v>
      </c>
      <c r="B34" s="78"/>
      <c r="C34" s="260" t="s">
        <v>441</v>
      </c>
      <c r="D34" s="674">
        <f>SUM(D32:D33)</f>
        <v>0</v>
      </c>
      <c r="E34" s="305"/>
      <c r="F34" s="591"/>
      <c r="G34" s="720"/>
    </row>
    <row r="35" spans="1:10">
      <c r="A35" s="206">
        <f t="shared" si="0"/>
        <v>23</v>
      </c>
      <c r="B35" s="78"/>
      <c r="C35" s="181"/>
      <c r="D35" s="308"/>
      <c r="E35" s="308"/>
    </row>
    <row r="36" spans="1:10">
      <c r="A36" s="206">
        <f t="shared" si="0"/>
        <v>24</v>
      </c>
      <c r="B36" s="78"/>
      <c r="C36" s="293" t="s">
        <v>1149</v>
      </c>
      <c r="D36" s="308"/>
      <c r="E36" s="308"/>
    </row>
    <row r="37" spans="1:10">
      <c r="A37" s="206">
        <f t="shared" si="0"/>
        <v>25</v>
      </c>
      <c r="B37" s="537">
        <v>7610</v>
      </c>
      <c r="C37" s="290" t="s">
        <v>1151</v>
      </c>
      <c r="D37" s="500">
        <v>0</v>
      </c>
      <c r="E37" s="499"/>
    </row>
    <row r="38" spans="1:10">
      <c r="A38" s="206">
        <f t="shared" si="0"/>
        <v>26</v>
      </c>
      <c r="B38" s="78"/>
      <c r="C38" s="181"/>
      <c r="D38" s="305">
        <f>SUM(D37)</f>
        <v>0</v>
      </c>
      <c r="E38" s="305"/>
    </row>
    <row r="39" spans="1:10">
      <c r="A39" s="206">
        <f t="shared" si="0"/>
        <v>27</v>
      </c>
      <c r="B39" s="78"/>
      <c r="C39" s="293" t="s">
        <v>1033</v>
      </c>
      <c r="D39" s="196"/>
      <c r="E39" s="196"/>
    </row>
    <row r="40" spans="1:10">
      <c r="A40" s="206">
        <f t="shared" si="0"/>
        <v>28</v>
      </c>
      <c r="B40" s="537">
        <v>8140</v>
      </c>
      <c r="C40" s="290" t="s">
        <v>677</v>
      </c>
      <c r="D40" s="499">
        <f>'C.2.2-F 09'!P46</f>
        <v>0</v>
      </c>
      <c r="E40" s="499"/>
      <c r="J40" s="700"/>
    </row>
    <row r="41" spans="1:10">
      <c r="A41" s="206">
        <f t="shared" si="0"/>
        <v>29</v>
      </c>
      <c r="B41" s="537">
        <v>8150</v>
      </c>
      <c r="C41" s="290" t="s">
        <v>298</v>
      </c>
      <c r="D41" s="363">
        <v>0</v>
      </c>
      <c r="E41" s="195"/>
    </row>
    <row r="42" spans="1:10">
      <c r="A42" s="206">
        <f t="shared" si="0"/>
        <v>30</v>
      </c>
      <c r="B42" s="537">
        <v>8160</v>
      </c>
      <c r="C42" s="290" t="s">
        <v>512</v>
      </c>
      <c r="D42" s="363">
        <f>'C.2.2-F 09'!P47</f>
        <v>135949.79443939595</v>
      </c>
      <c r="E42" s="195"/>
      <c r="J42" s="700"/>
    </row>
    <row r="43" spans="1:10">
      <c r="A43" s="206">
        <f t="shared" si="0"/>
        <v>31</v>
      </c>
      <c r="B43" s="537">
        <v>8170</v>
      </c>
      <c r="C43" s="290" t="s">
        <v>513</v>
      </c>
      <c r="D43" s="363">
        <f>'C.2.2-F 09'!P48</f>
        <v>35014.298425527413</v>
      </c>
      <c r="E43" s="195"/>
      <c r="J43" s="700"/>
    </row>
    <row r="44" spans="1:10">
      <c r="A44" s="206">
        <f t="shared" si="0"/>
        <v>32</v>
      </c>
      <c r="B44" s="537">
        <v>8180</v>
      </c>
      <c r="C44" s="290" t="s">
        <v>145</v>
      </c>
      <c r="D44" s="363">
        <f>'C.2.2-F 09'!P49</f>
        <v>35632.558627513739</v>
      </c>
      <c r="E44" s="195"/>
      <c r="J44" s="700"/>
    </row>
    <row r="45" spans="1:10">
      <c r="A45" s="206">
        <f t="shared" si="0"/>
        <v>33</v>
      </c>
      <c r="B45" s="538">
        <v>8190</v>
      </c>
      <c r="C45" s="244" t="s">
        <v>146</v>
      </c>
      <c r="D45" s="363">
        <f>'C.2.2-F 09'!P50</f>
        <v>1003.4600275190052</v>
      </c>
      <c r="E45" s="195"/>
      <c r="J45" s="700"/>
    </row>
    <row r="46" spans="1:10">
      <c r="A46" s="206">
        <f t="shared" si="0"/>
        <v>34</v>
      </c>
      <c r="B46" s="538">
        <v>8200</v>
      </c>
      <c r="C46" s="244" t="s">
        <v>480</v>
      </c>
      <c r="D46" s="363">
        <f>'C.2.2-F 09'!P51</f>
        <v>3485.0764657941422</v>
      </c>
      <c r="E46" s="195"/>
      <c r="J46" s="700"/>
    </row>
    <row r="47" spans="1:10">
      <c r="A47" s="206">
        <f t="shared" si="0"/>
        <v>35</v>
      </c>
      <c r="B47" s="538">
        <v>8210</v>
      </c>
      <c r="C47" s="244" t="s">
        <v>481</v>
      </c>
      <c r="D47" s="363">
        <f>'C.2.2-F 09'!P52</f>
        <v>25974.027536825721</v>
      </c>
      <c r="E47" s="195"/>
      <c r="J47" s="700"/>
    </row>
    <row r="48" spans="1:10">
      <c r="A48" s="206">
        <f t="shared" si="0"/>
        <v>36</v>
      </c>
      <c r="B48" s="538">
        <v>8240</v>
      </c>
      <c r="C48" s="244" t="s">
        <v>590</v>
      </c>
      <c r="D48" s="363">
        <f>'C.2.2-F 09'!P53</f>
        <v>0</v>
      </c>
      <c r="E48" s="195"/>
      <c r="J48" s="700"/>
    </row>
    <row r="49" spans="1:10">
      <c r="A49" s="206">
        <f t="shared" si="0"/>
        <v>37</v>
      </c>
      <c r="B49" s="538">
        <v>8250</v>
      </c>
      <c r="C49" s="244" t="s">
        <v>643</v>
      </c>
      <c r="D49" s="363">
        <f>'C.2.2-F 09'!P54</f>
        <v>9388.0767464601686</v>
      </c>
      <c r="E49" s="195"/>
      <c r="J49" s="700"/>
    </row>
    <row r="50" spans="1:10">
      <c r="A50" s="206">
        <f t="shared" si="0"/>
        <v>38</v>
      </c>
      <c r="B50" s="78"/>
      <c r="C50" s="260" t="s">
        <v>1034</v>
      </c>
      <c r="D50" s="674">
        <f>SUM(D40:D49)</f>
        <v>246447.29226903612</v>
      </c>
      <c r="E50" s="305"/>
      <c r="F50" s="591"/>
      <c r="G50" s="720"/>
    </row>
    <row r="51" spans="1:10">
      <c r="A51" s="206">
        <f t="shared" si="0"/>
        <v>39</v>
      </c>
      <c r="B51" s="78"/>
      <c r="C51" s="181"/>
      <c r="D51" s="224"/>
      <c r="E51" s="224"/>
    </row>
    <row r="52" spans="1:10">
      <c r="A52" s="206">
        <f t="shared" si="0"/>
        <v>40</v>
      </c>
      <c r="B52" s="78"/>
      <c r="C52" s="293" t="s">
        <v>1020</v>
      </c>
      <c r="D52" s="224"/>
      <c r="E52" s="224"/>
    </row>
    <row r="53" spans="1:10">
      <c r="A53" s="206">
        <f t="shared" si="0"/>
        <v>41</v>
      </c>
      <c r="B53" s="538">
        <v>8310</v>
      </c>
      <c r="C53" s="244" t="s">
        <v>644</v>
      </c>
      <c r="D53" s="499">
        <f>'C.2.2-F 09'!P55</f>
        <v>16248.299941812395</v>
      </c>
      <c r="E53" s="499"/>
      <c r="J53" s="700"/>
    </row>
    <row r="54" spans="1:10">
      <c r="A54" s="206">
        <f t="shared" si="0"/>
        <v>42</v>
      </c>
      <c r="B54" s="538">
        <v>8320</v>
      </c>
      <c r="C54" s="244" t="s">
        <v>645</v>
      </c>
      <c r="D54" s="363">
        <v>0</v>
      </c>
      <c r="E54" s="195"/>
    </row>
    <row r="55" spans="1:10">
      <c r="A55" s="206">
        <f t="shared" si="0"/>
        <v>43</v>
      </c>
      <c r="B55" s="538">
        <v>8340</v>
      </c>
      <c r="C55" s="244" t="s">
        <v>646</v>
      </c>
      <c r="D55" s="363">
        <f>'C.2.2-F 09'!P56</f>
        <v>11889.055414355553</v>
      </c>
      <c r="E55" s="195"/>
      <c r="J55" s="700"/>
    </row>
    <row r="56" spans="1:10">
      <c r="A56" s="206">
        <f t="shared" si="0"/>
        <v>44</v>
      </c>
      <c r="B56" s="538">
        <v>8350</v>
      </c>
      <c r="C56" s="244" t="s">
        <v>647</v>
      </c>
      <c r="D56" s="363">
        <f>'C.2.2-F 09'!P57</f>
        <v>0</v>
      </c>
      <c r="E56" s="195"/>
      <c r="J56" s="700"/>
    </row>
    <row r="57" spans="1:10">
      <c r="A57" s="206">
        <f t="shared" si="0"/>
        <v>45</v>
      </c>
      <c r="B57" s="538">
        <v>8360</v>
      </c>
      <c r="C57" s="244" t="s">
        <v>1049</v>
      </c>
      <c r="D57" s="363">
        <f>'C.2.2-F 09'!P58</f>
        <v>0</v>
      </c>
      <c r="E57" s="195"/>
      <c r="J57" s="700"/>
    </row>
    <row r="58" spans="1:10">
      <c r="A58" s="206">
        <f t="shared" si="0"/>
        <v>46</v>
      </c>
      <c r="B58" s="538">
        <v>8370</v>
      </c>
      <c r="C58" s="244" t="s">
        <v>1360</v>
      </c>
      <c r="D58" s="363">
        <f>'C.2.2-F 09'!P59</f>
        <v>0</v>
      </c>
      <c r="E58" s="195"/>
      <c r="J58" s="700"/>
    </row>
    <row r="59" spans="1:10">
      <c r="A59" s="206">
        <f t="shared" si="0"/>
        <v>47</v>
      </c>
      <c r="B59" s="539" t="s">
        <v>451</v>
      </c>
      <c r="C59" s="244" t="s">
        <v>452</v>
      </c>
      <c r="D59" s="363">
        <f>'C.2.2-F 09'!P60</f>
        <v>130396.67801244168</v>
      </c>
      <c r="E59" s="195"/>
    </row>
    <row r="60" spans="1:10">
      <c r="A60" s="206">
        <f t="shared" si="0"/>
        <v>48</v>
      </c>
      <c r="B60" s="78"/>
      <c r="C60" s="260" t="s">
        <v>1035</v>
      </c>
      <c r="D60" s="674">
        <f>SUM(D53:D59)</f>
        <v>158534.03336860964</v>
      </c>
      <c r="E60" s="499"/>
      <c r="F60" s="591"/>
      <c r="G60" s="720"/>
    </row>
    <row r="61" spans="1:10">
      <c r="A61" s="206">
        <f t="shared" si="0"/>
        <v>49</v>
      </c>
      <c r="B61" s="78"/>
      <c r="C61" s="181"/>
      <c r="D61" s="224"/>
      <c r="E61" s="224"/>
    </row>
    <row r="62" spans="1:10">
      <c r="A62" s="206">
        <f t="shared" si="0"/>
        <v>50</v>
      </c>
      <c r="B62" s="78"/>
      <c r="C62" s="293" t="s">
        <v>1036</v>
      </c>
      <c r="D62" s="224"/>
      <c r="E62" s="224"/>
    </row>
    <row r="63" spans="1:10">
      <c r="A63" s="206">
        <f t="shared" si="0"/>
        <v>51</v>
      </c>
      <c r="B63" s="538">
        <v>8500</v>
      </c>
      <c r="C63" s="244" t="s">
        <v>677</v>
      </c>
      <c r="D63" s="499">
        <v>0</v>
      </c>
      <c r="E63" s="499"/>
      <c r="J63" s="700"/>
    </row>
    <row r="64" spans="1:10">
      <c r="A64" s="206">
        <f t="shared" si="0"/>
        <v>52</v>
      </c>
      <c r="B64" s="538">
        <v>8520</v>
      </c>
      <c r="C64" s="287" t="s">
        <v>1361</v>
      </c>
      <c r="D64" s="363">
        <f>'C.2.2-F 09'!P61</f>
        <v>0</v>
      </c>
      <c r="E64" s="499"/>
      <c r="J64" s="700"/>
    </row>
    <row r="65" spans="1:10">
      <c r="A65" s="206">
        <f t="shared" si="0"/>
        <v>53</v>
      </c>
      <c r="B65" s="538">
        <v>8550</v>
      </c>
      <c r="C65" s="287" t="s">
        <v>1418</v>
      </c>
      <c r="D65" s="363">
        <f>'C.2.2-F 09'!P62</f>
        <v>296.79362192174943</v>
      </c>
      <c r="E65" s="499"/>
      <c r="J65" s="700"/>
    </row>
    <row r="66" spans="1:10">
      <c r="A66" s="206">
        <f t="shared" si="0"/>
        <v>54</v>
      </c>
      <c r="B66" s="538">
        <v>8560</v>
      </c>
      <c r="C66" s="244" t="s">
        <v>648</v>
      </c>
      <c r="D66" s="363">
        <f>'C.2.2-F 09'!P63</f>
        <v>255790.29231455276</v>
      </c>
      <c r="E66" s="195"/>
      <c r="J66" s="700"/>
    </row>
    <row r="67" spans="1:10">
      <c r="A67" s="206">
        <f t="shared" si="0"/>
        <v>55</v>
      </c>
      <c r="B67" s="538">
        <v>8570</v>
      </c>
      <c r="C67" s="244" t="s">
        <v>649</v>
      </c>
      <c r="D67" s="363">
        <f>'C.2.2-F 09'!P64</f>
        <v>11082.066441278794</v>
      </c>
      <c r="E67" s="195"/>
      <c r="J67" s="700"/>
    </row>
    <row r="68" spans="1:10">
      <c r="A68" s="206">
        <f t="shared" si="0"/>
        <v>56</v>
      </c>
      <c r="B68" s="538">
        <v>8590</v>
      </c>
      <c r="C68" s="244" t="s">
        <v>652</v>
      </c>
      <c r="D68" s="195">
        <v>0</v>
      </c>
      <c r="E68" s="195"/>
    </row>
    <row r="69" spans="1:10">
      <c r="A69" s="206">
        <f t="shared" si="0"/>
        <v>57</v>
      </c>
      <c r="B69" s="538">
        <v>8600</v>
      </c>
      <c r="C69" s="244" t="s">
        <v>776</v>
      </c>
      <c r="D69" s="230">
        <v>0</v>
      </c>
      <c r="E69" s="195"/>
    </row>
    <row r="70" spans="1:10">
      <c r="A70" s="206">
        <f t="shared" si="0"/>
        <v>58</v>
      </c>
      <c r="B70" s="78"/>
      <c r="C70" s="260" t="s">
        <v>1012</v>
      </c>
      <c r="D70" s="305">
        <f>SUM(D63:D69)</f>
        <v>267169.15237775329</v>
      </c>
      <c r="E70" s="305"/>
      <c r="F70" s="591"/>
      <c r="G70" s="720"/>
    </row>
    <row r="71" spans="1:10">
      <c r="A71" s="206">
        <f t="shared" si="0"/>
        <v>59</v>
      </c>
      <c r="B71" s="78"/>
      <c r="C71" s="181"/>
      <c r="D71" s="224"/>
      <c r="E71" s="224"/>
    </row>
    <row r="72" spans="1:10">
      <c r="A72" s="206">
        <f t="shared" si="0"/>
        <v>60</v>
      </c>
      <c r="B72" s="78"/>
      <c r="C72" s="293" t="s">
        <v>1013</v>
      </c>
      <c r="D72" s="224"/>
      <c r="E72" s="224"/>
    </row>
    <row r="73" spans="1:10">
      <c r="A73" s="206">
        <f t="shared" si="0"/>
        <v>61</v>
      </c>
      <c r="B73" s="538">
        <v>8620</v>
      </c>
      <c r="C73" s="244" t="s">
        <v>977</v>
      </c>
      <c r="D73" s="499">
        <v>0</v>
      </c>
      <c r="E73" s="499"/>
    </row>
    <row r="74" spans="1:10">
      <c r="A74" s="206">
        <f t="shared" si="0"/>
        <v>62</v>
      </c>
      <c r="B74" s="538">
        <v>8630</v>
      </c>
      <c r="C74" s="244" t="s">
        <v>511</v>
      </c>
      <c r="D74" s="363">
        <f>'C.2.2-F 09'!P65</f>
        <v>3091.2713752093377</v>
      </c>
      <c r="E74" s="195"/>
      <c r="J74" s="700"/>
    </row>
    <row r="75" spans="1:10">
      <c r="A75" s="206">
        <f t="shared" si="0"/>
        <v>63</v>
      </c>
      <c r="B75" s="538">
        <v>8640</v>
      </c>
      <c r="C75" s="244" t="s">
        <v>597</v>
      </c>
      <c r="D75" s="363">
        <f>'C.2.2-F 09'!P66</f>
        <v>0</v>
      </c>
      <c r="E75" s="195"/>
    </row>
    <row r="76" spans="1:10">
      <c r="A76" s="206">
        <f t="shared" si="0"/>
        <v>64</v>
      </c>
      <c r="B76" s="538">
        <v>8650</v>
      </c>
      <c r="C76" s="244" t="s">
        <v>650</v>
      </c>
      <c r="D76" s="363">
        <f>'C.2.2-F 09'!P67</f>
        <v>412.44765735378132</v>
      </c>
      <c r="E76" s="195"/>
      <c r="J76" s="700"/>
    </row>
    <row r="77" spans="1:10">
      <c r="A77" s="206">
        <f t="shared" si="0"/>
        <v>65</v>
      </c>
      <c r="B77" s="538">
        <v>8670</v>
      </c>
      <c r="C77" s="244" t="s">
        <v>651</v>
      </c>
      <c r="D77" s="363">
        <v>0</v>
      </c>
      <c r="E77" s="195"/>
      <c r="J77" s="700"/>
    </row>
    <row r="78" spans="1:10">
      <c r="A78" s="206">
        <f t="shared" si="0"/>
        <v>66</v>
      </c>
      <c r="B78" s="78"/>
      <c r="C78" s="260" t="s">
        <v>1014</v>
      </c>
      <c r="D78" s="674">
        <f>SUM(D73:D77)</f>
        <v>3503.7190325631191</v>
      </c>
      <c r="E78" s="305"/>
      <c r="F78" s="591"/>
      <c r="G78" s="720"/>
    </row>
    <row r="79" spans="1:10">
      <c r="A79" s="206">
        <f t="shared" si="0"/>
        <v>67</v>
      </c>
      <c r="B79" s="78"/>
      <c r="C79" s="181"/>
      <c r="D79" s="224"/>
      <c r="E79" s="224"/>
    </row>
    <row r="80" spans="1:10">
      <c r="A80" s="206">
        <f t="shared" si="0"/>
        <v>68</v>
      </c>
      <c r="B80" s="78"/>
      <c r="C80" s="293" t="s">
        <v>331</v>
      </c>
      <c r="D80" s="258"/>
      <c r="E80" s="258"/>
    </row>
    <row r="81" spans="1:6">
      <c r="A81" s="206">
        <f t="shared" si="0"/>
        <v>69</v>
      </c>
      <c r="B81" s="528">
        <v>8001</v>
      </c>
      <c r="C81" s="280" t="s">
        <v>874</v>
      </c>
      <c r="D81" s="499">
        <f>'C.2.2-F 09'!P31</f>
        <v>0</v>
      </c>
      <c r="E81" s="499"/>
    </row>
    <row r="82" spans="1:6">
      <c r="A82" s="206">
        <f t="shared" ref="A82:A145" si="1">A81+1</f>
        <v>70</v>
      </c>
      <c r="B82" s="528">
        <v>8010</v>
      </c>
      <c r="C82" s="92" t="s">
        <v>1222</v>
      </c>
      <c r="D82" s="195">
        <f>'C.2.2-F 09'!P32</f>
        <v>81272.137245381979</v>
      </c>
      <c r="E82" s="499"/>
    </row>
    <row r="83" spans="1:6">
      <c r="A83" s="206">
        <f t="shared" si="1"/>
        <v>71</v>
      </c>
      <c r="B83" s="535">
        <v>8040</v>
      </c>
      <c r="C83" s="205" t="s">
        <v>307</v>
      </c>
      <c r="D83" s="195">
        <f>'C.2.2-F 09'!P33</f>
        <v>56991987.583865479</v>
      </c>
      <c r="E83" s="195"/>
      <c r="F83" s="195"/>
    </row>
    <row r="84" spans="1:6">
      <c r="A84" s="206">
        <f t="shared" si="1"/>
        <v>72</v>
      </c>
      <c r="B84" s="535">
        <v>8045</v>
      </c>
      <c r="C84" s="205" t="s">
        <v>1147</v>
      </c>
      <c r="D84" s="195">
        <v>0</v>
      </c>
      <c r="E84" s="195"/>
      <c r="F84" s="195"/>
    </row>
    <row r="85" spans="1:6">
      <c r="A85" s="206">
        <f t="shared" si="1"/>
        <v>73</v>
      </c>
      <c r="B85" s="528">
        <v>8050</v>
      </c>
      <c r="C85" s="280" t="s">
        <v>916</v>
      </c>
      <c r="D85" s="195">
        <f>'C.2.2-F 09'!P34</f>
        <v>-17551.962109324333</v>
      </c>
      <c r="E85" s="195"/>
      <c r="F85" s="195"/>
    </row>
    <row r="86" spans="1:6">
      <c r="A86" s="206">
        <f t="shared" si="1"/>
        <v>74</v>
      </c>
      <c r="B86" s="535">
        <v>8051</v>
      </c>
      <c r="C86" s="205" t="s">
        <v>818</v>
      </c>
      <c r="D86" s="195">
        <f>'C.2.2-F 09'!P35</f>
        <v>45436441.511870168</v>
      </c>
      <c r="E86" s="195"/>
      <c r="F86" s="195"/>
    </row>
    <row r="87" spans="1:6">
      <c r="A87" s="206">
        <f t="shared" si="1"/>
        <v>75</v>
      </c>
      <c r="B87" s="535">
        <v>8052</v>
      </c>
      <c r="C87" s="205" t="s">
        <v>426</v>
      </c>
      <c r="D87" s="195">
        <f>'C.2.2-F 09'!P36</f>
        <v>23451444.652359258</v>
      </c>
      <c r="E87" s="195"/>
      <c r="F87" s="195"/>
    </row>
    <row r="88" spans="1:6">
      <c r="A88" s="206">
        <f t="shared" si="1"/>
        <v>76</v>
      </c>
      <c r="B88" s="535">
        <v>8053</v>
      </c>
      <c r="C88" s="205" t="s">
        <v>842</v>
      </c>
      <c r="D88" s="195">
        <f>'C.2.2-F 09'!P37</f>
        <v>6473398.3703446072</v>
      </c>
      <c r="E88" s="195"/>
      <c r="F88" s="195"/>
    </row>
    <row r="89" spans="1:6">
      <c r="A89" s="206">
        <f t="shared" si="1"/>
        <v>77</v>
      </c>
      <c r="B89" s="535">
        <v>8054</v>
      </c>
      <c r="C89" s="205" t="s">
        <v>843</v>
      </c>
      <c r="D89" s="195">
        <f>'C.2.2-F 09'!P38</f>
        <v>4552017.5884690257</v>
      </c>
      <c r="E89" s="195"/>
      <c r="F89" s="195"/>
    </row>
    <row r="90" spans="1:6">
      <c r="A90" s="206">
        <f t="shared" si="1"/>
        <v>78</v>
      </c>
      <c r="B90" s="535">
        <v>8057</v>
      </c>
      <c r="C90" s="205" t="s">
        <v>282</v>
      </c>
      <c r="D90" s="195">
        <v>0</v>
      </c>
      <c r="E90" s="195"/>
      <c r="F90" s="195"/>
    </row>
    <row r="91" spans="1:6">
      <c r="A91" s="206">
        <f t="shared" si="1"/>
        <v>79</v>
      </c>
      <c r="B91" s="535">
        <v>8058</v>
      </c>
      <c r="C91" s="205" t="s">
        <v>283</v>
      </c>
      <c r="D91" s="195">
        <f>'C.2.2-F 09'!P39</f>
        <v>-1182255.0598540921</v>
      </c>
      <c r="E91" s="195"/>
      <c r="F91" s="195"/>
    </row>
    <row r="92" spans="1:6">
      <c r="A92" s="206">
        <f t="shared" si="1"/>
        <v>80</v>
      </c>
      <c r="B92" s="535">
        <v>8059</v>
      </c>
      <c r="C92" s="205" t="s">
        <v>284</v>
      </c>
      <c r="D92" s="195">
        <f>'C.2.2-F 09'!P40</f>
        <v>-92651830.938525483</v>
      </c>
      <c r="E92" s="195"/>
      <c r="F92" s="195"/>
    </row>
    <row r="93" spans="1:6">
      <c r="A93" s="206">
        <f t="shared" si="1"/>
        <v>81</v>
      </c>
      <c r="B93" s="535">
        <v>8060</v>
      </c>
      <c r="C93" s="205" t="s">
        <v>1015</v>
      </c>
      <c r="D93" s="195">
        <f>'C.2.2-F 09'!P41</f>
        <v>6250360.1010106523</v>
      </c>
      <c r="E93" s="195"/>
      <c r="F93" s="195"/>
    </row>
    <row r="94" spans="1:6">
      <c r="A94" s="206">
        <f t="shared" si="1"/>
        <v>82</v>
      </c>
      <c r="B94" s="535">
        <v>8081</v>
      </c>
      <c r="C94" s="205" t="s">
        <v>285</v>
      </c>
      <c r="D94" s="195">
        <f>'C.2.2-F 09'!P42</f>
        <v>15070639.332660321</v>
      </c>
      <c r="E94" s="195"/>
      <c r="F94" s="195"/>
    </row>
    <row r="95" spans="1:6">
      <c r="A95" s="206">
        <f t="shared" si="1"/>
        <v>83</v>
      </c>
      <c r="B95" s="535">
        <v>8082</v>
      </c>
      <c r="C95" s="205" t="s">
        <v>68</v>
      </c>
      <c r="D95" s="195">
        <f>'C.2.2-F 09'!P43</f>
        <v>-17546750.989506993</v>
      </c>
      <c r="E95" s="195"/>
      <c r="F95" s="195"/>
    </row>
    <row r="96" spans="1:6">
      <c r="A96" s="206">
        <f t="shared" si="1"/>
        <v>84</v>
      </c>
      <c r="B96" s="528">
        <v>8110</v>
      </c>
      <c r="C96" s="275" t="s">
        <v>1223</v>
      </c>
      <c r="D96" s="195">
        <v>0</v>
      </c>
      <c r="E96" s="195"/>
      <c r="F96" s="195"/>
    </row>
    <row r="97" spans="1:10">
      <c r="A97" s="206">
        <f t="shared" si="1"/>
        <v>85</v>
      </c>
      <c r="B97" s="535">
        <v>8120</v>
      </c>
      <c r="C97" s="205" t="s">
        <v>1031</v>
      </c>
      <c r="D97" s="195">
        <f>'C.2.2-F 09'!P44</f>
        <v>-21929.820379914829</v>
      </c>
      <c r="E97" s="195"/>
      <c r="F97" s="195"/>
    </row>
    <row r="98" spans="1:10">
      <c r="A98" s="206">
        <f t="shared" si="1"/>
        <v>86</v>
      </c>
      <c r="B98" s="535">
        <v>8130</v>
      </c>
      <c r="C98" s="205" t="s">
        <v>70</v>
      </c>
      <c r="D98" s="195">
        <v>0</v>
      </c>
      <c r="E98" s="195"/>
      <c r="F98" s="195"/>
    </row>
    <row r="99" spans="1:10">
      <c r="A99" s="206">
        <f t="shared" si="1"/>
        <v>87</v>
      </c>
      <c r="B99" s="528">
        <v>8580</v>
      </c>
      <c r="C99" s="275" t="s">
        <v>1221</v>
      </c>
      <c r="D99" s="195">
        <f>'C.2.2-F 09'!P45</f>
        <v>31821874.735359967</v>
      </c>
      <c r="E99" s="195"/>
    </row>
    <row r="100" spans="1:10">
      <c r="A100" s="206">
        <f t="shared" si="1"/>
        <v>88</v>
      </c>
      <c r="B100" s="78"/>
      <c r="C100" s="673" t="s">
        <v>1032</v>
      </c>
      <c r="D100" s="674">
        <f>SUM(D81:D99)</f>
        <v>78709117.242809042</v>
      </c>
      <c r="E100" s="305"/>
      <c r="F100" s="591"/>
      <c r="G100" s="720"/>
    </row>
    <row r="101" spans="1:10">
      <c r="A101" s="206">
        <f t="shared" si="1"/>
        <v>89</v>
      </c>
      <c r="B101" s="78"/>
      <c r="D101" s="196"/>
      <c r="E101" s="196"/>
    </row>
    <row r="102" spans="1:10">
      <c r="A102" s="206">
        <f t="shared" si="1"/>
        <v>90</v>
      </c>
      <c r="B102" s="78"/>
      <c r="C102" s="293" t="s">
        <v>1059</v>
      </c>
      <c r="D102" s="196"/>
      <c r="E102" s="196"/>
    </row>
    <row r="103" spans="1:10">
      <c r="A103" s="206">
        <f t="shared" si="1"/>
        <v>91</v>
      </c>
      <c r="B103" s="535">
        <v>8700</v>
      </c>
      <c r="C103" s="290" t="s">
        <v>653</v>
      </c>
      <c r="D103" s="499">
        <f>'C.2.2-F 09'!P68</f>
        <v>1207940.061616773</v>
      </c>
      <c r="E103" s="499"/>
      <c r="J103" s="700"/>
    </row>
    <row r="104" spans="1:10">
      <c r="A104" s="206">
        <f t="shared" si="1"/>
        <v>92</v>
      </c>
      <c r="B104" s="535">
        <v>8710</v>
      </c>
      <c r="C104" s="290" t="s">
        <v>654</v>
      </c>
      <c r="D104" s="195">
        <f>'C.2.2-F 09'!P69</f>
        <v>986.12287230336733</v>
      </c>
      <c r="E104" s="195"/>
      <c r="J104" s="700"/>
    </row>
    <row r="105" spans="1:10">
      <c r="A105" s="206">
        <f t="shared" si="1"/>
        <v>93</v>
      </c>
      <c r="B105" s="535">
        <v>8711</v>
      </c>
      <c r="C105" s="205" t="s">
        <v>348</v>
      </c>
      <c r="D105" s="195">
        <f>'C.2.2-F 09'!P70</f>
        <v>2669.6805949620798</v>
      </c>
      <c r="E105" s="195"/>
      <c r="J105" s="700"/>
    </row>
    <row r="106" spans="1:10">
      <c r="A106" s="206">
        <f t="shared" si="1"/>
        <v>94</v>
      </c>
      <c r="B106" s="535">
        <v>8720</v>
      </c>
      <c r="C106" s="290" t="s">
        <v>969</v>
      </c>
      <c r="D106" s="195">
        <f>'C.2.2-F 09'!P71</f>
        <v>0</v>
      </c>
      <c r="E106" s="195"/>
    </row>
    <row r="107" spans="1:10">
      <c r="A107" s="206">
        <f t="shared" si="1"/>
        <v>95</v>
      </c>
      <c r="B107" s="535">
        <v>8740</v>
      </c>
      <c r="C107" s="290" t="s">
        <v>970</v>
      </c>
      <c r="D107" s="195">
        <f>'C.2.2-F 09'!P72</f>
        <v>3444977.8442807291</v>
      </c>
      <c r="E107" s="195"/>
      <c r="J107" s="700"/>
    </row>
    <row r="108" spans="1:10">
      <c r="A108" s="206">
        <f t="shared" si="1"/>
        <v>96</v>
      </c>
      <c r="B108" s="535">
        <v>8750</v>
      </c>
      <c r="C108" s="290" t="s">
        <v>974</v>
      </c>
      <c r="D108" s="195">
        <f>'C.2.2-F 09'!P73</f>
        <v>484493.92707599961</v>
      </c>
      <c r="E108" s="195"/>
      <c r="J108" s="700"/>
    </row>
    <row r="109" spans="1:10">
      <c r="A109" s="206">
        <f t="shared" si="1"/>
        <v>97</v>
      </c>
      <c r="B109" s="535">
        <v>8760</v>
      </c>
      <c r="C109" s="290" t="s">
        <v>975</v>
      </c>
      <c r="D109" s="195">
        <f>'C.2.2-F 09'!P74</f>
        <v>30793.343437887364</v>
      </c>
      <c r="E109" s="195"/>
      <c r="J109" s="700"/>
    </row>
    <row r="110" spans="1:10">
      <c r="A110" s="206">
        <f t="shared" si="1"/>
        <v>98</v>
      </c>
      <c r="B110" s="535">
        <v>8770</v>
      </c>
      <c r="C110" s="290" t="s">
        <v>976</v>
      </c>
      <c r="D110" s="195">
        <f>'C.2.2-F 09'!P75</f>
        <v>22312.907654589118</v>
      </c>
      <c r="E110" s="195"/>
      <c r="J110" s="700"/>
    </row>
    <row r="111" spans="1:10">
      <c r="A111" s="206">
        <f t="shared" si="1"/>
        <v>99</v>
      </c>
      <c r="B111" s="535">
        <v>8780</v>
      </c>
      <c r="C111" s="290" t="s">
        <v>971</v>
      </c>
      <c r="D111" s="195">
        <f>'C.2.2-F 09'!P76</f>
        <v>940679.24685626116</v>
      </c>
      <c r="E111" s="195"/>
      <c r="J111" s="700"/>
    </row>
    <row r="112" spans="1:10">
      <c r="A112" s="206">
        <f t="shared" si="1"/>
        <v>100</v>
      </c>
      <c r="B112" s="535">
        <v>8790</v>
      </c>
      <c r="C112" s="290" t="s">
        <v>972</v>
      </c>
      <c r="D112" s="195">
        <f>'C.2.2-F 09'!P77</f>
        <v>4184.3139723859586</v>
      </c>
      <c r="E112" s="195"/>
      <c r="J112" s="700"/>
    </row>
    <row r="113" spans="1:10">
      <c r="A113" s="206">
        <f t="shared" si="1"/>
        <v>101</v>
      </c>
      <c r="B113" s="535">
        <v>8800</v>
      </c>
      <c r="C113" s="290" t="s">
        <v>973</v>
      </c>
      <c r="D113" s="195">
        <f>'C.2.2-F 09'!P78</f>
        <v>145790.61195528042</v>
      </c>
      <c r="E113" s="195"/>
      <c r="J113" s="700"/>
    </row>
    <row r="114" spans="1:10">
      <c r="A114" s="206">
        <f t="shared" si="1"/>
        <v>102</v>
      </c>
      <c r="B114" s="535">
        <v>8810</v>
      </c>
      <c r="C114" s="290" t="s">
        <v>776</v>
      </c>
      <c r="D114" s="195">
        <f>'C.2.2-F 09'!P79</f>
        <v>344254.54247830564</v>
      </c>
      <c r="E114" s="195"/>
      <c r="J114" s="700"/>
    </row>
    <row r="115" spans="1:10">
      <c r="A115" s="206">
        <f t="shared" si="1"/>
        <v>103</v>
      </c>
      <c r="B115" s="78"/>
      <c r="C115" s="260" t="s">
        <v>665</v>
      </c>
      <c r="D115" s="674">
        <f>SUM(D103:D114)</f>
        <v>6629082.602795477</v>
      </c>
      <c r="E115" s="305"/>
      <c r="F115" s="591"/>
      <c r="G115" s="720"/>
    </row>
    <row r="116" spans="1:10">
      <c r="A116" s="206">
        <f t="shared" si="1"/>
        <v>104</v>
      </c>
      <c r="B116" s="78"/>
      <c r="D116" s="196"/>
      <c r="E116" s="196"/>
    </row>
    <row r="117" spans="1:10">
      <c r="A117" s="206">
        <f t="shared" si="1"/>
        <v>105</v>
      </c>
      <c r="B117" s="206"/>
      <c r="C117" s="293" t="s">
        <v>666</v>
      </c>
      <c r="D117" s="258"/>
      <c r="E117" s="258"/>
    </row>
    <row r="118" spans="1:10">
      <c r="A118" s="206">
        <f t="shared" si="1"/>
        <v>106</v>
      </c>
      <c r="B118" s="535">
        <v>8850</v>
      </c>
      <c r="C118" s="290" t="s">
        <v>653</v>
      </c>
      <c r="D118" s="499">
        <f>'C.2.2-F 09'!P80</f>
        <v>1398.5321008175843</v>
      </c>
      <c r="E118" s="499"/>
      <c r="H118" s="700"/>
      <c r="J118" s="700"/>
    </row>
    <row r="119" spans="1:10">
      <c r="A119" s="206">
        <f t="shared" si="1"/>
        <v>107</v>
      </c>
      <c r="B119" s="535">
        <v>8860</v>
      </c>
      <c r="C119" s="290" t="s">
        <v>977</v>
      </c>
      <c r="D119" s="195">
        <f>'C.2.2-F 09'!P81</f>
        <v>308.86009704748483</v>
      </c>
      <c r="E119" s="195"/>
      <c r="H119" s="700"/>
      <c r="J119" s="700"/>
    </row>
    <row r="120" spans="1:10">
      <c r="A120" s="206">
        <f t="shared" si="1"/>
        <v>108</v>
      </c>
      <c r="B120" s="535">
        <v>8870</v>
      </c>
      <c r="C120" s="290" t="s">
        <v>511</v>
      </c>
      <c r="D120" s="195">
        <f>'C.2.2-F 09'!P82</f>
        <v>30023.101548851871</v>
      </c>
      <c r="E120" s="195"/>
      <c r="H120" s="700"/>
      <c r="J120" s="700"/>
    </row>
    <row r="121" spans="1:10">
      <c r="A121" s="206">
        <f t="shared" si="1"/>
        <v>109</v>
      </c>
      <c r="B121" s="535">
        <v>8890</v>
      </c>
      <c r="C121" s="290" t="s">
        <v>974</v>
      </c>
      <c r="D121" s="195">
        <f>'C.2.2-F 09'!P83</f>
        <v>37.649089638392894</v>
      </c>
      <c r="E121" s="195"/>
      <c r="H121" s="700"/>
      <c r="J121" s="700"/>
    </row>
    <row r="122" spans="1:10">
      <c r="A122" s="206">
        <f t="shared" si="1"/>
        <v>110</v>
      </c>
      <c r="B122" s="535">
        <v>8900</v>
      </c>
      <c r="C122" s="290" t="s">
        <v>975</v>
      </c>
      <c r="D122" s="195">
        <f>'C.2.2-F 09'!P84</f>
        <v>9170.0186946386402</v>
      </c>
      <c r="E122" s="195"/>
      <c r="H122" s="700"/>
      <c r="J122" s="700"/>
    </row>
    <row r="123" spans="1:10">
      <c r="A123" s="206">
        <f t="shared" si="1"/>
        <v>111</v>
      </c>
      <c r="B123" s="535">
        <v>8910</v>
      </c>
      <c r="C123" s="290" t="s">
        <v>976</v>
      </c>
      <c r="D123" s="195">
        <f>'C.2.2-F 09'!P85</f>
        <v>4224.8530064507568</v>
      </c>
      <c r="E123" s="195"/>
      <c r="H123" s="700"/>
      <c r="J123" s="700"/>
    </row>
    <row r="124" spans="1:10">
      <c r="A124" s="206">
        <f t="shared" si="1"/>
        <v>112</v>
      </c>
      <c r="B124" s="535">
        <v>8920</v>
      </c>
      <c r="C124" s="290" t="s">
        <v>1061</v>
      </c>
      <c r="D124" s="195">
        <f>'C.2.2-F 09'!P86</f>
        <v>106.28241897364295</v>
      </c>
      <c r="E124" s="195"/>
      <c r="H124" s="700"/>
      <c r="J124" s="700"/>
    </row>
    <row r="125" spans="1:10">
      <c r="A125" s="206">
        <f t="shared" si="1"/>
        <v>113</v>
      </c>
      <c r="B125" s="535">
        <v>8930</v>
      </c>
      <c r="C125" s="290" t="s">
        <v>978</v>
      </c>
      <c r="D125" s="195">
        <f>'C.2.2-F 09'!P87</f>
        <v>90412.683935747889</v>
      </c>
      <c r="E125" s="195"/>
      <c r="H125" s="700"/>
      <c r="J125" s="700"/>
    </row>
    <row r="126" spans="1:10">
      <c r="A126" s="206">
        <f t="shared" si="1"/>
        <v>114</v>
      </c>
      <c r="B126" s="535">
        <v>8940</v>
      </c>
      <c r="C126" s="290" t="s">
        <v>651</v>
      </c>
      <c r="D126" s="195">
        <f>'C.2.2-F 09'!P88</f>
        <v>10779.038586833656</v>
      </c>
      <c r="E126" s="195"/>
      <c r="H126" s="700"/>
      <c r="J126" s="700"/>
    </row>
    <row r="127" spans="1:10">
      <c r="A127" s="206">
        <f t="shared" si="1"/>
        <v>115</v>
      </c>
      <c r="B127" s="540" t="s">
        <v>788</v>
      </c>
      <c r="C127" s="290" t="s">
        <v>297</v>
      </c>
      <c r="D127" s="230">
        <v>0</v>
      </c>
      <c r="E127" s="195"/>
      <c r="H127" s="700"/>
    </row>
    <row r="128" spans="1:10">
      <c r="A128" s="206">
        <f t="shared" si="1"/>
        <v>116</v>
      </c>
      <c r="B128" s="78"/>
      <c r="C128" s="260" t="s">
        <v>427</v>
      </c>
      <c r="D128" s="305">
        <f>SUM(D118:D127)</f>
        <v>146461.01947899992</v>
      </c>
      <c r="E128" s="305"/>
      <c r="F128" s="591"/>
      <c r="G128" s="720"/>
    </row>
    <row r="129" spans="1:10">
      <c r="A129" s="206">
        <f t="shared" si="1"/>
        <v>117</v>
      </c>
      <c r="B129" s="78"/>
      <c r="C129" s="260"/>
      <c r="D129" s="224"/>
      <c r="E129" s="224"/>
    </row>
    <row r="130" spans="1:10">
      <c r="A130" s="206">
        <f t="shared" si="1"/>
        <v>118</v>
      </c>
      <c r="B130" s="206"/>
      <c r="C130" s="293" t="s">
        <v>428</v>
      </c>
      <c r="D130" s="258"/>
      <c r="E130" s="258"/>
    </row>
    <row r="131" spans="1:10">
      <c r="A131" s="206">
        <f t="shared" si="1"/>
        <v>119</v>
      </c>
      <c r="B131" s="535">
        <v>9010</v>
      </c>
      <c r="C131" s="290" t="s">
        <v>483</v>
      </c>
      <c r="D131" s="499">
        <f>'C.2.2-F 09'!P89</f>
        <v>421.11141508071182</v>
      </c>
      <c r="E131" s="499"/>
      <c r="H131" s="700"/>
      <c r="J131" s="700"/>
    </row>
    <row r="132" spans="1:10">
      <c r="A132" s="206">
        <f t="shared" si="1"/>
        <v>120</v>
      </c>
      <c r="B132" s="535">
        <v>9020</v>
      </c>
      <c r="C132" s="290" t="s">
        <v>672</v>
      </c>
      <c r="D132" s="195">
        <f>'C.2.2-F 09'!P90</f>
        <v>1251833.2497718523</v>
      </c>
      <c r="E132" s="195"/>
      <c r="H132" s="700"/>
      <c r="J132" s="700"/>
    </row>
    <row r="133" spans="1:10">
      <c r="A133" s="206">
        <f t="shared" si="1"/>
        <v>121</v>
      </c>
      <c r="B133" s="535">
        <v>9030</v>
      </c>
      <c r="C133" s="290" t="s">
        <v>979</v>
      </c>
      <c r="D133" s="195">
        <f>'C.2.2-F 09'!P91</f>
        <v>1762399.2143104097</v>
      </c>
      <c r="E133" s="195"/>
      <c r="H133" s="700"/>
      <c r="J133" s="700"/>
    </row>
    <row r="134" spans="1:10">
      <c r="A134" s="206">
        <f t="shared" si="1"/>
        <v>122</v>
      </c>
      <c r="B134" s="535">
        <v>9040</v>
      </c>
      <c r="C134" s="290" t="s">
        <v>673</v>
      </c>
      <c r="D134" s="195">
        <f>'C.2.2-F 09'!P92</f>
        <v>362112.25893361459</v>
      </c>
      <c r="E134" s="195"/>
      <c r="H134" s="700"/>
      <c r="J134" s="700"/>
    </row>
    <row r="135" spans="1:10">
      <c r="A135" s="206">
        <f t="shared" si="1"/>
        <v>123</v>
      </c>
      <c r="B135" s="206"/>
      <c r="C135" s="260" t="s">
        <v>549</v>
      </c>
      <c r="D135" s="674">
        <f>SUM(D131:D134)</f>
        <v>3376765.8344309572</v>
      </c>
      <c r="E135" s="305"/>
      <c r="F135" s="591"/>
      <c r="G135" s="720"/>
      <c r="H135" s="700"/>
    </row>
    <row r="136" spans="1:10">
      <c r="A136" s="206">
        <f t="shared" si="1"/>
        <v>124</v>
      </c>
      <c r="B136" s="78"/>
      <c r="D136" s="196"/>
      <c r="E136" s="196"/>
    </row>
    <row r="137" spans="1:10">
      <c r="A137" s="206">
        <f t="shared" si="1"/>
        <v>125</v>
      </c>
      <c r="B137" s="78"/>
      <c r="C137" s="293" t="s">
        <v>550</v>
      </c>
      <c r="D137" s="196"/>
      <c r="E137" s="196"/>
    </row>
    <row r="138" spans="1:10">
      <c r="A138" s="206">
        <f t="shared" si="1"/>
        <v>126</v>
      </c>
      <c r="B138" s="535">
        <v>9070</v>
      </c>
      <c r="C138" s="290" t="s">
        <v>483</v>
      </c>
      <c r="D138" s="499">
        <v>0</v>
      </c>
      <c r="E138" s="499"/>
      <c r="H138" s="700"/>
      <c r="J138" s="700"/>
    </row>
    <row r="139" spans="1:10">
      <c r="A139" s="206">
        <f t="shared" si="1"/>
        <v>127</v>
      </c>
      <c r="B139" s="535">
        <v>9080</v>
      </c>
      <c r="C139" s="290" t="s">
        <v>671</v>
      </c>
      <c r="D139" s="195">
        <v>0</v>
      </c>
      <c r="E139" s="195"/>
      <c r="H139" s="700"/>
      <c r="J139" s="700"/>
    </row>
    <row r="140" spans="1:10">
      <c r="A140" s="206">
        <f t="shared" si="1"/>
        <v>128</v>
      </c>
      <c r="B140" s="535">
        <v>9090</v>
      </c>
      <c r="C140" s="290" t="s">
        <v>670</v>
      </c>
      <c r="D140" s="195">
        <f>'C.2.2-F 09'!P93</f>
        <v>133613.60616766004</v>
      </c>
      <c r="E140" s="195"/>
      <c r="H140" s="700"/>
      <c r="J140" s="700"/>
    </row>
    <row r="141" spans="1:10">
      <c r="A141" s="206">
        <f t="shared" si="1"/>
        <v>129</v>
      </c>
      <c r="B141" s="535">
        <v>9100</v>
      </c>
      <c r="C141" s="290" t="s">
        <v>457</v>
      </c>
      <c r="D141" s="195">
        <f>'C.2.2-F 09'!P94</f>
        <v>0</v>
      </c>
      <c r="E141" s="195"/>
      <c r="H141" s="700"/>
      <c r="J141" s="700"/>
    </row>
    <row r="142" spans="1:10">
      <c r="A142" s="206">
        <f t="shared" si="1"/>
        <v>130</v>
      </c>
      <c r="B142" s="206"/>
      <c r="C142" s="260" t="s">
        <v>862</v>
      </c>
      <c r="D142" s="674">
        <f>SUM(D138:D141)</f>
        <v>133613.60616766004</v>
      </c>
      <c r="E142" s="305"/>
      <c r="F142" s="591"/>
      <c r="G142" s="720"/>
    </row>
    <row r="143" spans="1:10">
      <c r="A143" s="206">
        <f t="shared" si="1"/>
        <v>131</v>
      </c>
      <c r="B143" s="206"/>
      <c r="C143" s="260"/>
      <c r="D143" s="224"/>
      <c r="E143" s="224"/>
    </row>
    <row r="144" spans="1:10">
      <c r="A144" s="206">
        <f t="shared" si="1"/>
        <v>132</v>
      </c>
      <c r="B144" s="206"/>
      <c r="C144" s="293" t="s">
        <v>499</v>
      </c>
      <c r="D144" s="258"/>
      <c r="E144" s="258"/>
    </row>
    <row r="145" spans="1:10">
      <c r="A145" s="206">
        <f t="shared" si="1"/>
        <v>133</v>
      </c>
      <c r="B145" s="535">
        <v>9110</v>
      </c>
      <c r="C145" s="290" t="s">
        <v>483</v>
      </c>
      <c r="D145" s="499">
        <f>'C.2.2-F 09'!P95</f>
        <v>266961.66291167575</v>
      </c>
      <c r="E145" s="499"/>
      <c r="H145" s="700"/>
      <c r="J145" s="700"/>
    </row>
    <row r="146" spans="1:10">
      <c r="A146" s="206">
        <f t="shared" ref="A146:A177" si="2">A145+1</f>
        <v>134</v>
      </c>
      <c r="B146" s="535">
        <v>9120</v>
      </c>
      <c r="C146" s="290" t="s">
        <v>777</v>
      </c>
      <c r="D146" s="195">
        <f>'C.2.2-F 09'!P96</f>
        <v>131289.94335798768</v>
      </c>
      <c r="E146" s="195"/>
      <c r="H146" s="700"/>
      <c r="J146" s="700"/>
    </row>
    <row r="147" spans="1:10">
      <c r="A147" s="206">
        <f t="shared" si="2"/>
        <v>135</v>
      </c>
      <c r="B147" s="535">
        <v>9130</v>
      </c>
      <c r="C147" s="290" t="s">
        <v>859</v>
      </c>
      <c r="D147" s="195">
        <f>'C.2.2-F 09'!P97</f>
        <v>45483.023228428916</v>
      </c>
      <c r="E147" s="195"/>
      <c r="H147" s="700"/>
      <c r="J147" s="700"/>
    </row>
    <row r="148" spans="1:10">
      <c r="A148" s="206">
        <f t="shared" si="2"/>
        <v>136</v>
      </c>
      <c r="B148" s="535">
        <v>9160</v>
      </c>
      <c r="C148" s="290" t="s">
        <v>844</v>
      </c>
      <c r="D148" s="195">
        <v>0</v>
      </c>
      <c r="E148" s="195"/>
      <c r="H148" s="700"/>
      <c r="J148" s="700"/>
    </row>
    <row r="149" spans="1:10">
      <c r="A149" s="206">
        <f t="shared" si="2"/>
        <v>137</v>
      </c>
      <c r="B149" s="206"/>
      <c r="C149" s="260" t="s">
        <v>1124</v>
      </c>
      <c r="D149" s="674">
        <f>SUM(D145:D148)</f>
        <v>443734.62949809234</v>
      </c>
      <c r="E149" s="305"/>
      <c r="F149" s="591"/>
      <c r="G149" s="720"/>
    </row>
    <row r="150" spans="1:10">
      <c r="A150" s="206">
        <f t="shared" si="2"/>
        <v>138</v>
      </c>
      <c r="B150" s="78"/>
      <c r="D150" s="258"/>
      <c r="E150" s="258"/>
    </row>
    <row r="151" spans="1:10">
      <c r="A151" s="206">
        <f t="shared" si="2"/>
        <v>139</v>
      </c>
      <c r="B151" s="206"/>
      <c r="C151" s="293" t="s">
        <v>1125</v>
      </c>
      <c r="D151" s="258"/>
      <c r="E151" s="258"/>
      <c r="H151" s="700"/>
    </row>
    <row r="152" spans="1:10">
      <c r="A152" s="206">
        <f t="shared" si="2"/>
        <v>140</v>
      </c>
      <c r="B152" s="535">
        <v>9200</v>
      </c>
      <c r="C152" s="290" t="s">
        <v>768</v>
      </c>
      <c r="D152" s="305">
        <f>'C.2.2-F 09'!P98</f>
        <v>142767.57962510464</v>
      </c>
      <c r="E152" s="499"/>
      <c r="H152" s="700"/>
      <c r="J152" s="700"/>
    </row>
    <row r="153" spans="1:10">
      <c r="A153" s="206">
        <f t="shared" si="2"/>
        <v>141</v>
      </c>
      <c r="B153" s="535">
        <v>9210</v>
      </c>
      <c r="C153" s="290" t="s">
        <v>769</v>
      </c>
      <c r="D153" s="195">
        <f>'C.2.2-F 09'!P99</f>
        <v>3248.5906297654274</v>
      </c>
      <c r="E153" s="195"/>
      <c r="H153" s="700"/>
      <c r="J153" s="700"/>
    </row>
    <row r="154" spans="1:10">
      <c r="A154" s="206">
        <f t="shared" si="2"/>
        <v>142</v>
      </c>
      <c r="B154" s="535">
        <v>9220</v>
      </c>
      <c r="C154" s="290" t="s">
        <v>770</v>
      </c>
      <c r="D154" s="195">
        <f>'C.2.2-F 09'!P100</f>
        <v>14012400.830261085</v>
      </c>
      <c r="E154" s="195"/>
      <c r="H154" s="700"/>
      <c r="J154" s="700"/>
    </row>
    <row r="155" spans="1:10">
      <c r="A155" s="206">
        <f t="shared" si="2"/>
        <v>143</v>
      </c>
      <c r="B155" s="535">
        <v>9230</v>
      </c>
      <c r="C155" s="290" t="s">
        <v>771</v>
      </c>
      <c r="D155" s="195">
        <f>'C.2.2-F 09'!P101</f>
        <v>69849.535966556228</v>
      </c>
      <c r="E155" s="195"/>
      <c r="H155" s="700"/>
      <c r="J155" s="700"/>
    </row>
    <row r="156" spans="1:10">
      <c r="A156" s="206">
        <f t="shared" si="2"/>
        <v>144</v>
      </c>
      <c r="B156" s="535">
        <v>9240</v>
      </c>
      <c r="C156" s="290" t="s">
        <v>313</v>
      </c>
      <c r="D156" s="195">
        <f>'C.2.2-F 09'!P102</f>
        <v>5559.6807405956506</v>
      </c>
      <c r="E156" s="195"/>
      <c r="H156" s="700"/>
      <c r="J156" s="700"/>
    </row>
    <row r="157" spans="1:10">
      <c r="A157" s="206">
        <f t="shared" si="2"/>
        <v>145</v>
      </c>
      <c r="B157" s="535">
        <v>9250</v>
      </c>
      <c r="C157" s="290" t="s">
        <v>772</v>
      </c>
      <c r="D157" s="195">
        <f>'C.2.2-F 09'!P103</f>
        <v>17941.386899079786</v>
      </c>
      <c r="E157" s="195"/>
      <c r="H157" s="700"/>
      <c r="J157" s="700"/>
    </row>
    <row r="158" spans="1:10">
      <c r="A158" s="206">
        <f t="shared" si="2"/>
        <v>146</v>
      </c>
      <c r="B158" s="535">
        <v>9260</v>
      </c>
      <c r="C158" s="290" t="s">
        <v>774</v>
      </c>
      <c r="D158" s="195">
        <f>'C.2.2-F 09'!P104</f>
        <v>1843199.3610297418</v>
      </c>
      <c r="E158" s="195"/>
      <c r="H158" s="700"/>
      <c r="J158" s="700"/>
    </row>
    <row r="159" spans="1:10">
      <c r="A159" s="206">
        <f t="shared" si="2"/>
        <v>147</v>
      </c>
      <c r="B159" s="535">
        <v>9270</v>
      </c>
      <c r="C159" s="290" t="s">
        <v>314</v>
      </c>
      <c r="D159" s="195">
        <f>'C.2.2-F 09'!P105</f>
        <v>1483.0356442416694</v>
      </c>
      <c r="E159" s="195"/>
      <c r="H159" s="700"/>
      <c r="J159" s="700"/>
    </row>
    <row r="160" spans="1:10">
      <c r="A160" s="206">
        <f t="shared" si="2"/>
        <v>148</v>
      </c>
      <c r="B160" s="535">
        <v>9280</v>
      </c>
      <c r="C160" s="290" t="s">
        <v>775</v>
      </c>
      <c r="D160" s="195">
        <f>'C.2.2-F 09'!P106</f>
        <v>0</v>
      </c>
      <c r="E160" s="195"/>
      <c r="H160" s="700"/>
      <c r="J160" s="700"/>
    </row>
    <row r="161" spans="1:10">
      <c r="A161" s="206">
        <f t="shared" si="2"/>
        <v>149</v>
      </c>
      <c r="B161" s="541">
        <v>930.2</v>
      </c>
      <c r="C161" s="290" t="s">
        <v>315</v>
      </c>
      <c r="D161" s="195">
        <f>'C.2.2-F 09'!P107</f>
        <v>49700.901303923936</v>
      </c>
      <c r="E161" s="195"/>
      <c r="H161" s="700"/>
      <c r="J161" s="700"/>
    </row>
    <row r="162" spans="1:10">
      <c r="A162" s="206">
        <f t="shared" si="2"/>
        <v>150</v>
      </c>
      <c r="B162" s="528">
        <v>9310</v>
      </c>
      <c r="C162" s="280" t="s">
        <v>185</v>
      </c>
      <c r="D162" s="195">
        <f>'C.2.2-F 09'!P108</f>
        <v>12770.835559908166</v>
      </c>
      <c r="E162" s="195"/>
      <c r="H162" s="700"/>
      <c r="J162" s="700"/>
    </row>
    <row r="163" spans="1:10">
      <c r="A163" s="206">
        <f t="shared" si="2"/>
        <v>151</v>
      </c>
      <c r="B163" s="206"/>
      <c r="C163" s="260" t="s">
        <v>767</v>
      </c>
      <c r="D163" s="674">
        <f>SUM(D152:D162)</f>
        <v>16158921.737660004</v>
      </c>
      <c r="E163" s="305"/>
      <c r="F163" s="591"/>
      <c r="G163" s="720"/>
    </row>
    <row r="164" spans="1:10">
      <c r="A164" s="206">
        <f t="shared" si="2"/>
        <v>152</v>
      </c>
      <c r="B164" s="206"/>
      <c r="C164" s="221"/>
      <c r="D164" s="258"/>
      <c r="E164" s="258"/>
      <c r="H164" s="700"/>
    </row>
    <row r="165" spans="1:10">
      <c r="A165" s="206">
        <f t="shared" si="2"/>
        <v>153</v>
      </c>
      <c r="B165" s="206"/>
      <c r="C165" s="293" t="s">
        <v>778</v>
      </c>
      <c r="D165" s="258"/>
      <c r="E165" s="258"/>
      <c r="H165" s="700"/>
    </row>
    <row r="166" spans="1:10">
      <c r="A166" s="206">
        <f t="shared" si="2"/>
        <v>154</v>
      </c>
      <c r="B166" s="535">
        <v>9320</v>
      </c>
      <c r="C166" s="290" t="s">
        <v>779</v>
      </c>
      <c r="D166" s="230">
        <f>'C.2.2-F 09'!P109</f>
        <v>0</v>
      </c>
      <c r="E166" s="195"/>
      <c r="H166" s="700"/>
    </row>
    <row r="167" spans="1:10">
      <c r="A167" s="206">
        <f t="shared" si="2"/>
        <v>155</v>
      </c>
      <c r="B167" s="206"/>
      <c r="C167" s="260" t="s">
        <v>739</v>
      </c>
      <c r="D167" s="501">
        <f>SUM(D166:D166)</f>
        <v>0</v>
      </c>
      <c r="E167" s="501"/>
      <c r="H167" s="700"/>
    </row>
    <row r="168" spans="1:10">
      <c r="A168" s="206">
        <f t="shared" si="2"/>
        <v>156</v>
      </c>
      <c r="B168" s="78"/>
      <c r="D168" s="196"/>
      <c r="E168" s="196"/>
      <c r="H168" s="700"/>
    </row>
    <row r="169" spans="1:10">
      <c r="A169" s="206">
        <f t="shared" si="2"/>
        <v>157</v>
      </c>
      <c r="B169" s="206"/>
      <c r="C169" s="41" t="s">
        <v>333</v>
      </c>
      <c r="D169" s="305">
        <f>+D34+D50+D60+D70+D78+D100+D115+D128+D135+D142+D149+D163+D167</f>
        <v>106273350.86988822</v>
      </c>
      <c r="E169" s="305"/>
      <c r="H169" s="700"/>
      <c r="I169" s="62"/>
    </row>
    <row r="170" spans="1:10">
      <c r="A170" s="206">
        <f t="shared" si="2"/>
        <v>158</v>
      </c>
      <c r="B170" s="78"/>
      <c r="D170" s="196"/>
      <c r="E170" s="196"/>
      <c r="H170" s="700"/>
    </row>
    <row r="171" spans="1:10">
      <c r="A171" s="206">
        <f t="shared" si="2"/>
        <v>159</v>
      </c>
      <c r="B171" s="206" t="s">
        <v>316</v>
      </c>
      <c r="C171" s="205" t="s">
        <v>675</v>
      </c>
      <c r="D171" s="499">
        <f>'C.2.2-F 09'!P14+'C.2.2-F 09'!P15</f>
        <v>21511931.130947832</v>
      </c>
      <c r="E171" s="499"/>
      <c r="F171" s="591"/>
      <c r="G171" s="720"/>
      <c r="H171" s="700"/>
    </row>
    <row r="172" spans="1:10">
      <c r="A172" s="206">
        <f t="shared" si="2"/>
        <v>160</v>
      </c>
      <c r="B172" s="535">
        <v>4081</v>
      </c>
      <c r="C172" s="205" t="s">
        <v>676</v>
      </c>
      <c r="D172" s="195">
        <f>'C.2.2-F 09'!P16</f>
        <v>6566445.2651408128</v>
      </c>
      <c r="E172" s="195"/>
      <c r="F172" s="591"/>
      <c r="G172" s="720"/>
      <c r="H172" s="700"/>
    </row>
    <row r="173" spans="1:10">
      <c r="A173" s="206">
        <f t="shared" si="2"/>
        <v>161</v>
      </c>
      <c r="B173" s="535">
        <v>4091</v>
      </c>
      <c r="C173" s="205" t="s">
        <v>674</v>
      </c>
      <c r="D173" s="195">
        <f>'C.2.2-F 09'!P12</f>
        <v>7187416.0913436608</v>
      </c>
      <c r="E173" s="195"/>
      <c r="F173" s="591"/>
      <c r="G173" s="720"/>
    </row>
    <row r="174" spans="1:10">
      <c r="A174" s="206">
        <f t="shared" si="2"/>
        <v>162</v>
      </c>
      <c r="B174" s="231"/>
      <c r="D174" s="196"/>
      <c r="E174" s="196"/>
    </row>
    <row r="175" spans="1:10">
      <c r="A175" s="206">
        <f t="shared" si="2"/>
        <v>163</v>
      </c>
      <c r="B175" s="291"/>
      <c r="C175" s="205" t="s">
        <v>332</v>
      </c>
      <c r="D175" s="500">
        <f>+D169+SUM(D171:D173)</f>
        <v>141539143.35732052</v>
      </c>
      <c r="E175" s="499"/>
    </row>
    <row r="176" spans="1:10">
      <c r="A176" s="206">
        <f t="shared" si="2"/>
        <v>164</v>
      </c>
      <c r="B176" s="231"/>
      <c r="D176" s="196"/>
      <c r="E176" s="196"/>
    </row>
    <row r="177" spans="1:5" ht="15.75" thickBot="1">
      <c r="A177" s="206">
        <f t="shared" si="2"/>
        <v>165</v>
      </c>
      <c r="B177" s="291"/>
      <c r="C177" s="205" t="s">
        <v>349</v>
      </c>
      <c r="D177" s="542">
        <f>(D28-D175)</f>
        <v>29190132.554100186</v>
      </c>
      <c r="E177" s="499"/>
    </row>
    <row r="178" spans="1:5" ht="15.75" thickTop="1">
      <c r="A178" s="192"/>
      <c r="B178" s="502"/>
      <c r="C178" s="192"/>
      <c r="D178" s="229"/>
      <c r="E178" s="229"/>
    </row>
    <row r="179" spans="1:5">
      <c r="A179" s="192"/>
      <c r="B179" s="503"/>
      <c r="C179" s="192"/>
      <c r="D179" s="192"/>
      <c r="E179" s="192"/>
    </row>
    <row r="180" spans="1:5">
      <c r="B180" s="295"/>
    </row>
    <row r="181" spans="1:5">
      <c r="B181" s="295"/>
    </row>
    <row r="182" spans="1:5">
      <c r="B182" s="295"/>
    </row>
    <row r="183" spans="1:5">
      <c r="B183" s="295"/>
    </row>
    <row r="184" spans="1:5">
      <c r="B184" s="231"/>
    </row>
    <row r="185" spans="1:5">
      <c r="B185" s="231"/>
    </row>
    <row r="186" spans="1:5">
      <c r="B186" s="231"/>
    </row>
    <row r="187" spans="1:5">
      <c r="B187" s="231"/>
    </row>
    <row r="188" spans="1:5">
      <c r="B188" s="231"/>
    </row>
  </sheetData>
  <mergeCells count="4">
    <mergeCell ref="A1:D1"/>
    <mergeCell ref="A2:D2"/>
    <mergeCell ref="A3:D3"/>
    <mergeCell ref="A4:D4"/>
  </mergeCells>
  <phoneticPr fontId="22" type="noConversion"/>
  <printOptions horizontalCentered="1"/>
  <pageMargins left="0.81" right="0.7" top="0.71" bottom="0.94" header="0.5" footer="0.25"/>
  <pageSetup scale="73" fitToHeight="10" orientation="portrait" verticalDpi="300" r:id="rId1"/>
  <headerFooter alignWithMargins="0">
    <oddFooter>&amp;RSchedule &amp;A
Page &amp;P of &amp;N</oddFooter>
  </headerFooter>
  <rowBreaks count="1" manualBreakCount="1">
    <brk id="50" max="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Y141"/>
  <sheetViews>
    <sheetView view="pageBreakPreview" zoomScale="60" zoomScaleNormal="70" workbookViewId="0">
      <pane xSplit="3" ySplit="10" topLeftCell="D11" activePane="bottomRight" state="frozen"/>
      <selection activeCell="F55" sqref="F55"/>
      <selection pane="topRight" activeCell="F55" sqref="F55"/>
      <selection pane="bottomLeft" activeCell="F55" sqref="F55"/>
      <selection pane="bottomRight" activeCell="Q32" sqref="Q32"/>
    </sheetView>
  </sheetViews>
  <sheetFormatPr defaultColWidth="7.109375" defaultRowHeight="15"/>
  <cols>
    <col min="1" max="1" width="4.6640625" customWidth="1"/>
    <col min="2" max="2" width="8.6640625" customWidth="1"/>
    <col min="3" max="3" width="42" customWidth="1"/>
    <col min="4" max="4" width="12.44140625" bestFit="1" customWidth="1"/>
    <col min="5" max="5" width="11.109375" customWidth="1"/>
    <col min="6" max="6" width="12" bestFit="1" customWidth="1"/>
    <col min="7" max="7" width="11.77734375" bestFit="1" customWidth="1"/>
    <col min="8" max="8" width="11.33203125" bestFit="1" customWidth="1"/>
    <col min="9" max="9" width="11.109375" customWidth="1"/>
    <col min="10" max="11" width="11.33203125" bestFit="1" customWidth="1"/>
    <col min="12" max="13" width="12.44140625" bestFit="1" customWidth="1"/>
    <col min="14" max="14" width="11.33203125" bestFit="1" customWidth="1"/>
    <col min="15" max="15" width="12.44140625" customWidth="1"/>
    <col min="16" max="16" width="19.109375" customWidth="1"/>
    <col min="17" max="17" width="12.44140625" customWidth="1"/>
    <col min="18" max="18" width="12.5546875" customWidth="1"/>
    <col min="19" max="19" width="10.88671875" customWidth="1"/>
  </cols>
  <sheetData>
    <row r="1" spans="1:21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1190"/>
      <c r="Q1" s="1"/>
      <c r="R1" s="1"/>
      <c r="S1" s="1"/>
    </row>
    <row r="2" spans="1:21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"/>
      <c r="R2" s="1"/>
      <c r="S2" s="1"/>
    </row>
    <row r="3" spans="1:21">
      <c r="A3" s="1190" t="s">
        <v>423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"/>
      <c r="R3" s="1"/>
      <c r="S3" s="1"/>
    </row>
    <row r="4" spans="1:21">
      <c r="A4" s="1190" t="str">
        <f>'Table of Contents'!A3:C3</f>
        <v>Base Period: Twelve Months Ended December 31, 2017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"/>
      <c r="R4" s="40"/>
      <c r="S4" s="40"/>
    </row>
    <row r="5" spans="1:21" ht="15.75">
      <c r="A5" s="854"/>
      <c r="B5" s="854"/>
      <c r="C5" s="854"/>
      <c r="D5" s="229"/>
      <c r="E5" s="80"/>
      <c r="F5" s="863"/>
      <c r="G5" s="854"/>
      <c r="H5" s="854"/>
      <c r="I5" s="854"/>
      <c r="J5" s="80"/>
      <c r="K5" s="863"/>
      <c r="L5" s="854"/>
      <c r="M5" s="854"/>
      <c r="N5" s="854"/>
      <c r="O5" s="854"/>
      <c r="P5" s="854"/>
      <c r="Q5" s="1"/>
      <c r="R5" s="40"/>
      <c r="S5" s="40"/>
    </row>
    <row r="6" spans="1:21" ht="15.75">
      <c r="A6" s="232" t="str">
        <f>'C.2.1 B'!A6</f>
        <v>Data:___X____Base Period________Forecasted Period</v>
      </c>
      <c r="B6" s="196"/>
      <c r="C6" s="196"/>
      <c r="D6" s="229"/>
      <c r="E6" s="229"/>
      <c r="F6" s="863"/>
      <c r="G6" s="229"/>
      <c r="H6" s="229"/>
      <c r="I6" s="229"/>
      <c r="J6" s="229"/>
      <c r="K6" s="80"/>
      <c r="L6" s="196"/>
      <c r="M6" s="196"/>
      <c r="N6" s="196"/>
      <c r="O6" s="854"/>
      <c r="P6" s="504" t="s">
        <v>1454</v>
      </c>
      <c r="Q6" s="1"/>
      <c r="R6" s="40"/>
      <c r="S6" s="40"/>
    </row>
    <row r="7" spans="1:21">
      <c r="A7" s="232" t="str">
        <f>'C.2.1 B'!A7</f>
        <v>Type of Filing:___X____Original________Updated ________Revised</v>
      </c>
      <c r="B7" s="196"/>
      <c r="C7" s="196"/>
      <c r="D7" s="229"/>
      <c r="E7" s="670"/>
      <c r="F7" s="196"/>
      <c r="G7" s="196"/>
      <c r="H7" s="196"/>
      <c r="I7" s="196"/>
      <c r="J7" s="196"/>
      <c r="K7" s="196"/>
      <c r="L7" s="196"/>
      <c r="M7" s="196"/>
      <c r="N7" s="196"/>
      <c r="O7" s="854"/>
      <c r="P7" s="505" t="s">
        <v>38</v>
      </c>
      <c r="Q7" s="40"/>
      <c r="R7" s="40"/>
      <c r="S7" s="40"/>
    </row>
    <row r="8" spans="1:21">
      <c r="A8" s="312" t="str">
        <f>'C.2.1 B'!A8</f>
        <v>Workpaper Reference No(s).____________________</v>
      </c>
      <c r="B8" s="196"/>
      <c r="C8" s="196"/>
      <c r="D8" s="236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6"/>
      <c r="P8" s="506" t="str">
        <f>C.1!J9</f>
        <v>Witness: Waller, Martin</v>
      </c>
      <c r="Q8" s="40"/>
      <c r="R8" s="40"/>
      <c r="S8" s="40"/>
    </row>
    <row r="9" spans="1:21">
      <c r="A9" s="864" t="s">
        <v>94</v>
      </c>
      <c r="B9" s="865" t="s">
        <v>101</v>
      </c>
      <c r="C9" s="866"/>
      <c r="D9" s="833" t="s">
        <v>108</v>
      </c>
      <c r="E9" s="833" t="s">
        <v>108</v>
      </c>
      <c r="F9" s="833" t="s">
        <v>108</v>
      </c>
      <c r="G9" s="833" t="s">
        <v>108</v>
      </c>
      <c r="H9" s="833" t="s">
        <v>108</v>
      </c>
      <c r="I9" s="833" t="s">
        <v>108</v>
      </c>
      <c r="J9" s="833" t="s">
        <v>44</v>
      </c>
      <c r="K9" s="833" t="s">
        <v>44</v>
      </c>
      <c r="L9" s="833" t="s">
        <v>44</v>
      </c>
      <c r="M9" s="851" t="s">
        <v>458</v>
      </c>
      <c r="N9" s="851" t="s">
        <v>458</v>
      </c>
      <c r="O9" s="851" t="s">
        <v>458</v>
      </c>
      <c r="P9" s="459"/>
      <c r="Q9" s="78"/>
      <c r="R9" s="78"/>
      <c r="S9" s="78"/>
    </row>
    <row r="10" spans="1:21">
      <c r="A10" s="867" t="s">
        <v>100</v>
      </c>
      <c r="B10" s="868" t="s">
        <v>100</v>
      </c>
      <c r="C10" s="869" t="s">
        <v>960</v>
      </c>
      <c r="D10" s="612">
        <v>42736</v>
      </c>
      <c r="E10" s="612">
        <v>42767</v>
      </c>
      <c r="F10" s="612">
        <v>42795</v>
      </c>
      <c r="G10" s="612">
        <v>42826</v>
      </c>
      <c r="H10" s="612">
        <v>42856</v>
      </c>
      <c r="I10" s="612">
        <v>42887</v>
      </c>
      <c r="J10" s="612">
        <v>42917</v>
      </c>
      <c r="K10" s="612">
        <v>42948</v>
      </c>
      <c r="L10" s="612">
        <v>42979</v>
      </c>
      <c r="M10" s="612">
        <v>43009</v>
      </c>
      <c r="N10" s="612">
        <v>43040</v>
      </c>
      <c r="O10" s="612">
        <v>43070</v>
      </c>
      <c r="P10" s="870" t="s">
        <v>97</v>
      </c>
      <c r="Q10" s="209"/>
      <c r="R10" s="78"/>
      <c r="S10" s="78"/>
    </row>
    <row r="11" spans="1:21">
      <c r="A11" s="196"/>
      <c r="B11" s="196"/>
      <c r="C11" s="196"/>
      <c r="D11" s="210" t="s">
        <v>147</v>
      </c>
      <c r="E11" s="210" t="s">
        <v>147</v>
      </c>
      <c r="F11" s="210" t="s">
        <v>147</v>
      </c>
      <c r="G11" s="210" t="s">
        <v>147</v>
      </c>
      <c r="H11" s="210" t="s">
        <v>147</v>
      </c>
      <c r="I11" s="210" t="s">
        <v>147</v>
      </c>
      <c r="J11" s="210" t="s">
        <v>147</v>
      </c>
      <c r="K11" s="210" t="s">
        <v>147</v>
      </c>
      <c r="L11" s="210" t="s">
        <v>147</v>
      </c>
      <c r="M11" s="210" t="s">
        <v>147</v>
      </c>
      <c r="N11" s="210" t="s">
        <v>147</v>
      </c>
      <c r="O11" s="210" t="s">
        <v>147</v>
      </c>
      <c r="P11" s="210" t="s">
        <v>147</v>
      </c>
      <c r="Q11" s="189"/>
      <c r="R11" s="40"/>
    </row>
    <row r="12" spans="1:21">
      <c r="A12" s="459">
        <v>1</v>
      </c>
      <c r="B12" s="832" t="s">
        <v>740</v>
      </c>
      <c r="C12" s="103" t="s">
        <v>731</v>
      </c>
      <c r="D12" s="96">
        <f>0</f>
        <v>0</v>
      </c>
      <c r="E12" s="96">
        <f>0</f>
        <v>0</v>
      </c>
      <c r="F12" s="96">
        <f>0</f>
        <v>0</v>
      </c>
      <c r="G12" s="96">
        <f>0</f>
        <v>0</v>
      </c>
      <c r="H12" s="96" t="s">
        <v>327</v>
      </c>
      <c r="I12" s="96">
        <f>0</f>
        <v>0</v>
      </c>
      <c r="J12" s="396">
        <f>E!$E$23/6</f>
        <v>1392320.1997940675</v>
      </c>
      <c r="K12" s="396">
        <f>E!$E$23/6</f>
        <v>1392320.1997940675</v>
      </c>
      <c r="L12" s="396">
        <f>E!$E$23/6</f>
        <v>1392320.1997940675</v>
      </c>
      <c r="M12" s="396">
        <f>E!$E$23/6</f>
        <v>1392320.1997940675</v>
      </c>
      <c r="N12" s="396">
        <f>E!$E$23/6</f>
        <v>1392320.1997940675</v>
      </c>
      <c r="O12" s="396">
        <f>E!$E$23/6</f>
        <v>1392320.1997940675</v>
      </c>
      <c r="P12" s="211">
        <f>SUM(D12:O12)</f>
        <v>8353921.1987644043</v>
      </c>
      <c r="Q12" s="591"/>
      <c r="R12" s="591"/>
      <c r="S12" s="591"/>
      <c r="U12" s="796"/>
    </row>
    <row r="13" spans="1:21">
      <c r="A13" s="871">
        <f t="shared" ref="A13:A83" si="0">A12+1</f>
        <v>2</v>
      </c>
      <c r="B13" s="832"/>
      <c r="C13" s="1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211"/>
      <c r="R13" s="148"/>
      <c r="S13" s="148"/>
    </row>
    <row r="14" spans="1:21">
      <c r="A14" s="871">
        <f t="shared" si="0"/>
        <v>3</v>
      </c>
      <c r="B14" s="832">
        <v>4030</v>
      </c>
      <c r="C14" s="196" t="s">
        <v>92</v>
      </c>
      <c r="D14" s="596">
        <f>'[11]Div 009'!C108</f>
        <v>1539524.1799999997</v>
      </c>
      <c r="E14" s="596">
        <f>'[11]Div 009'!D108</f>
        <v>1543650.84</v>
      </c>
      <c r="F14" s="596">
        <f>'[11]Div 009'!E108</f>
        <v>1552616.9000000004</v>
      </c>
      <c r="G14" s="596">
        <f>'[11]Div 009'!F108</f>
        <v>1562447.87</v>
      </c>
      <c r="H14" s="596">
        <f>'[11]Div 009'!G108</f>
        <v>1569259.6400000001</v>
      </c>
      <c r="I14" s="596">
        <f>'[11]Div 009'!H108</f>
        <v>1584165.39</v>
      </c>
      <c r="J14" s="596">
        <f>'[12]Div 9'!I29</f>
        <v>1559465.0197916699</v>
      </c>
      <c r="K14" s="596">
        <f>'[12]Div 9'!J29</f>
        <v>1604120.31979167</v>
      </c>
      <c r="L14" s="596">
        <f>'[12]Div 9'!K29</f>
        <v>1642423.8447916401</v>
      </c>
      <c r="M14" s="596">
        <f>'[12]Div 9'!L29</f>
        <v>1557417.4893696301</v>
      </c>
      <c r="N14" s="596">
        <f>'[12]Div 9'!M29</f>
        <v>1565605.12936963</v>
      </c>
      <c r="O14" s="596">
        <f>'[12]Div 9'!N29</f>
        <v>1569037.90936963</v>
      </c>
      <c r="P14" s="211">
        <f t="shared" ref="P14" si="1">SUM(D14:O14)</f>
        <v>18849734.532483872</v>
      </c>
      <c r="Q14" s="690"/>
      <c r="R14" s="211"/>
      <c r="S14" s="211"/>
    </row>
    <row r="15" spans="1:21">
      <c r="A15" s="871">
        <f t="shared" si="0"/>
        <v>4</v>
      </c>
      <c r="B15" s="832">
        <v>4060</v>
      </c>
      <c r="C15" s="211" t="s">
        <v>868</v>
      </c>
      <c r="D15" s="596">
        <f>'[11]Div 009'!C109</f>
        <v>4131.76</v>
      </c>
      <c r="E15" s="596">
        <f>'[11]Div 009'!D109</f>
        <v>4131.76</v>
      </c>
      <c r="F15" s="596">
        <f>'[11]Div 009'!E109</f>
        <v>4131.76</v>
      </c>
      <c r="G15" s="596">
        <f>'[11]Div 009'!F109</f>
        <v>4131.76</v>
      </c>
      <c r="H15" s="596">
        <f>'[11]Div 009'!G109</f>
        <v>4131.76</v>
      </c>
      <c r="I15" s="596">
        <f>'[11]Div 009'!H109</f>
        <v>4131.76</v>
      </c>
      <c r="J15" s="596">
        <v>0</v>
      </c>
      <c r="K15" s="596">
        <f t="shared" ref="K15:O15" si="2">J15</f>
        <v>0</v>
      </c>
      <c r="L15" s="596">
        <f t="shared" si="2"/>
        <v>0</v>
      </c>
      <c r="M15" s="596">
        <f t="shared" si="2"/>
        <v>0</v>
      </c>
      <c r="N15" s="596">
        <f t="shared" si="2"/>
        <v>0</v>
      </c>
      <c r="O15" s="596">
        <f t="shared" si="2"/>
        <v>0</v>
      </c>
      <c r="P15" s="211">
        <f t="shared" ref="P15:P64" si="3">SUM(D15:O15)</f>
        <v>24790.560000000005</v>
      </c>
      <c r="R15" s="591"/>
      <c r="S15" s="148"/>
    </row>
    <row r="16" spans="1:21">
      <c r="A16" s="871">
        <f t="shared" si="0"/>
        <v>5</v>
      </c>
      <c r="B16" s="832">
        <v>4081</v>
      </c>
      <c r="C16" s="211" t="s">
        <v>869</v>
      </c>
      <c r="D16" s="596">
        <f>'[11]Div 009'!C112</f>
        <v>430926.30000000005</v>
      </c>
      <c r="E16" s="596">
        <f>'[11]Div 009'!D112</f>
        <v>346632.42000000004</v>
      </c>
      <c r="F16" s="596">
        <f>'[11]Div 009'!E112</f>
        <v>374616.85000000021</v>
      </c>
      <c r="G16" s="596">
        <f>'[11]Div 009'!F112</f>
        <v>250215.94999999992</v>
      </c>
      <c r="H16" s="596">
        <f>'[11]Div 009'!G112</f>
        <v>471464.82999999996</v>
      </c>
      <c r="I16" s="596">
        <f>'[11]Div 009'!H112</f>
        <v>389331.08</v>
      </c>
      <c r="J16" s="596">
        <f>'C.2.3 B'!I24</f>
        <v>368367.00000000006</v>
      </c>
      <c r="K16" s="596">
        <f>'C.2.3 B'!J24</f>
        <v>325373.00000000006</v>
      </c>
      <c r="L16" s="596">
        <f>'C.2.3 B'!K24</f>
        <v>400973.00000000006</v>
      </c>
      <c r="M16" s="596">
        <f>'C.2.3 B'!L24</f>
        <v>486262.67551217193</v>
      </c>
      <c r="N16" s="596">
        <f>'C.2.3 B'!M24</f>
        <v>520530.67551217193</v>
      </c>
      <c r="O16" s="596">
        <f>'C.2.3 B'!N24</f>
        <v>465681.67551217193</v>
      </c>
      <c r="P16" s="211">
        <f>SUM(D16:O16)</f>
        <v>4830375.4565365165</v>
      </c>
      <c r="Q16" s="591"/>
      <c r="R16" s="670"/>
      <c r="S16" s="591"/>
    </row>
    <row r="17" spans="1:25">
      <c r="A17" s="871">
        <f t="shared" si="0"/>
        <v>6</v>
      </c>
      <c r="B17" s="832">
        <v>4800</v>
      </c>
      <c r="C17" s="730" t="s">
        <v>870</v>
      </c>
      <c r="D17" s="596">
        <f>'[11]Div 009'!C127</f>
        <v>-14513202.599999998</v>
      </c>
      <c r="E17" s="596">
        <f>'[11]Div 009'!D127</f>
        <v>-12401756.080000002</v>
      </c>
      <c r="F17" s="596">
        <f>'[11]Div 009'!E127</f>
        <v>-9837265.3999999985</v>
      </c>
      <c r="G17" s="596">
        <f>'[11]Div 009'!F127</f>
        <v>-7970174.8899999997</v>
      </c>
      <c r="H17" s="596">
        <f>'[11]Div 009'!G127</f>
        <v>-5001329.6400000006</v>
      </c>
      <c r="I17" s="596">
        <f>'[11]Div 009'!H127</f>
        <v>-4280264.37</v>
      </c>
      <c r="J17" s="96">
        <f>-'[6]Summary of Revenue'!I$11</f>
        <v>-3977683.4600166129</v>
      </c>
      <c r="K17" s="96">
        <f>-'[6]Summary of Revenue'!J$11</f>
        <v>-3985743.8769326014</v>
      </c>
      <c r="L17" s="96">
        <f>-'[6]Summary of Revenue'!K$11</f>
        <v>-3950372.2449711487</v>
      </c>
      <c r="M17" s="96">
        <f>-'[6]Summary of Revenue'!L$11</f>
        <v>-5098884.0329309786</v>
      </c>
      <c r="N17" s="96">
        <f>-'[6]Summary of Revenue'!M$11</f>
        <v>-8426387.0845348835</v>
      </c>
      <c r="O17" s="96">
        <f>-'[6]Summary of Revenue'!N$11</f>
        <v>-12560923.913642969</v>
      </c>
      <c r="P17" s="211">
        <f t="shared" si="3"/>
        <v>-92003987.593029201</v>
      </c>
      <c r="Q17" s="148"/>
      <c r="R17" s="148"/>
      <c r="S17" s="148"/>
    </row>
    <row r="18" spans="1:25">
      <c r="A18" s="871">
        <f t="shared" si="0"/>
        <v>7</v>
      </c>
      <c r="B18" s="706">
        <v>4805</v>
      </c>
      <c r="C18" s="361" t="s">
        <v>1332</v>
      </c>
      <c r="D18" s="596">
        <f>'[11]Div 009'!C128</f>
        <v>-469639.75</v>
      </c>
      <c r="E18" s="596">
        <f>'[11]Div 009'!D128</f>
        <v>1575634.25</v>
      </c>
      <c r="F18" s="596">
        <f>'[11]Div 009'!E128</f>
        <v>970697.5</v>
      </c>
      <c r="G18" s="596">
        <f>'[11]Div 009'!F128</f>
        <v>1251100.75</v>
      </c>
      <c r="H18" s="596">
        <f>'[11]Div 009'!G128</f>
        <v>548262.25</v>
      </c>
      <c r="I18" s="596">
        <f>'[11]Div 009'!H128</f>
        <v>160043.25</v>
      </c>
      <c r="J18" s="96"/>
      <c r="K18" s="96"/>
      <c r="L18" s="96"/>
      <c r="M18" s="96"/>
      <c r="N18" s="96"/>
      <c r="O18" s="96"/>
      <c r="P18" s="211">
        <f t="shared" si="3"/>
        <v>4036098.25</v>
      </c>
      <c r="Q18" s="148"/>
      <c r="R18" s="148"/>
      <c r="S18" s="148"/>
    </row>
    <row r="19" spans="1:25">
      <c r="A19" s="871">
        <f t="shared" si="0"/>
        <v>8</v>
      </c>
      <c r="B19" s="832">
        <v>4811</v>
      </c>
      <c r="C19" s="730" t="s">
        <v>1406</v>
      </c>
      <c r="D19" s="596">
        <f>'[11]Div 009'!C129</f>
        <v>-6015709.9900000002</v>
      </c>
      <c r="E19" s="596">
        <f>'[11]Div 009'!D129</f>
        <v>-4997093.8500000006</v>
      </c>
      <c r="F19" s="596">
        <f>'[11]Div 009'!E129</f>
        <v>-3975390.9000000004</v>
      </c>
      <c r="G19" s="596">
        <f>'[11]Div 009'!F129</f>
        <v>-3087843.16</v>
      </c>
      <c r="H19" s="596">
        <f>'[11]Div 009'!G129</f>
        <v>-2175017.16</v>
      </c>
      <c r="I19" s="596">
        <f>'[11]Div 009'!H129</f>
        <v>-1875289.33</v>
      </c>
      <c r="J19" s="96">
        <f>-'[6]Summary of Revenue'!I$12</f>
        <v>-1891638.1867555245</v>
      </c>
      <c r="K19" s="96">
        <f>-'[6]Summary of Revenue'!J$12</f>
        <v>-1890232.08206765</v>
      </c>
      <c r="L19" s="96">
        <f>-'[6]Summary of Revenue'!K$12</f>
        <v>-1870520.4892872761</v>
      </c>
      <c r="M19" s="96">
        <f>-'[6]Summary of Revenue'!L$12</f>
        <v>-2242327.1828385834</v>
      </c>
      <c r="N19" s="96">
        <f>-'[6]Summary of Revenue'!M$12</f>
        <v>-3481018.7270582351</v>
      </c>
      <c r="O19" s="96">
        <f>-'[6]Summary of Revenue'!N$12</f>
        <v>-4940966.5934923086</v>
      </c>
      <c r="P19" s="211">
        <f t="shared" si="3"/>
        <v>-38443047.651499577</v>
      </c>
      <c r="Q19" s="148"/>
      <c r="R19" s="591"/>
      <c r="S19" s="148"/>
    </row>
    <row r="20" spans="1:25">
      <c r="A20" s="871">
        <f t="shared" si="0"/>
        <v>9</v>
      </c>
      <c r="B20" s="832">
        <v>4812</v>
      </c>
      <c r="C20" s="211" t="s">
        <v>1407</v>
      </c>
      <c r="D20" s="596">
        <f>'[11]Div 009'!C130</f>
        <v>-879114.97</v>
      </c>
      <c r="E20" s="596">
        <f>'[11]Div 009'!D130</f>
        <v>-863109.11</v>
      </c>
      <c r="F20" s="596">
        <f>'[11]Div 009'!E130</f>
        <v>-978759.8899999999</v>
      </c>
      <c r="G20" s="596">
        <f>'[11]Div 009'!F130</f>
        <v>-585026.64</v>
      </c>
      <c r="H20" s="596">
        <f>'[11]Div 009'!G130</f>
        <v>-578724.99</v>
      </c>
      <c r="I20" s="596">
        <f>'[11]Div 009'!H130</f>
        <v>-688370.26</v>
      </c>
      <c r="J20" s="96">
        <f>-'[6]Summary of Revenue'!I$13</f>
        <v>-390261.25101000001</v>
      </c>
      <c r="K20" s="96">
        <f>-'[6]Summary of Revenue'!J$13</f>
        <v>-292705.93046499998</v>
      </c>
      <c r="L20" s="96">
        <f>-'[6]Summary of Revenue'!K$13</f>
        <v>-327152.0098856666</v>
      </c>
      <c r="M20" s="96">
        <f>-'[6]Summary of Revenue'!L$13</f>
        <v>-257902.36749466666</v>
      </c>
      <c r="N20" s="96">
        <f>-'[6]Summary of Revenue'!M$13</f>
        <v>-308686.35804044816</v>
      </c>
      <c r="O20" s="96">
        <f>-'[6]Summary of Revenue'!N$13</f>
        <v>-666571.78784753638</v>
      </c>
      <c r="P20" s="211">
        <f t="shared" si="3"/>
        <v>-6816385.5647433177</v>
      </c>
      <c r="Q20" s="148"/>
      <c r="R20" s="591"/>
      <c r="S20" s="148"/>
    </row>
    <row r="21" spans="1:25">
      <c r="A21" s="871">
        <f t="shared" si="0"/>
        <v>10</v>
      </c>
      <c r="B21" s="832">
        <v>4815</v>
      </c>
      <c r="C21" s="211" t="s">
        <v>1333</v>
      </c>
      <c r="D21" s="596">
        <f>'[11]Div 009'!C131</f>
        <v>-312723</v>
      </c>
      <c r="E21" s="596">
        <f>'[11]Div 009'!D131</f>
        <v>758592.75</v>
      </c>
      <c r="F21" s="596">
        <f>'[11]Div 009'!E131</f>
        <v>351237.75</v>
      </c>
      <c r="G21" s="596">
        <f>'[11]Div 009'!F131</f>
        <v>564893.75</v>
      </c>
      <c r="H21" s="596">
        <f>'[11]Div 009'!G131</f>
        <v>122835.5</v>
      </c>
      <c r="I21" s="596">
        <f>'[11]Div 009'!H131</f>
        <v>39474</v>
      </c>
      <c r="J21" s="96"/>
      <c r="K21" s="96"/>
      <c r="L21" s="96"/>
      <c r="M21" s="96"/>
      <c r="N21" s="96"/>
      <c r="O21" s="96"/>
      <c r="P21" s="211">
        <f t="shared" si="3"/>
        <v>1524310.75</v>
      </c>
      <c r="Q21" s="148"/>
      <c r="R21" s="591"/>
      <c r="S21" s="148"/>
    </row>
    <row r="22" spans="1:25">
      <c r="A22" s="871">
        <f t="shared" si="0"/>
        <v>11</v>
      </c>
      <c r="B22" s="832">
        <v>4816</v>
      </c>
      <c r="C22" s="211" t="s">
        <v>1364</v>
      </c>
      <c r="D22" s="596">
        <f>'[11]Div 009'!C132</f>
        <v>-193638.24</v>
      </c>
      <c r="E22" s="596">
        <f>'[11]Div 009'!D132</f>
        <v>-209627.9</v>
      </c>
      <c r="F22" s="596">
        <f>'[11]Div 009'!E132</f>
        <v>243164.97</v>
      </c>
      <c r="G22" s="596">
        <f>'[11]Div 009'!F132</f>
        <v>33559.599999999999</v>
      </c>
      <c r="H22" s="596">
        <f>'[11]Div 009'!G132</f>
        <v>-179297.55000000002</v>
      </c>
      <c r="I22" s="596">
        <f>'[11]Div 009'!H132</f>
        <v>405234.05000000005</v>
      </c>
      <c r="J22" s="96"/>
      <c r="K22" s="96"/>
      <c r="L22" s="96"/>
      <c r="M22" s="96"/>
      <c r="N22" s="96"/>
      <c r="O22" s="96"/>
      <c r="P22" s="211">
        <f t="shared" si="3"/>
        <v>99394.930000000051</v>
      </c>
      <c r="R22" s="591"/>
      <c r="S22" s="148"/>
    </row>
    <row r="23" spans="1:25">
      <c r="A23" s="871">
        <f t="shared" si="0"/>
        <v>12</v>
      </c>
      <c r="B23" s="832">
        <v>4820</v>
      </c>
      <c r="C23" s="211" t="s">
        <v>871</v>
      </c>
      <c r="D23" s="596">
        <f>'[11]Div 009'!C133</f>
        <v>-1046459.38</v>
      </c>
      <c r="E23" s="596">
        <f>'[11]Div 009'!D133</f>
        <v>-877899.77999999991</v>
      </c>
      <c r="F23" s="596">
        <f>'[11]Div 009'!E133</f>
        <v>-710312.75</v>
      </c>
      <c r="G23" s="596">
        <f>'[11]Div 009'!F133</f>
        <v>-551378.64</v>
      </c>
      <c r="H23" s="596">
        <f>'[11]Div 009'!G133</f>
        <v>-335450.63</v>
      </c>
      <c r="I23" s="596">
        <f>'[11]Div 009'!H133</f>
        <v>-257582.33</v>
      </c>
      <c r="J23" s="96">
        <f>-'[6]Summary of Revenue'!I$14</f>
        <v>-248275.32537714636</v>
      </c>
      <c r="K23" s="96">
        <f>-'[6]Summary of Revenue'!J$14</f>
        <v>-257557.29241529177</v>
      </c>
      <c r="L23" s="96">
        <f>-'[6]Summary of Revenue'!K$14</f>
        <v>-247986.08147423447</v>
      </c>
      <c r="M23" s="96">
        <f>-'[6]Summary of Revenue'!L$14</f>
        <v>-345623.72771904792</v>
      </c>
      <c r="N23" s="96">
        <f>-'[6]Summary of Revenue'!M$14</f>
        <v>-607276.52855381754</v>
      </c>
      <c r="O23" s="96">
        <f>-'[6]Summary of Revenue'!N$14</f>
        <v>-911440.84380762954</v>
      </c>
      <c r="P23" s="211">
        <f t="shared" si="3"/>
        <v>-6397243.3093471676</v>
      </c>
      <c r="Q23" s="211"/>
      <c r="R23" s="591"/>
      <c r="S23" s="148"/>
    </row>
    <row r="24" spans="1:25">
      <c r="A24" s="871">
        <f t="shared" si="0"/>
        <v>13</v>
      </c>
      <c r="B24" s="832">
        <v>4825</v>
      </c>
      <c r="C24" s="211" t="s">
        <v>1334</v>
      </c>
      <c r="D24" s="596">
        <f>'[11]Div 009'!C134</f>
        <v>-27855</v>
      </c>
      <c r="E24" s="596">
        <f>'[11]Div 009'!D134</f>
        <v>138141</v>
      </c>
      <c r="F24" s="596">
        <f>'[11]Div 009'!E134</f>
        <v>61310</v>
      </c>
      <c r="G24" s="596">
        <f>'[11]Div 009'!F134</f>
        <v>110081</v>
      </c>
      <c r="H24" s="596">
        <f>'[11]Div 009'!G134</f>
        <v>34779</v>
      </c>
      <c r="I24" s="596">
        <f>'[11]Div 009'!H134</f>
        <v>12969</v>
      </c>
      <c r="J24" s="96"/>
      <c r="K24" s="96"/>
      <c r="L24" s="96"/>
      <c r="M24" s="96"/>
      <c r="N24" s="96"/>
      <c r="O24" s="96"/>
      <c r="P24" s="211">
        <f t="shared" si="3"/>
        <v>329425</v>
      </c>
      <c r="S24" s="148"/>
    </row>
    <row r="25" spans="1:25">
      <c r="A25" s="871">
        <f t="shared" si="0"/>
        <v>14</v>
      </c>
      <c r="B25" s="832">
        <v>4870</v>
      </c>
      <c r="C25" s="211" t="s">
        <v>231</v>
      </c>
      <c r="D25" s="596">
        <f>'[11]Div 009'!C135</f>
        <v>-164679.28</v>
      </c>
      <c r="E25" s="596">
        <f>'[11]Div 009'!D135</f>
        <v>-178264.2</v>
      </c>
      <c r="F25" s="596">
        <f>'[11]Div 009'!E135</f>
        <v>-212874.13</v>
      </c>
      <c r="G25" s="596">
        <f>'[11]Div 009'!F135</f>
        <v>-110474.21</v>
      </c>
      <c r="H25" s="596">
        <f>'[11]Div 009'!G135</f>
        <v>-89244.24</v>
      </c>
      <c r="I25" s="596">
        <f>'[11]Div 009'!H135</f>
        <v>-73989.83</v>
      </c>
      <c r="J25" s="96">
        <f>-'[6]Summary of Revenue'!I$18</f>
        <v>-59150.040279274232</v>
      </c>
      <c r="K25" s="96">
        <f>-'[6]Summary of Revenue'!J$18</f>
        <v>-54438.933654652523</v>
      </c>
      <c r="L25" s="96">
        <f>-'[6]Summary of Revenue'!K$18</f>
        <v>-54578.946435618629</v>
      </c>
      <c r="M25" s="96">
        <f>-'[6]Summary of Revenue'!L$18</f>
        <v>-54003.632288822264</v>
      </c>
      <c r="N25" s="96">
        <f>-'[6]Summary of Revenue'!M$18</f>
        <v>-68403.679396344829</v>
      </c>
      <c r="O25" s="96">
        <f>-'[6]Summary of Revenue'!N$18</f>
        <v>-111350.6264652091</v>
      </c>
      <c r="P25" s="211">
        <f t="shared" si="3"/>
        <v>-1231451.7485199214</v>
      </c>
      <c r="R25" s="148"/>
      <c r="S25" s="148"/>
    </row>
    <row r="26" spans="1:25">
      <c r="A26" s="871">
        <f t="shared" si="0"/>
        <v>15</v>
      </c>
      <c r="B26" s="832">
        <v>4880</v>
      </c>
      <c r="C26" s="211" t="s">
        <v>872</v>
      </c>
      <c r="D26" s="596">
        <f>'[11]Div 009'!C136</f>
        <v>-58143</v>
      </c>
      <c r="E26" s="596">
        <f>'[11]Div 009'!D136</f>
        <v>-54428</v>
      </c>
      <c r="F26" s="596">
        <f>'[11]Div 009'!E136</f>
        <v>-74827</v>
      </c>
      <c r="G26" s="596">
        <f>'[11]Div 009'!F136</f>
        <v>-49906</v>
      </c>
      <c r="H26" s="596">
        <f>'[11]Div 009'!G136</f>
        <v>-53615</v>
      </c>
      <c r="I26" s="596">
        <f>'[11]Div 009'!H136</f>
        <v>-55356</v>
      </c>
      <c r="J26" s="96">
        <f>-'[6]Summary of Revenue'!I$19</f>
        <v>-45327</v>
      </c>
      <c r="K26" s="96">
        <f>-'[6]Summary of Revenue'!J$19</f>
        <v>-57173</v>
      </c>
      <c r="L26" s="96">
        <f>-'[6]Summary of Revenue'!K$19</f>
        <v>-55395</v>
      </c>
      <c r="M26" s="96">
        <f>-'[6]Summary of Revenue'!L$19</f>
        <v>-88176</v>
      </c>
      <c r="N26" s="96">
        <f>-'[6]Summary of Revenue'!M$19</f>
        <v>-126545</v>
      </c>
      <c r="O26" s="96">
        <f>-'[6]Summary of Revenue'!N$19</f>
        <v>-87101</v>
      </c>
      <c r="P26" s="211">
        <f t="shared" si="3"/>
        <v>-805992</v>
      </c>
      <c r="R26" s="148"/>
      <c r="S26" s="148"/>
    </row>
    <row r="27" spans="1:25">
      <c r="A27" s="871">
        <f t="shared" si="0"/>
        <v>16</v>
      </c>
      <c r="B27" s="832">
        <v>4893</v>
      </c>
      <c r="C27" s="211" t="s">
        <v>1220</v>
      </c>
      <c r="D27" s="596">
        <f>'[11]Div 009'!C137</f>
        <v>-1601632.24</v>
      </c>
      <c r="E27" s="596">
        <f>'[11]Div 009'!D137</f>
        <v>-1516342.71</v>
      </c>
      <c r="F27" s="596">
        <f>'[11]Div 009'!E137</f>
        <v>-1462848.99</v>
      </c>
      <c r="G27" s="596">
        <f>'[11]Div 009'!F137</f>
        <v>-1288495.24</v>
      </c>
      <c r="H27" s="596">
        <f>'[11]Div 009'!G137</f>
        <v>-1321434.6400000001</v>
      </c>
      <c r="I27" s="596">
        <f>'[11]Div 009'!H137</f>
        <v>-1287337.8499999999</v>
      </c>
      <c r="J27" s="96">
        <f>-'[6]Summary of Revenue'!I$20</f>
        <v>-1031165.1010687258</v>
      </c>
      <c r="K27" s="96">
        <f>-'[6]Summary of Revenue'!J$20</f>
        <v>-1125835.1251621114</v>
      </c>
      <c r="L27" s="96">
        <f>-'[6]Summary of Revenue'!K$20</f>
        <v>-1137038.5377952971</v>
      </c>
      <c r="M27" s="96">
        <f>-'[6]Summary of Revenue'!L$20</f>
        <v>-1217906.5070548751</v>
      </c>
      <c r="N27" s="96">
        <f>-'[6]Summary of Revenue'!M$20</f>
        <v>-1335583.0520690915</v>
      </c>
      <c r="O27" s="96">
        <f>-'[6]Summary of Revenue'!N$20</f>
        <v>-1505273.8931012994</v>
      </c>
      <c r="P27" s="211">
        <f t="shared" ref="P27:P30" si="4">SUM(D27:O27)</f>
        <v>-15830893.886251401</v>
      </c>
      <c r="Q27" s="835"/>
      <c r="R27" s="80"/>
      <c r="S27" s="80"/>
      <c r="T27" s="80"/>
      <c r="U27" s="80"/>
      <c r="V27" s="80"/>
      <c r="W27" s="80"/>
      <c r="X27" s="80"/>
      <c r="Y27" s="80"/>
    </row>
    <row r="28" spans="1:25">
      <c r="A28" s="871">
        <f t="shared" si="0"/>
        <v>17</v>
      </c>
      <c r="B28" s="706">
        <v>4950</v>
      </c>
      <c r="C28" s="81" t="s">
        <v>668</v>
      </c>
      <c r="D28" s="596">
        <f>0</f>
        <v>0</v>
      </c>
      <c r="E28" s="596">
        <f>0</f>
        <v>0</v>
      </c>
      <c r="F28" s="596">
        <f>0</f>
        <v>0</v>
      </c>
      <c r="G28" s="596">
        <f>0</f>
        <v>0</v>
      </c>
      <c r="H28" s="596">
        <f>0</f>
        <v>0</v>
      </c>
      <c r="I28" s="596">
        <f>0</f>
        <v>0</v>
      </c>
      <c r="J28" s="96">
        <f>-'[6]Summary of Revenue'!I21</f>
        <v>-183286.57023593987</v>
      </c>
      <c r="K28" s="96">
        <f>-'[6]Summary of Revenue'!J21</f>
        <v>-180802.14429106572</v>
      </c>
      <c r="L28" s="96">
        <f>-'[6]Summary of Revenue'!K21</f>
        <v>-183627.60898165885</v>
      </c>
      <c r="M28" s="96">
        <f>-'[6]Summary of Revenue'!L21</f>
        <v>-198676.93726818013</v>
      </c>
      <c r="N28" s="96">
        <f>-'[6]Summary of Revenue'!M21</f>
        <v>-196958.77298331514</v>
      </c>
      <c r="O28" s="96">
        <f>-'[6]Summary of Revenue'!N21</f>
        <v>-230122.0238050755</v>
      </c>
      <c r="P28" s="211">
        <f t="shared" si="4"/>
        <v>-1173474.0575652353</v>
      </c>
      <c r="Q28" s="725"/>
    </row>
    <row r="29" spans="1:25">
      <c r="A29" s="871">
        <f t="shared" si="0"/>
        <v>18</v>
      </c>
      <c r="B29" s="832">
        <v>7560</v>
      </c>
      <c r="C29" s="80" t="s">
        <v>1410</v>
      </c>
      <c r="D29" s="596">
        <f>0</f>
        <v>0</v>
      </c>
      <c r="E29" s="596">
        <f>0</f>
        <v>0</v>
      </c>
      <c r="F29" s="596">
        <f>0</f>
        <v>0</v>
      </c>
      <c r="G29" s="596">
        <f>0</f>
        <v>0</v>
      </c>
      <c r="H29" s="596">
        <f>0</f>
        <v>0</v>
      </c>
      <c r="I29" s="596">
        <f>0</f>
        <v>0</v>
      </c>
      <c r="J29" s="396">
        <f>VLOOKUP($B29,'[13]Div 9 forecast'!$D$518:$AF$599, 9,FALSE)</f>
        <v>0</v>
      </c>
      <c r="K29" s="396">
        <f>VLOOKUP($B29,'[13]Div 9 forecast'!$D$518:$AF$599,10,FALSE)</f>
        <v>0</v>
      </c>
      <c r="L29" s="396">
        <f>VLOOKUP($B29,'[13]Div 9 forecast'!$D$518:$AF$599, 11,FALSE)</f>
        <v>0</v>
      </c>
      <c r="M29" s="396">
        <f>VLOOKUP($B29,'[13]Div 9 forecast'!$D$518:$AF$599,12,FALSE)</f>
        <v>0</v>
      </c>
      <c r="N29" s="396">
        <f>VLOOKUP($B29,'[13]Div 9 forecast'!$D$518:$AF$599, 13,FALSE)</f>
        <v>0</v>
      </c>
      <c r="O29" s="396">
        <f>VLOOKUP($B29,'[13]Div 9 forecast'!$D$518:$AF$599, 14,FALSE)</f>
        <v>0</v>
      </c>
      <c r="P29" s="211">
        <f t="shared" si="4"/>
        <v>0</v>
      </c>
      <c r="S29" s="148"/>
    </row>
    <row r="30" spans="1:25" s="791" customFormat="1">
      <c r="A30" s="871">
        <f t="shared" si="0"/>
        <v>19</v>
      </c>
      <c r="B30" s="832">
        <v>7590</v>
      </c>
      <c r="C30" s="103" t="s">
        <v>1367</v>
      </c>
      <c r="D30" s="596">
        <f>0</f>
        <v>0</v>
      </c>
      <c r="E30" s="596">
        <f>0</f>
        <v>0</v>
      </c>
      <c r="F30" s="596">
        <f>0</f>
        <v>0</v>
      </c>
      <c r="G30" s="596">
        <f>0</f>
        <v>0</v>
      </c>
      <c r="H30" s="596">
        <f>0</f>
        <v>0</v>
      </c>
      <c r="I30" s="596">
        <f>0</f>
        <v>0</v>
      </c>
      <c r="J30" s="396">
        <f>VLOOKUP($B30,'[13]Div 9 forecast'!$D$518:$AF$599, 9,FALSE)</f>
        <v>0</v>
      </c>
      <c r="K30" s="396">
        <f>VLOOKUP($B30,'[13]Div 9 forecast'!$D$518:$AF$599,10,FALSE)</f>
        <v>0</v>
      </c>
      <c r="L30" s="396">
        <f>VLOOKUP($B30,'[13]Div 9 forecast'!$D$518:$AF$599, 11,FALSE)</f>
        <v>0</v>
      </c>
      <c r="M30" s="396">
        <f>VLOOKUP($B30,'[13]Div 9 forecast'!$D$518:$AF$599,12,FALSE)</f>
        <v>0</v>
      </c>
      <c r="N30" s="396">
        <f>VLOOKUP($B30,'[13]Div 9 forecast'!$D$518:$AF$599, 13,FALSE)</f>
        <v>0</v>
      </c>
      <c r="O30" s="396">
        <f>VLOOKUP($B30,'[13]Div 9 forecast'!$D$518:$AF$599, 14,FALSE)</f>
        <v>0</v>
      </c>
      <c r="P30" s="211">
        <f t="shared" si="4"/>
        <v>0</v>
      </c>
      <c r="S30" s="148"/>
    </row>
    <row r="31" spans="1:25">
      <c r="A31" s="871">
        <f t="shared" si="0"/>
        <v>20</v>
      </c>
      <c r="B31" s="832">
        <v>8001</v>
      </c>
      <c r="C31" s="211" t="s">
        <v>874</v>
      </c>
      <c r="D31" s="596">
        <f>0</f>
        <v>0</v>
      </c>
      <c r="E31" s="596">
        <f>0</f>
        <v>0</v>
      </c>
      <c r="F31" s="596">
        <f>0</f>
        <v>0</v>
      </c>
      <c r="G31" s="596">
        <f>0</f>
        <v>0</v>
      </c>
      <c r="H31" s="596">
        <f>0</f>
        <v>0</v>
      </c>
      <c r="I31" s="596">
        <f>0</f>
        <v>0</v>
      </c>
      <c r="J31" s="96">
        <f>'[14]2017 case'!O7</f>
        <v>0</v>
      </c>
      <c r="K31" s="96">
        <f>'[14]2017 case'!P7</f>
        <v>0</v>
      </c>
      <c r="L31" s="96">
        <f>'[14]2017 case'!Q7</f>
        <v>0</v>
      </c>
      <c r="M31" s="96">
        <f>'[14]2017 case'!R7</f>
        <v>0</v>
      </c>
      <c r="N31" s="96">
        <f>'[14]2017 case'!S7</f>
        <v>0</v>
      </c>
      <c r="O31" s="96">
        <f>'[14]2017 case'!T7</f>
        <v>0</v>
      </c>
      <c r="P31" s="211">
        <f t="shared" si="3"/>
        <v>0</v>
      </c>
      <c r="Q31" s="591"/>
      <c r="R31" s="591"/>
      <c r="S31" s="148"/>
    </row>
    <row r="32" spans="1:25">
      <c r="A32" s="871">
        <f t="shared" si="0"/>
        <v>21</v>
      </c>
      <c r="B32" s="832">
        <v>8010</v>
      </c>
      <c r="C32" s="103" t="s">
        <v>1218</v>
      </c>
      <c r="D32" s="596">
        <f>'[11]Div 009'!C138</f>
        <v>5288.75</v>
      </c>
      <c r="E32" s="596">
        <f>'[11]Div 009'!D138</f>
        <v>4114.3100000000004</v>
      </c>
      <c r="F32" s="596">
        <f>'[11]Div 009'!E138</f>
        <v>3199.16</v>
      </c>
      <c r="G32" s="596">
        <f>'[11]Div 009'!F138</f>
        <v>3575.42</v>
      </c>
      <c r="H32" s="596">
        <f>'[11]Div 009'!G138</f>
        <v>6495.27</v>
      </c>
      <c r="I32" s="596">
        <f>'[11]Div 009'!H138</f>
        <v>4692.6899999999996</v>
      </c>
      <c r="J32" s="96">
        <f>'[14]2017 case'!O8</f>
        <v>5900.1687390890147</v>
      </c>
      <c r="K32" s="96">
        <f>'[14]2017 case'!P8</f>
        <v>14765.862696686941</v>
      </c>
      <c r="L32" s="96">
        <f>'[14]2017 case'!Q8</f>
        <v>8198.033816264091</v>
      </c>
      <c r="M32" s="96">
        <f>'[14]2017 case'!R8</f>
        <v>6510.6774379487206</v>
      </c>
      <c r="N32" s="96">
        <f>'[14]2017 case'!S8</f>
        <v>7310.1663112454507</v>
      </c>
      <c r="O32" s="96">
        <f>'[14]2017 case'!T8</f>
        <v>3918.3676947158756</v>
      </c>
      <c r="P32" s="211">
        <f t="shared" ref="P32" si="5">SUM(D32:O32)</f>
        <v>73968.876695950108</v>
      </c>
      <c r="Q32" s="148"/>
      <c r="R32" s="148"/>
      <c r="S32" s="148"/>
    </row>
    <row r="33" spans="1:19">
      <c r="A33" s="871">
        <f t="shared" si="0"/>
        <v>22</v>
      </c>
      <c r="B33" s="832">
        <v>8040</v>
      </c>
      <c r="C33" s="211" t="s">
        <v>875</v>
      </c>
      <c r="D33" s="596">
        <f>'[11]Div 009'!C139</f>
        <v>5595688.3600000003</v>
      </c>
      <c r="E33" s="596">
        <f>'[11]Div 009'!D139</f>
        <v>4352529.0599999996</v>
      </c>
      <c r="F33" s="596">
        <f>'[11]Div 009'!E139</f>
        <v>337618.93</v>
      </c>
      <c r="G33" s="596">
        <f>'[11]Div 009'!F139</f>
        <v>768369.22000000009</v>
      </c>
      <c r="H33" s="596">
        <f>'[11]Div 009'!G139</f>
        <v>5923128.8099999996</v>
      </c>
      <c r="I33" s="596">
        <f>'[11]Div 009'!H139</f>
        <v>4115123.04</v>
      </c>
      <c r="J33" s="96">
        <f>'[14]2017 case'!O9</f>
        <v>4142482.2403230644</v>
      </c>
      <c r="K33" s="96">
        <f>'[14]2017 case'!P9</f>
        <v>6203886.4872926557</v>
      </c>
      <c r="L33" s="96">
        <f>'[14]2017 case'!Q9</f>
        <v>4932798.8890008526</v>
      </c>
      <c r="M33" s="96">
        <f>'[14]2017 case'!R9</f>
        <v>6045126.7277077185</v>
      </c>
      <c r="N33" s="96">
        <f>'[14]2017 case'!S9</f>
        <v>8174615.2226054613</v>
      </c>
      <c r="O33" s="96">
        <f>'[14]2017 case'!T9</f>
        <v>1272096.3023464815</v>
      </c>
      <c r="P33" s="211">
        <f t="shared" si="3"/>
        <v>51863463.289276235</v>
      </c>
      <c r="Q33" s="148"/>
      <c r="R33" s="591"/>
      <c r="S33" s="148"/>
    </row>
    <row r="34" spans="1:19">
      <c r="A34" s="871">
        <f t="shared" si="0"/>
        <v>23</v>
      </c>
      <c r="B34" s="832">
        <v>8050</v>
      </c>
      <c r="C34" s="211" t="s">
        <v>876</v>
      </c>
      <c r="D34" s="596">
        <f>'[11]Div 009'!C140</f>
        <v>-885.57</v>
      </c>
      <c r="E34" s="596">
        <f>'[11]Div 009'!D140</f>
        <v>-310.92</v>
      </c>
      <c r="F34" s="596">
        <f>'[11]Div 009'!E140</f>
        <v>-228.3</v>
      </c>
      <c r="G34" s="596">
        <f>'[11]Div 009'!F140</f>
        <v>-69.099999999999994</v>
      </c>
      <c r="H34" s="596">
        <f>'[11]Div 009'!G140</f>
        <v>-1817.86</v>
      </c>
      <c r="I34" s="596">
        <f>'[11]Div 009'!H140</f>
        <v>-783.41</v>
      </c>
      <c r="J34" s="96">
        <f>'[14]2017 case'!O10</f>
        <v>-799.18091550348004</v>
      </c>
      <c r="K34" s="96">
        <f>'[14]2017 case'!P10</f>
        <v>-951.39050804120666</v>
      </c>
      <c r="L34" s="96">
        <f>'[14]2017 case'!Q10</f>
        <v>-784.59545231550305</v>
      </c>
      <c r="M34" s="96">
        <f>'[14]2017 case'!R10</f>
        <v>-4437.4151627129868</v>
      </c>
      <c r="N34" s="96">
        <f>'[14]2017 case'!S10</f>
        <v>-683.28487338544301</v>
      </c>
      <c r="O34" s="96">
        <f>'[14]2017 case'!T10</f>
        <v>-5051.6632533634011</v>
      </c>
      <c r="P34" s="211">
        <f t="shared" si="3"/>
        <v>-16802.690165322019</v>
      </c>
      <c r="Q34" s="148"/>
      <c r="R34" s="591"/>
      <c r="S34" s="148"/>
    </row>
    <row r="35" spans="1:19">
      <c r="A35" s="871">
        <f t="shared" si="0"/>
        <v>24</v>
      </c>
      <c r="B35" s="832">
        <v>8051</v>
      </c>
      <c r="C35" s="211" t="s">
        <v>877</v>
      </c>
      <c r="D35" s="596">
        <f>'[11]Div 009'!C141</f>
        <v>8024574.0700000003</v>
      </c>
      <c r="E35" s="596">
        <f>'[11]Div 009'!D141</f>
        <v>6235593.46</v>
      </c>
      <c r="F35" s="596">
        <f>'[11]Div 009'!E141</f>
        <v>4547479.01</v>
      </c>
      <c r="G35" s="596">
        <f>'[11]Div 009'!F141</f>
        <v>3361821.54</v>
      </c>
      <c r="H35" s="596">
        <f>'[11]Div 009'!G141</f>
        <v>1534503.17</v>
      </c>
      <c r="I35" s="596">
        <f>'[11]Div 009'!H141</f>
        <v>1025911.25</v>
      </c>
      <c r="J35" s="96">
        <f>'[14]2017 case'!O11</f>
        <v>805444.07275892491</v>
      </c>
      <c r="K35" s="96">
        <f>'[14]2017 case'!P11</f>
        <v>824795.12915881083</v>
      </c>
      <c r="L35" s="96">
        <f>'[14]2017 case'!Q11</f>
        <v>772207.91296427173</v>
      </c>
      <c r="M35" s="96">
        <f>'[14]2017 case'!R11</f>
        <v>1045038.7864227482</v>
      </c>
      <c r="N35" s="96">
        <f>'[14]2017 case'!S11</f>
        <v>2609623.4719726346</v>
      </c>
      <c r="O35" s="96">
        <f>'[14]2017 case'!T11</f>
        <v>5760891.6874248302</v>
      </c>
      <c r="P35" s="211">
        <f t="shared" si="3"/>
        <v>36547883.56070222</v>
      </c>
      <c r="Q35" s="148"/>
      <c r="R35" s="148"/>
      <c r="S35" s="148"/>
    </row>
    <row r="36" spans="1:19">
      <c r="A36" s="871">
        <f t="shared" si="0"/>
        <v>25</v>
      </c>
      <c r="B36" s="832">
        <v>8052</v>
      </c>
      <c r="C36" s="211" t="s">
        <v>878</v>
      </c>
      <c r="D36" s="596">
        <f>'[11]Div 009'!C142</f>
        <v>3677985.7</v>
      </c>
      <c r="E36" s="596">
        <f>'[11]Div 009'!D142</f>
        <v>2844532.57</v>
      </c>
      <c r="F36" s="596">
        <f>'[11]Div 009'!E142</f>
        <v>2136550.7599999998</v>
      </c>
      <c r="G36" s="596">
        <f>'[11]Div 009'!F142</f>
        <v>1547231.7</v>
      </c>
      <c r="H36" s="596">
        <f>'[11]Div 009'!G142</f>
        <v>990664.23</v>
      </c>
      <c r="I36" s="596">
        <f>'[11]Div 009'!H142</f>
        <v>790859.4</v>
      </c>
      <c r="J36" s="96">
        <f>'[14]2017 case'!O12</f>
        <v>778887.37364428886</v>
      </c>
      <c r="K36" s="96">
        <f>'[14]2017 case'!P12</f>
        <v>815142.92978745466</v>
      </c>
      <c r="L36" s="96">
        <f>'[14]2017 case'!Q12</f>
        <v>827696.88980517967</v>
      </c>
      <c r="M36" s="96">
        <f>'[14]2017 case'!R12</f>
        <v>1149289.9035971572</v>
      </c>
      <c r="N36" s="96">
        <f>'[14]2017 case'!S12</f>
        <v>1306034.282669575</v>
      </c>
      <c r="O36" s="96">
        <f>'[14]2017 case'!T12</f>
        <v>2457259.8324604626</v>
      </c>
      <c r="P36" s="211">
        <f t="shared" si="3"/>
        <v>19322135.571964119</v>
      </c>
      <c r="Q36" s="148"/>
      <c r="R36" s="148"/>
      <c r="S36" s="148"/>
    </row>
    <row r="37" spans="1:19">
      <c r="A37" s="871">
        <f t="shared" si="0"/>
        <v>26</v>
      </c>
      <c r="B37" s="832">
        <v>8053</v>
      </c>
      <c r="C37" s="211" t="s">
        <v>879</v>
      </c>
      <c r="D37" s="596">
        <f>'[11]Div 009'!C143</f>
        <v>672134.52</v>
      </c>
      <c r="E37" s="596">
        <f>'[11]Div 009'!D143</f>
        <v>664048.25</v>
      </c>
      <c r="F37" s="596">
        <f>'[11]Div 009'!E143</f>
        <v>769253.16</v>
      </c>
      <c r="G37" s="596">
        <f>'[11]Div 009'!F143</f>
        <v>453327.3</v>
      </c>
      <c r="H37" s="596">
        <f>'[11]Div 009'!G143</f>
        <v>452238.11</v>
      </c>
      <c r="I37" s="596">
        <f>'[11]Div 009'!H143</f>
        <v>558552.21</v>
      </c>
      <c r="J37" s="96">
        <f>'[14]2017 case'!O13</f>
        <v>287356.30665835651</v>
      </c>
      <c r="K37" s="96">
        <f>'[14]2017 case'!P13</f>
        <v>242254.3339164457</v>
      </c>
      <c r="L37" s="96">
        <f>'[14]2017 case'!Q13</f>
        <v>235833.37393340367</v>
      </c>
      <c r="M37" s="96">
        <f>'[14]2017 case'!R13</f>
        <v>208565.30531345346</v>
      </c>
      <c r="N37" s="96" t="s">
        <v>327</v>
      </c>
      <c r="O37" s="96">
        <f>'[14]2017 case'!T13</f>
        <v>370839.47033853474</v>
      </c>
      <c r="P37" s="211">
        <f t="shared" si="3"/>
        <v>4914402.3401601929</v>
      </c>
      <c r="Q37" s="148"/>
      <c r="R37" s="148"/>
      <c r="S37" s="148"/>
    </row>
    <row r="38" spans="1:19">
      <c r="A38" s="871">
        <f t="shared" si="0"/>
        <v>27</v>
      </c>
      <c r="B38" s="832">
        <v>8054</v>
      </c>
      <c r="C38" s="211" t="s">
        <v>880</v>
      </c>
      <c r="D38" s="596">
        <f>'[11]Div 009'!C144</f>
        <v>701686</v>
      </c>
      <c r="E38" s="596">
        <f>'[11]Div 009'!D144</f>
        <v>553678.14</v>
      </c>
      <c r="F38" s="596">
        <f>'[11]Div 009'!E144</f>
        <v>435084.35</v>
      </c>
      <c r="G38" s="596">
        <f>'[11]Div 009'!F144</f>
        <v>330096.84999999998</v>
      </c>
      <c r="H38" s="596">
        <f>'[11]Div 009'!G144</f>
        <v>195997.58</v>
      </c>
      <c r="I38" s="596">
        <f>'[11]Div 009'!H144</f>
        <v>141164.19</v>
      </c>
      <c r="J38" s="96">
        <f>'[14]2017 case'!O14</f>
        <v>107804.58414565001</v>
      </c>
      <c r="K38" s="96">
        <f>'[14]2017 case'!P14</f>
        <v>130174.56072436896</v>
      </c>
      <c r="L38" s="96">
        <f>'[14]2017 case'!Q14</f>
        <v>144256.09300231113</v>
      </c>
      <c r="M38" s="96">
        <f>'[14]2017 case'!R14</f>
        <v>164350.5690651749</v>
      </c>
      <c r="N38" s="96">
        <f>'[14]2017 case'!S14</f>
        <v>304318.11912879744</v>
      </c>
      <c r="O38" s="96">
        <f>'[14]2017 case'!T14</f>
        <v>511471.40798067587</v>
      </c>
      <c r="P38" s="211">
        <f t="shared" si="3"/>
        <v>3720082.4440469779</v>
      </c>
      <c r="Q38" s="148"/>
      <c r="S38" s="148"/>
    </row>
    <row r="39" spans="1:19">
      <c r="A39" s="871">
        <f t="shared" si="0"/>
        <v>28</v>
      </c>
      <c r="B39" s="832">
        <v>8058</v>
      </c>
      <c r="C39" s="211" t="s">
        <v>881</v>
      </c>
      <c r="D39" s="596">
        <f>'[11]Div 009'!C145</f>
        <v>323890.83999999997</v>
      </c>
      <c r="E39" s="596">
        <f>'[11]Div 009'!D145</f>
        <v>-1619982.6400000001</v>
      </c>
      <c r="F39" s="596">
        <f>'[11]Div 009'!E145</f>
        <v>-833283.85</v>
      </c>
      <c r="G39" s="596">
        <f>'[11]Div 009'!F145</f>
        <v>-1158007.55</v>
      </c>
      <c r="H39" s="596">
        <f>'[11]Div 009'!G145</f>
        <v>-390751.61</v>
      </c>
      <c r="I39" s="596">
        <f>'[11]Div 009'!H145</f>
        <v>-478919.64</v>
      </c>
      <c r="J39" s="96">
        <f>'[14]2017 case'!O15</f>
        <v>69058.398280472044</v>
      </c>
      <c r="K39" s="96">
        <f>'[14]2017 case'!P15</f>
        <v>-57345.390411293862</v>
      </c>
      <c r="L39" s="96">
        <f>'[14]2017 case'!Q15</f>
        <v>-808.4918761433571</v>
      </c>
      <c r="M39" s="96">
        <f>'[14]2017 case'!R15</f>
        <v>613559.63747668895</v>
      </c>
      <c r="N39" s="96">
        <f>'[14]2017 case'!S15</f>
        <v>2209350.3290974549</v>
      </c>
      <c r="O39" s="96">
        <f>'[14]2017 case'!T15</f>
        <v>2384955.0280997846</v>
      </c>
      <c r="P39" s="211">
        <f t="shared" si="3"/>
        <v>1061715.060666963</v>
      </c>
      <c r="Q39" s="148"/>
      <c r="R39" s="148"/>
      <c r="S39" s="148"/>
    </row>
    <row r="40" spans="1:19">
      <c r="A40" s="871">
        <f t="shared" si="0"/>
        <v>29</v>
      </c>
      <c r="B40" s="832">
        <v>8059</v>
      </c>
      <c r="C40" s="211" t="s">
        <v>882</v>
      </c>
      <c r="D40" s="596">
        <f>'[11]Div 009'!C146</f>
        <v>-11327380.869999999</v>
      </c>
      <c r="E40" s="596">
        <f>'[11]Div 009'!D146</f>
        <v>-12335696.460000001</v>
      </c>
      <c r="F40" s="596">
        <f>'[11]Div 009'!E146</f>
        <v>-8878999.3000000007</v>
      </c>
      <c r="G40" s="596">
        <f>'[11]Div 009'!F146</f>
        <v>-7684524.04</v>
      </c>
      <c r="H40" s="596">
        <f>'[11]Div 009'!G146</f>
        <v>-4221491.87</v>
      </c>
      <c r="I40" s="596">
        <f>'[11]Div 009'!H146</f>
        <v>-3604184.26</v>
      </c>
      <c r="J40" s="96">
        <f>'[14]2017 case'!O16</f>
        <v>-2987147.7008865927</v>
      </c>
      <c r="K40" s="96">
        <f>'[14]2017 case'!P16</f>
        <v>-4898780.2574197398</v>
      </c>
      <c r="L40" s="96">
        <f>'[14]2017 case'!Q16</f>
        <v>-3004681.4204560411</v>
      </c>
      <c r="M40" s="96">
        <f>'[14]2017 case'!R16</f>
        <v>-3823107.2573615815</v>
      </c>
      <c r="N40" s="96">
        <f>'[14]2017 case'!S16</f>
        <v>-5832415.614152371</v>
      </c>
      <c r="O40" s="96">
        <f>'[14]2017 case'!T16</f>
        <v>-6132258.7214599643</v>
      </c>
      <c r="P40" s="211">
        <f t="shared" si="3"/>
        <v>-74730667.771736294</v>
      </c>
      <c r="Q40" s="148"/>
      <c r="R40" s="148"/>
      <c r="S40" s="148"/>
    </row>
    <row r="41" spans="1:19">
      <c r="A41" s="871">
        <f t="shared" si="0"/>
        <v>30</v>
      </c>
      <c r="B41" s="832">
        <v>8060</v>
      </c>
      <c r="C41" s="211" t="s">
        <v>883</v>
      </c>
      <c r="D41" s="596">
        <f>'[11]Div 009'!C147</f>
        <v>994734.2</v>
      </c>
      <c r="E41" s="596">
        <f>'[11]Div 009'!D147</f>
        <v>3043458.35</v>
      </c>
      <c r="F41" s="596">
        <f>'[11]Div 009'!E147</f>
        <v>3568544.23</v>
      </c>
      <c r="G41" s="596">
        <f>'[11]Div 009'!F147</f>
        <v>2130910.9</v>
      </c>
      <c r="H41" s="596">
        <f>'[11]Div 009'!G147</f>
        <v>-1903716.98</v>
      </c>
      <c r="I41" s="596">
        <f>'[11]Div 009'!H147</f>
        <v>-551572.89</v>
      </c>
      <c r="J41" s="96">
        <f>'[14]2017 case'!O17</f>
        <v>-1322054.5588191811</v>
      </c>
      <c r="K41" s="96">
        <f>'[14]2017 case'!P17</f>
        <v>-606580.58174988464</v>
      </c>
      <c r="L41" s="96">
        <f>'[14]2017 case'!Q17</f>
        <v>-1597141.0412555649</v>
      </c>
      <c r="M41" s="96">
        <f>'[14]2017 case'!R17</f>
        <v>-1628393.0968163328</v>
      </c>
      <c r="N41" s="96">
        <f>'[14]2017 case'!S17</f>
        <v>-1753459.9323563059</v>
      </c>
      <c r="O41" s="96">
        <f>'[14]2017 case'!T17</f>
        <v>1497388.8946588605</v>
      </c>
      <c r="P41" s="211">
        <f t="shared" si="3"/>
        <v>1872117.4936615911</v>
      </c>
      <c r="Q41" s="148"/>
      <c r="R41" s="148"/>
      <c r="S41" s="148"/>
    </row>
    <row r="42" spans="1:19">
      <c r="A42" s="871">
        <f t="shared" si="0"/>
        <v>31</v>
      </c>
      <c r="B42" s="832">
        <v>8081</v>
      </c>
      <c r="C42" s="211" t="s">
        <v>884</v>
      </c>
      <c r="D42" s="596">
        <f>'[11]Div 009'!C148</f>
        <v>2255744.84</v>
      </c>
      <c r="E42" s="596">
        <f>'[11]Div 009'!D148</f>
        <v>2376725.7999999998</v>
      </c>
      <c r="F42" s="596">
        <f>'[11]Div 009'!E148</f>
        <v>2699947.65</v>
      </c>
      <c r="G42" s="596">
        <f>'[11]Div 009'!F148</f>
        <v>2442279.3199999998</v>
      </c>
      <c r="H42" s="596">
        <f>'[11]Div 009'!G148</f>
        <v>9857.76</v>
      </c>
      <c r="I42" s="596">
        <f>'[11]Div 009'!H148</f>
        <v>10008.9</v>
      </c>
      <c r="J42" s="96">
        <f>'[14]2017 case'!O18</f>
        <v>0</v>
      </c>
      <c r="K42" s="96">
        <f>'[14]2017 case'!P18</f>
        <v>0</v>
      </c>
      <c r="L42" s="96">
        <f>'[14]2017 case'!Q18</f>
        <v>0</v>
      </c>
      <c r="M42" s="96">
        <f>'[14]2017 case'!R18</f>
        <v>0</v>
      </c>
      <c r="N42" s="96">
        <f>'[14]2017 case'!S18</f>
        <v>0</v>
      </c>
      <c r="O42" s="96">
        <f>'[14]2017 case'!T18</f>
        <v>1068365.5241918706</v>
      </c>
      <c r="P42" s="211">
        <f t="shared" si="3"/>
        <v>10862929.794191871</v>
      </c>
      <c r="Q42" s="148"/>
      <c r="R42" s="148"/>
      <c r="S42" s="148"/>
    </row>
    <row r="43" spans="1:19">
      <c r="A43" s="871">
        <f t="shared" si="0"/>
        <v>32</v>
      </c>
      <c r="B43" s="832">
        <v>8082</v>
      </c>
      <c r="C43" s="211" t="s">
        <v>885</v>
      </c>
      <c r="D43" s="596">
        <f>'[11]Div 009'!C149</f>
        <v>-22774.57</v>
      </c>
      <c r="E43" s="596">
        <f>'[11]Div 009'!D149</f>
        <v>-5573.91</v>
      </c>
      <c r="F43" s="596">
        <f>'[11]Div 009'!E149</f>
        <v>-10704.99</v>
      </c>
      <c r="G43" s="596">
        <f>'[11]Div 009'!F149</f>
        <v>-98792.27</v>
      </c>
      <c r="H43" s="596">
        <f>'[11]Div 009'!G149</f>
        <v>-1863094.7</v>
      </c>
      <c r="I43" s="596">
        <f>'[11]Div 009'!H149</f>
        <v>-1635911.13</v>
      </c>
      <c r="J43" s="96">
        <f>'[14]2017 case'!O19</f>
        <v>-1848189.9873530758</v>
      </c>
      <c r="K43" s="96">
        <f>'[14]2017 case'!P19</f>
        <v>-3003139.3513166173</v>
      </c>
      <c r="L43" s="96">
        <f>'[14]2017 case'!Q19</f>
        <v>-2164047.8974960581</v>
      </c>
      <c r="M43" s="96">
        <f>'[14]2017 case'!R19</f>
        <v>-2727391.4947982277</v>
      </c>
      <c r="N43" s="96">
        <f>'[14]2017 case'!S19</f>
        <v>-3806302.610961399</v>
      </c>
      <c r="O43" s="96">
        <f>'[14]2017 case'!T19</f>
        <v>-2029.249515507069</v>
      </c>
      <c r="P43" s="211">
        <f t="shared" si="3"/>
        <v>-17187952.161440887</v>
      </c>
      <c r="Q43" s="725"/>
      <c r="S43" s="148"/>
    </row>
    <row r="44" spans="1:19">
      <c r="A44" s="871">
        <f t="shared" si="0"/>
        <v>33</v>
      </c>
      <c r="B44" s="832">
        <v>8120</v>
      </c>
      <c r="C44" s="211" t="s">
        <v>886</v>
      </c>
      <c r="D44" s="596">
        <f>'[11]Div 009'!C150</f>
        <v>-5262.99</v>
      </c>
      <c r="E44" s="596">
        <f>'[11]Div 009'!D150</f>
        <v>-1034.33</v>
      </c>
      <c r="F44" s="596">
        <f>'[11]Div 009'!E150</f>
        <v>1052.7700000000004</v>
      </c>
      <c r="G44" s="596">
        <f>'[11]Div 009'!F150</f>
        <v>-2337.79</v>
      </c>
      <c r="H44" s="596">
        <f>'[11]Div 009'!G150</f>
        <v>-107.31999999999971</v>
      </c>
      <c r="I44" s="596">
        <f>'[11]Div 009'!H150</f>
        <v>-1519.73</v>
      </c>
      <c r="J44" s="96">
        <f>'[14]2017 case'!O20</f>
        <v>1190.8345312262113</v>
      </c>
      <c r="K44" s="96">
        <f>'[14]2017 case'!P20</f>
        <v>-2343.881289582002</v>
      </c>
      <c r="L44" s="96">
        <f>'[14]2017 case'!Q20</f>
        <v>754.75339777356851</v>
      </c>
      <c r="M44" s="96">
        <f>'[14]2017 case'!R20</f>
        <v>94.752383135497539</v>
      </c>
      <c r="N44" s="96">
        <f>'[14]2017 case'!S20</f>
        <v>-1990.026543318786</v>
      </c>
      <c r="O44" s="96">
        <f>'[14]2017 case'!T20</f>
        <v>-8701.6388034433439</v>
      </c>
      <c r="P44" s="211">
        <f t="shared" si="3"/>
        <v>-20204.596324208855</v>
      </c>
      <c r="Q44" s="148"/>
      <c r="R44" s="148"/>
      <c r="S44" s="148"/>
    </row>
    <row r="45" spans="1:19" s="795" customFormat="1">
      <c r="A45" s="871">
        <f>A44+1</f>
        <v>34</v>
      </c>
      <c r="B45" s="832">
        <v>8580</v>
      </c>
      <c r="C45" s="103" t="s">
        <v>1219</v>
      </c>
      <c r="D45" s="596">
        <f>'[11]Div 009'!C164</f>
        <v>2499584.8600000003</v>
      </c>
      <c r="E45" s="596">
        <f>'[11]Div 009'!D164</f>
        <v>2564753.77</v>
      </c>
      <c r="F45" s="596">
        <f>'[11]Div 009'!E164</f>
        <v>2280622.62</v>
      </c>
      <c r="G45" s="596">
        <f>'[11]Div 009'!F164</f>
        <v>2438250.5500000003</v>
      </c>
      <c r="H45" s="596">
        <f>'[11]Div 009'!G164</f>
        <v>2050639.5699999998</v>
      </c>
      <c r="I45" s="596">
        <f>'[11]Div 009'!H164</f>
        <v>1662627.06</v>
      </c>
      <c r="J45" s="96">
        <f>'[14]2017 case'!O21</f>
        <v>2009809.0189122006</v>
      </c>
      <c r="K45" s="96">
        <f>'[14]2017 case'!P21</f>
        <v>2290799.2310049399</v>
      </c>
      <c r="L45" s="96">
        <f>'[14]2017 case'!Q21</f>
        <v>1825658.0318428644</v>
      </c>
      <c r="M45" s="96">
        <f>'[14]2017 case'!R21</f>
        <v>2131691.8589931885</v>
      </c>
      <c r="N45" s="96">
        <f>'[14]2017 case'!S21</f>
        <v>3210936.0534267556</v>
      </c>
      <c r="O45" s="96">
        <f>'[14]2017 case'!T21</f>
        <v>2297570.5453369063</v>
      </c>
      <c r="P45" s="211">
        <f t="shared" si="3"/>
        <v>27262943.169516858</v>
      </c>
      <c r="Q45" s="591"/>
      <c r="R45" s="148"/>
      <c r="S45" s="148"/>
    </row>
    <row r="46" spans="1:19" ht="22.5" customHeight="1">
      <c r="A46" s="871">
        <f t="shared" si="0"/>
        <v>35</v>
      </c>
      <c r="B46" s="832">
        <v>8140</v>
      </c>
      <c r="C46" s="211" t="s">
        <v>887</v>
      </c>
      <c r="D46" s="596">
        <f>0</f>
        <v>0</v>
      </c>
      <c r="E46" s="596">
        <f>0</f>
        <v>0</v>
      </c>
      <c r="F46" s="596">
        <f>0</f>
        <v>0</v>
      </c>
      <c r="G46" s="596">
        <f>0</f>
        <v>0</v>
      </c>
      <c r="H46" s="596">
        <f>0</f>
        <v>0</v>
      </c>
      <c r="I46" s="596">
        <f>0</f>
        <v>0</v>
      </c>
      <c r="J46" s="396">
        <f>VLOOKUP($B46,'[13]Div 9 forecast'!$D$518:$AF$599, 9,FALSE)</f>
        <v>0</v>
      </c>
      <c r="K46" s="396">
        <f>VLOOKUP($B46,'[13]Div 9 forecast'!$D$518:$AF$599,10,FALSE)</f>
        <v>0</v>
      </c>
      <c r="L46" s="396">
        <f>VLOOKUP($B46,'[13]Div 9 forecast'!$D$518:$AF$599, 11,FALSE)</f>
        <v>0</v>
      </c>
      <c r="M46" s="396">
        <f>VLOOKUP($B46,'[13]Div 9 forecast'!$D$518:$AF$599,12,FALSE)</f>
        <v>0</v>
      </c>
      <c r="N46" s="396">
        <f>VLOOKUP($B46,'[13]Div 9 forecast'!$D$518:$AF$599, 13,FALSE)</f>
        <v>0</v>
      </c>
      <c r="O46" s="396">
        <f>VLOOKUP($B46,'[13]Div 9 forecast'!$D$518:$AF$599, 14,FALSE)</f>
        <v>0</v>
      </c>
      <c r="P46" s="211">
        <f t="shared" si="3"/>
        <v>0</v>
      </c>
      <c r="S46" s="148"/>
    </row>
    <row r="47" spans="1:19" ht="21.75" customHeight="1">
      <c r="A47" s="871">
        <f t="shared" si="0"/>
        <v>36</v>
      </c>
      <c r="B47" s="832">
        <v>8160</v>
      </c>
      <c r="C47" s="211" t="s">
        <v>888</v>
      </c>
      <c r="D47" s="596">
        <f>'[11]Div 009'!C151</f>
        <v>20628.030000000002</v>
      </c>
      <c r="E47" s="596">
        <f>'[11]Div 009'!D151</f>
        <v>30051.77</v>
      </c>
      <c r="F47" s="596">
        <f>'[11]Div 009'!E151</f>
        <v>6702.43</v>
      </c>
      <c r="G47" s="596">
        <f>'[11]Div 009'!F151</f>
        <v>9489.93</v>
      </c>
      <c r="H47" s="596">
        <f>'[11]Div 009'!G151</f>
        <v>2729.3599999999997</v>
      </c>
      <c r="I47" s="596">
        <f>'[11]Div 009'!H151</f>
        <v>1518.5900000000001</v>
      </c>
      <c r="J47" s="396">
        <f>VLOOKUP($B47,'[13]Div 9 forecast'!$D$518:$AF$599, 9,FALSE)</f>
        <v>9671.7813669524949</v>
      </c>
      <c r="K47" s="396">
        <f>VLOOKUP($B47,'[13]Div 9 forecast'!$D$518:$AF$599,10,FALSE)</f>
        <v>9763.543576804359</v>
      </c>
      <c r="L47" s="396">
        <f>VLOOKUP($B47,'[13]Div 9 forecast'!$D$518:$AF$599, 11,FALSE)</f>
        <v>9609.3245665296035</v>
      </c>
      <c r="M47" s="396">
        <f>VLOOKUP($B47,'[13]Div 9 forecast'!$D$518:$AF$599,12,FALSE)</f>
        <v>10150.145738203113</v>
      </c>
      <c r="N47" s="396">
        <f>VLOOKUP($B47,'[13]Div 9 forecast'!$D$518:$AF$599, 13,FALSE)</f>
        <v>10595.12605178217</v>
      </c>
      <c r="O47" s="396">
        <f>VLOOKUP($B47,'[13]Div 9 forecast'!$D$518:$AF$599, 14,FALSE)</f>
        <v>8060.2733299157171</v>
      </c>
      <c r="P47" s="211">
        <f t="shared" si="3"/>
        <v>128970.30463018743</v>
      </c>
      <c r="Q47" s="148"/>
      <c r="R47" s="148"/>
      <c r="S47" s="148"/>
    </row>
    <row r="48" spans="1:19">
      <c r="A48" s="871">
        <f t="shared" si="0"/>
        <v>37</v>
      </c>
      <c r="B48" s="832">
        <v>8170</v>
      </c>
      <c r="C48" s="211" t="s">
        <v>894</v>
      </c>
      <c r="D48" s="596">
        <f>'[11]Div 009'!C152</f>
        <v>4629.92</v>
      </c>
      <c r="E48" s="596">
        <f>'[11]Div 009'!D152</f>
        <v>4715.18</v>
      </c>
      <c r="F48" s="596">
        <f>'[11]Div 009'!E152</f>
        <v>4104.7000000000007</v>
      </c>
      <c r="G48" s="596">
        <f>'[11]Div 009'!F152</f>
        <v>2532.96</v>
      </c>
      <c r="H48" s="596">
        <f>'[11]Div 009'!G152</f>
        <v>1936.4099999999999</v>
      </c>
      <c r="I48" s="596">
        <f>'[11]Div 009'!H152</f>
        <v>-163.76999999999998</v>
      </c>
      <c r="J48" s="396">
        <f>VLOOKUP($B48,'[13]Div 9 forecast'!$D$518:$AF$599, 9,FALSE)</f>
        <v>2841.9244989688564</v>
      </c>
      <c r="K48" s="396">
        <f>VLOOKUP($B48,'[13]Div 9 forecast'!$D$518:$AF$599,10,FALSE)</f>
        <v>3046.2891028107178</v>
      </c>
      <c r="L48" s="396">
        <f>VLOOKUP($B48,'[13]Div 9 forecast'!$D$518:$AF$599, 11,FALSE)</f>
        <v>2793.998226998081</v>
      </c>
      <c r="M48" s="396">
        <f>VLOOKUP($B48,'[13]Div 9 forecast'!$D$518:$AF$599,12,FALSE)</f>
        <v>2879.5723005346754</v>
      </c>
      <c r="N48" s="396">
        <f>VLOOKUP($B48,'[13]Div 9 forecast'!$D$518:$AF$599, 13,FALSE)</f>
        <v>2904.1146331025616</v>
      </c>
      <c r="O48" s="396">
        <f>VLOOKUP($B48,'[13]Div 9 forecast'!$D$518:$AF$599, 14,FALSE)</f>
        <v>2791.1563465820577</v>
      </c>
      <c r="P48" s="211">
        <f t="shared" si="3"/>
        <v>35012.455108996946</v>
      </c>
      <c r="Q48" s="148"/>
      <c r="R48" s="148"/>
      <c r="S48" s="148"/>
    </row>
    <row r="49" spans="1:22">
      <c r="A49" s="871">
        <f t="shared" si="0"/>
        <v>38</v>
      </c>
      <c r="B49" s="832">
        <v>8180</v>
      </c>
      <c r="C49" s="211" t="s">
        <v>895</v>
      </c>
      <c r="D49" s="596">
        <f>'[11]Div 009'!C153</f>
        <v>4238.1900000000005</v>
      </c>
      <c r="E49" s="596">
        <f>'[11]Div 009'!D153</f>
        <v>2653.4</v>
      </c>
      <c r="F49" s="596">
        <f>'[11]Div 009'!E153</f>
        <v>292.36000000000007</v>
      </c>
      <c r="G49" s="596">
        <f>'[11]Div 009'!F153</f>
        <v>2998.1400000000003</v>
      </c>
      <c r="H49" s="596">
        <f>'[11]Div 009'!G153</f>
        <v>3432.8</v>
      </c>
      <c r="I49" s="596">
        <f>'[11]Div 009'!H153</f>
        <v>3947.33</v>
      </c>
      <c r="J49" s="396">
        <f>VLOOKUP($B49,'[13]Div 9 forecast'!$D$518:$AF$599, 9,FALSE)</f>
        <v>3291.2704196566906</v>
      </c>
      <c r="K49" s="396">
        <f>VLOOKUP($B49,'[13]Div 9 forecast'!$D$518:$AF$599,10,FALSE)</f>
        <v>3256.7103922503102</v>
      </c>
      <c r="L49" s="396">
        <f>VLOOKUP($B49,'[13]Div 9 forecast'!$D$518:$AF$599, 11,FALSE)</f>
        <v>2812.7271368951911</v>
      </c>
      <c r="M49" s="396">
        <f>VLOOKUP($B49,'[13]Div 9 forecast'!$D$518:$AF$599,12,FALSE)</f>
        <v>2494.9729850621493</v>
      </c>
      <c r="N49" s="396">
        <f>VLOOKUP($B49,'[13]Div 9 forecast'!$D$518:$AF$599, 13,FALSE)</f>
        <v>2647.7180185446978</v>
      </c>
      <c r="O49" s="396">
        <f>VLOOKUP($B49,'[13]Div 9 forecast'!$D$518:$AF$599, 14,FALSE)</f>
        <v>2772.2428559808468</v>
      </c>
      <c r="P49" s="211">
        <f t="shared" si="3"/>
        <v>34837.861808389884</v>
      </c>
      <c r="Q49" s="148"/>
      <c r="R49" s="148"/>
      <c r="S49" s="148"/>
    </row>
    <row r="50" spans="1:22" ht="15.75">
      <c r="A50" s="871">
        <f t="shared" si="0"/>
        <v>39</v>
      </c>
      <c r="B50" s="832">
        <v>8190</v>
      </c>
      <c r="C50" s="211" t="s">
        <v>896</v>
      </c>
      <c r="D50" s="596">
        <f>'[11]Div 009'!C154</f>
        <v>104.25</v>
      </c>
      <c r="E50" s="596">
        <f>'[11]Div 009'!D154</f>
        <v>111.93</v>
      </c>
      <c r="F50" s="596">
        <f>'[11]Div 009'!E154</f>
        <v>109.46</v>
      </c>
      <c r="G50" s="596">
        <f>'[11]Div 009'!F154</f>
        <v>0</v>
      </c>
      <c r="H50" s="596">
        <f>'[11]Div 009'!G154</f>
        <v>214.73</v>
      </c>
      <c r="I50" s="596">
        <f>'[11]Div 009'!H154</f>
        <v>67.94</v>
      </c>
      <c r="J50" s="396">
        <f>VLOOKUP($B50,'[13]Div 9 forecast'!$D$518:$AF$599, 9,FALSE)</f>
        <v>89.868705637670388</v>
      </c>
      <c r="K50" s="396">
        <f>VLOOKUP($B50,'[13]Div 9 forecast'!$D$518:$AF$599,10,FALSE)</f>
        <v>90.182494955090178</v>
      </c>
      <c r="L50" s="396">
        <f>VLOOKUP($B50,'[13]Div 9 forecast'!$D$518:$AF$599, 11,FALSE)</f>
        <v>85.589863025237335</v>
      </c>
      <c r="M50" s="396">
        <f>VLOOKUP($B50,'[13]Div 9 forecast'!$D$518:$AF$599,12,FALSE)</f>
        <v>81.086603650364225</v>
      </c>
      <c r="N50" s="396">
        <f>VLOOKUP($B50,'[13]Div 9 forecast'!$D$518:$AF$599, 13,FALSE)</f>
        <v>89.470308005517069</v>
      </c>
      <c r="O50" s="396">
        <f>VLOOKUP($B50,'[13]Div 9 forecast'!$D$518:$AF$599, 14,FALSE)</f>
        <v>78.107518484372804</v>
      </c>
      <c r="P50" s="211">
        <f t="shared" si="3"/>
        <v>1122.6154937582521</v>
      </c>
      <c r="Q50" s="148"/>
      <c r="R50" s="592"/>
      <c r="S50" s="102"/>
    </row>
    <row r="51" spans="1:22" ht="15.75">
      <c r="A51" s="871">
        <f t="shared" si="0"/>
        <v>40</v>
      </c>
      <c r="B51" s="832">
        <v>8200</v>
      </c>
      <c r="C51" s="211" t="s">
        <v>897</v>
      </c>
      <c r="D51" s="596">
        <f>'[11]Div 009'!C155</f>
        <v>700.76</v>
      </c>
      <c r="E51" s="596">
        <f>'[11]Div 009'!D155</f>
        <v>-61.53</v>
      </c>
      <c r="F51" s="596">
        <f>'[11]Div 009'!E155</f>
        <v>540.61</v>
      </c>
      <c r="G51" s="596">
        <f>'[11]Div 009'!F155</f>
        <v>138.97</v>
      </c>
      <c r="H51" s="596">
        <f>'[11]Div 009'!G155</f>
        <v>506.53999999999996</v>
      </c>
      <c r="I51" s="596">
        <f>'[11]Div 009'!H155</f>
        <v>93.31</v>
      </c>
      <c r="J51" s="396">
        <f>VLOOKUP($B51,'[13]Div 9 forecast'!$D$518:$AF$599, 9,FALSE)</f>
        <v>293.96227574740681</v>
      </c>
      <c r="K51" s="396">
        <f>VLOOKUP($B51,'[13]Div 9 forecast'!$D$518:$AF$599,10,FALSE)</f>
        <v>306.87743118776086</v>
      </c>
      <c r="L51" s="396">
        <f>VLOOKUP($B51,'[13]Div 9 forecast'!$D$518:$AF$599, 11,FALSE)</f>
        <v>286.46426553959498</v>
      </c>
      <c r="M51" s="396">
        <f>VLOOKUP($B51,'[13]Div 9 forecast'!$D$518:$AF$599,12,FALSE)</f>
        <v>286.07699892722206</v>
      </c>
      <c r="N51" s="396">
        <f>VLOOKUP($B51,'[13]Div 9 forecast'!$D$518:$AF$599, 13,FALSE)</f>
        <v>299.58235542102443</v>
      </c>
      <c r="O51" s="396">
        <f>VLOOKUP($B51,'[13]Div 9 forecast'!$D$518:$AF$599, 14,FALSE)</f>
        <v>275.1612545921534</v>
      </c>
      <c r="P51" s="211">
        <f t="shared" si="3"/>
        <v>3666.7845814151633</v>
      </c>
      <c r="Q51" s="148"/>
      <c r="R51" s="624"/>
      <c r="S51" s="625"/>
    </row>
    <row r="52" spans="1:22">
      <c r="A52" s="871">
        <f t="shared" si="0"/>
        <v>41</v>
      </c>
      <c r="B52" s="832">
        <v>8210</v>
      </c>
      <c r="C52" s="211" t="s">
        <v>898</v>
      </c>
      <c r="D52" s="596">
        <f>'[11]Div 009'!C156</f>
        <v>6912.96</v>
      </c>
      <c r="E52" s="596">
        <f>'[11]Div 009'!D156</f>
        <v>1672.1000000000001</v>
      </c>
      <c r="F52" s="596">
        <f>'[11]Div 009'!E156</f>
        <v>1079.7099999999996</v>
      </c>
      <c r="G52" s="596">
        <f>'[11]Div 009'!F156</f>
        <v>1727.2300000000002</v>
      </c>
      <c r="H52" s="596">
        <f>'[11]Div 009'!G156</f>
        <v>1413.6599999999999</v>
      </c>
      <c r="I52" s="596">
        <f>'[11]Div 009'!H156</f>
        <v>156.72999999999999</v>
      </c>
      <c r="J52" s="396">
        <f>VLOOKUP($B52,'[13]Div 9 forecast'!$D$518:$AF$599, 9,FALSE)</f>
        <v>2443.8229845776609</v>
      </c>
      <c r="K52" s="396">
        <f>VLOOKUP($B52,'[13]Div 9 forecast'!$D$518:$AF$599,10,FALSE)</f>
        <v>2399.2353896893528</v>
      </c>
      <c r="L52" s="396">
        <f>VLOOKUP($B52,'[13]Div 9 forecast'!$D$518:$AF$599, 11,FALSE)</f>
        <v>2067.4297806043596</v>
      </c>
      <c r="M52" s="396">
        <f>VLOOKUP($B52,'[13]Div 9 forecast'!$D$518:$AF$599,12,FALSE)</f>
        <v>1800.5113810344171</v>
      </c>
      <c r="N52" s="396">
        <f>VLOOKUP($B52,'[13]Div 9 forecast'!$D$518:$AF$599, 13,FALSE)</f>
        <v>1931.3253916695476</v>
      </c>
      <c r="O52" s="396">
        <f>VLOOKUP($B52,'[13]Div 9 forecast'!$D$518:$AF$599, 14,FALSE)</f>
        <v>2030.09638683244</v>
      </c>
      <c r="P52" s="211">
        <f t="shared" si="3"/>
        <v>25634.811314407776</v>
      </c>
      <c r="Q52" s="148"/>
      <c r="R52" s="212"/>
      <c r="S52" s="148"/>
    </row>
    <row r="53" spans="1:22">
      <c r="A53" s="871">
        <f t="shared" si="0"/>
        <v>42</v>
      </c>
      <c r="B53" s="832">
        <v>8240</v>
      </c>
      <c r="C53" s="211" t="s">
        <v>899</v>
      </c>
      <c r="D53" s="596">
        <f>0</f>
        <v>0</v>
      </c>
      <c r="E53" s="596">
        <f>0</f>
        <v>0</v>
      </c>
      <c r="F53" s="596">
        <f>0</f>
        <v>0</v>
      </c>
      <c r="G53" s="596">
        <f>0</f>
        <v>0</v>
      </c>
      <c r="H53" s="596">
        <f>0</f>
        <v>0</v>
      </c>
      <c r="I53" s="596">
        <f>0</f>
        <v>0</v>
      </c>
      <c r="J53" s="396">
        <f>VLOOKUP($B53,'[13]Div 9 forecast'!$D$518:$AF$599, 9,FALSE)</f>
        <v>0</v>
      </c>
      <c r="K53" s="396">
        <f>VLOOKUP($B53,'[13]Div 9 forecast'!$D$518:$AF$599,10,FALSE)</f>
        <v>0</v>
      </c>
      <c r="L53" s="396">
        <f>VLOOKUP($B53,'[13]Div 9 forecast'!$D$518:$AF$599, 11,FALSE)</f>
        <v>0</v>
      </c>
      <c r="M53" s="396">
        <f>VLOOKUP($B53,'[13]Div 9 forecast'!$D$518:$AF$599,12,FALSE)</f>
        <v>0</v>
      </c>
      <c r="N53" s="396">
        <f>VLOOKUP($B53,'[13]Div 9 forecast'!$D$518:$AF$599, 13,FALSE)</f>
        <v>0</v>
      </c>
      <c r="O53" s="396">
        <f>VLOOKUP($B53,'[13]Div 9 forecast'!$D$518:$AF$599, 14,FALSE)</f>
        <v>0</v>
      </c>
      <c r="P53" s="211">
        <f t="shared" si="3"/>
        <v>0</v>
      </c>
      <c r="Q53" s="148"/>
      <c r="R53" s="212"/>
      <c r="S53" s="148"/>
    </row>
    <row r="54" spans="1:22">
      <c r="A54" s="871">
        <f t="shared" si="0"/>
        <v>43</v>
      </c>
      <c r="B54" s="832">
        <v>8250</v>
      </c>
      <c r="C54" s="211" t="s">
        <v>911</v>
      </c>
      <c r="D54" s="596">
        <f>'[11]Div 009'!C157</f>
        <v>1749.6399999999999</v>
      </c>
      <c r="E54" s="596">
        <f>'[11]Div 009'!D157</f>
        <v>1281.54</v>
      </c>
      <c r="F54" s="596">
        <f>'[11]Div 009'!E157</f>
        <v>1435.3400000000001</v>
      </c>
      <c r="G54" s="596">
        <f>'[11]Div 009'!F157</f>
        <v>609.9</v>
      </c>
      <c r="H54" s="596">
        <f>'[11]Div 009'!G157</f>
        <v>379.66</v>
      </c>
      <c r="I54" s="596">
        <f>'[11]Div 009'!H157</f>
        <v>206.07</v>
      </c>
      <c r="J54" s="396">
        <f>VLOOKUP($B54,'[13]Div 9 forecast'!$D$518:$AF$599, 9,FALSE)</f>
        <v>1881.4284385514072</v>
      </c>
      <c r="K54" s="396">
        <f>VLOOKUP($B54,'[13]Div 9 forecast'!$D$518:$AF$599,10,FALSE)</f>
        <v>1884.073928397155</v>
      </c>
      <c r="L54" s="396">
        <f>VLOOKUP($B54,'[13]Div 9 forecast'!$D$518:$AF$599, 11,FALSE)</f>
        <v>1845.3544422285761</v>
      </c>
      <c r="M54" s="396">
        <f>VLOOKUP($B54,'[13]Div 9 forecast'!$D$518:$AF$599,12,FALSE)</f>
        <v>735.13148750329526</v>
      </c>
      <c r="N54" s="396">
        <f>VLOOKUP($B54,'[13]Div 9 forecast'!$D$518:$AF$599, 13,FALSE)</f>
        <v>802.2083264115987</v>
      </c>
      <c r="O54" s="396">
        <f>VLOOKUP($B54,'[13]Div 9 forecast'!$D$518:$AF$599, 14,FALSE)</f>
        <v>687.8857628995014</v>
      </c>
      <c r="P54" s="211">
        <f t="shared" si="3"/>
        <v>13498.232385991532</v>
      </c>
      <c r="Q54" s="148"/>
      <c r="R54" s="148"/>
      <c r="S54" s="148"/>
    </row>
    <row r="55" spans="1:22">
      <c r="A55" s="871">
        <f t="shared" si="0"/>
        <v>44</v>
      </c>
      <c r="B55" s="832">
        <v>8310</v>
      </c>
      <c r="C55" s="211" t="s">
        <v>912</v>
      </c>
      <c r="D55" s="596">
        <f>'[11]Div 009'!C158</f>
        <v>420.89</v>
      </c>
      <c r="E55" s="596">
        <f>'[11]Div 009'!D158</f>
        <v>965.79</v>
      </c>
      <c r="F55" s="596">
        <f>'[11]Div 009'!E158</f>
        <v>435.61</v>
      </c>
      <c r="G55" s="596">
        <f>'[11]Div 009'!F158</f>
        <v>1452.3</v>
      </c>
      <c r="H55" s="596">
        <f>'[11]Div 009'!G158</f>
        <v>2170</v>
      </c>
      <c r="I55" s="596">
        <f>'[11]Div 009'!H158</f>
        <v>3133</v>
      </c>
      <c r="J55" s="396">
        <f>VLOOKUP($B55,'[13]Div 9 forecast'!$D$518:$AF$599, 9,FALSE)</f>
        <v>1141.8190282576998</v>
      </c>
      <c r="K55" s="396">
        <f>VLOOKUP($B55,'[13]Div 9 forecast'!$D$518:$AF$599,10,FALSE)</f>
        <v>1105.8915144422879</v>
      </c>
      <c r="L55" s="396">
        <f>VLOOKUP($B55,'[13]Div 9 forecast'!$D$518:$AF$599, 11,FALSE)</f>
        <v>1103.2609469001286</v>
      </c>
      <c r="M55" s="396">
        <f>VLOOKUP($B55,'[13]Div 9 forecast'!$D$518:$AF$599,12,FALSE)</f>
        <v>1140.3643301151235</v>
      </c>
      <c r="N55" s="396">
        <f>VLOOKUP($B55,'[13]Div 9 forecast'!$D$518:$AF$599, 13,FALSE)</f>
        <v>1219.4740544896608</v>
      </c>
      <c r="O55" s="396">
        <f>VLOOKUP($B55,'[13]Div 9 forecast'!$D$518:$AF$599, 14,FALSE)</f>
        <v>856.56271797912723</v>
      </c>
      <c r="P55" s="211">
        <f t="shared" si="3"/>
        <v>15144.962592184031</v>
      </c>
      <c r="Q55" s="148"/>
      <c r="R55" s="212"/>
      <c r="S55" s="148"/>
    </row>
    <row r="56" spans="1:22">
      <c r="A56" s="871">
        <f t="shared" si="0"/>
        <v>45</v>
      </c>
      <c r="B56" s="832">
        <v>8340</v>
      </c>
      <c r="C56" s="211" t="s">
        <v>913</v>
      </c>
      <c r="D56" s="596">
        <f>'[11]Div 009'!C159</f>
        <v>157.15</v>
      </c>
      <c r="E56" s="596">
        <f>'[11]Div 009'!D159</f>
        <v>6645.0599999999995</v>
      </c>
      <c r="F56" s="596">
        <f>'[11]Div 009'!E159</f>
        <v>-629.18999999999994</v>
      </c>
      <c r="G56" s="596">
        <f>'[11]Div 009'!F159</f>
        <v>0</v>
      </c>
      <c r="H56" s="596">
        <f>'[11]Div 009'!G159</f>
        <v>15.61</v>
      </c>
      <c r="I56" s="596">
        <f>'[11]Div 009'!H159</f>
        <v>0</v>
      </c>
      <c r="J56" s="396">
        <f>VLOOKUP($B56,'[13]Div 9 forecast'!$D$518:$AF$599, 9,FALSE)</f>
        <v>877.0227389493507</v>
      </c>
      <c r="K56" s="396">
        <f>VLOOKUP($B56,'[13]Div 9 forecast'!$D$518:$AF$599,10,FALSE)</f>
        <v>869.14968495628125</v>
      </c>
      <c r="L56" s="396">
        <f>VLOOKUP($B56,'[13]Div 9 forecast'!$D$518:$AF$599, 11,FALSE)</f>
        <v>841.14001527598737</v>
      </c>
      <c r="M56" s="396">
        <f>VLOOKUP($B56,'[13]Div 9 forecast'!$D$518:$AF$599,12,FALSE)</f>
        <v>859.27148675933927</v>
      </c>
      <c r="N56" s="396">
        <f>VLOOKUP($B56,'[13]Div 9 forecast'!$D$518:$AF$599, 13,FALSE)</f>
        <v>907.05664057036142</v>
      </c>
      <c r="O56" s="396">
        <f>VLOOKUP($B56,'[13]Div 9 forecast'!$D$518:$AF$599, 14,FALSE)</f>
        <v>705.51423786264218</v>
      </c>
      <c r="P56" s="211">
        <f t="shared" si="3"/>
        <v>11247.78480437396</v>
      </c>
      <c r="Q56" s="148"/>
      <c r="R56" s="212"/>
      <c r="S56" s="148"/>
    </row>
    <row r="57" spans="1:22">
      <c r="A57" s="871">
        <f t="shared" si="0"/>
        <v>46</v>
      </c>
      <c r="B57" s="832">
        <v>8350</v>
      </c>
      <c r="C57" s="211" t="s">
        <v>914</v>
      </c>
      <c r="D57" s="596">
        <f>0</f>
        <v>0</v>
      </c>
      <c r="E57" s="596">
        <f>0</f>
        <v>0</v>
      </c>
      <c r="F57" s="596">
        <f>0</f>
        <v>0</v>
      </c>
      <c r="G57" s="596">
        <f>0</f>
        <v>0</v>
      </c>
      <c r="H57" s="596">
        <f>0</f>
        <v>0</v>
      </c>
      <c r="I57" s="596">
        <f>0</f>
        <v>0</v>
      </c>
      <c r="J57" s="396">
        <f>VLOOKUP($B57,'[13]Div 9 forecast'!$D$518:$AF$599, 9,FALSE)</f>
        <v>0</v>
      </c>
      <c r="K57" s="396">
        <f>VLOOKUP($B57,'[13]Div 9 forecast'!$D$518:$AF$599,10,FALSE)</f>
        <v>0</v>
      </c>
      <c r="L57" s="396">
        <f>VLOOKUP($B57,'[13]Div 9 forecast'!$D$518:$AF$599, 11,FALSE)</f>
        <v>0</v>
      </c>
      <c r="M57" s="396">
        <f>VLOOKUP($B57,'[13]Div 9 forecast'!$D$518:$AF$599,12,FALSE)</f>
        <v>0</v>
      </c>
      <c r="N57" s="396">
        <f>VLOOKUP($B57,'[13]Div 9 forecast'!$D$518:$AF$599, 13,FALSE)</f>
        <v>0</v>
      </c>
      <c r="O57" s="396">
        <f>VLOOKUP($B57,'[13]Div 9 forecast'!$D$518:$AF$599, 14,FALSE)</f>
        <v>0</v>
      </c>
      <c r="P57" s="211">
        <f t="shared" si="3"/>
        <v>0</v>
      </c>
      <c r="Q57" s="148"/>
      <c r="R57" s="212"/>
      <c r="S57" s="148"/>
    </row>
    <row r="58" spans="1:22">
      <c r="A58" s="871">
        <f t="shared" si="0"/>
        <v>47</v>
      </c>
      <c r="B58" s="832">
        <v>8360</v>
      </c>
      <c r="C58" s="211" t="s">
        <v>915</v>
      </c>
      <c r="D58" s="596">
        <f>0</f>
        <v>0</v>
      </c>
      <c r="E58" s="596">
        <f>0</f>
        <v>0</v>
      </c>
      <c r="F58" s="596">
        <f>0</f>
        <v>0</v>
      </c>
      <c r="G58" s="596">
        <f>0</f>
        <v>0</v>
      </c>
      <c r="H58" s="596">
        <f>0</f>
        <v>0</v>
      </c>
      <c r="I58" s="596">
        <f>0</f>
        <v>0</v>
      </c>
      <c r="J58" s="396">
        <f>VLOOKUP($B58,'[13]Div 9 forecast'!$D$518:$AF$599, 9,FALSE)</f>
        <v>0</v>
      </c>
      <c r="K58" s="396">
        <f>VLOOKUP($B58,'[13]Div 9 forecast'!$D$518:$AF$599,10,FALSE)</f>
        <v>0</v>
      </c>
      <c r="L58" s="396">
        <f>VLOOKUP($B58,'[13]Div 9 forecast'!$D$518:$AF$599, 11,FALSE)</f>
        <v>0</v>
      </c>
      <c r="M58" s="396">
        <f>VLOOKUP($B58,'[13]Div 9 forecast'!$D$518:$AF$599,12,FALSE)</f>
        <v>0</v>
      </c>
      <c r="N58" s="396">
        <f>VLOOKUP($B58,'[13]Div 9 forecast'!$D$518:$AF$599, 13,FALSE)</f>
        <v>0</v>
      </c>
      <c r="O58" s="396">
        <f>VLOOKUP($B58,'[13]Div 9 forecast'!$D$518:$AF$599, 14,FALSE)</f>
        <v>0</v>
      </c>
      <c r="P58" s="211">
        <f t="shared" si="3"/>
        <v>0</v>
      </c>
      <c r="Q58" s="148"/>
      <c r="R58" s="212"/>
      <c r="S58" s="148"/>
    </row>
    <row r="59" spans="1:22" s="792" customFormat="1">
      <c r="A59" s="871">
        <f t="shared" si="0"/>
        <v>48</v>
      </c>
      <c r="B59" s="706">
        <v>8370</v>
      </c>
      <c r="C59" s="81" t="s">
        <v>1360</v>
      </c>
      <c r="D59" s="596">
        <f>0</f>
        <v>0</v>
      </c>
      <c r="E59" s="596">
        <f>0</f>
        <v>0</v>
      </c>
      <c r="F59" s="596">
        <f>0</f>
        <v>0</v>
      </c>
      <c r="G59" s="596">
        <f>0</f>
        <v>0</v>
      </c>
      <c r="H59" s="596">
        <f>0</f>
        <v>0</v>
      </c>
      <c r="I59" s="596">
        <f>0</f>
        <v>0</v>
      </c>
      <c r="J59" s="396">
        <f>VLOOKUP($B59,'[13]Div 9 forecast'!$D$518:$AF$599, 9,FALSE)</f>
        <v>0</v>
      </c>
      <c r="K59" s="396">
        <f>VLOOKUP($B59,'[13]Div 9 forecast'!$D$518:$AF$599,10,FALSE)</f>
        <v>0</v>
      </c>
      <c r="L59" s="396">
        <f>VLOOKUP($B59,'[13]Div 9 forecast'!$D$518:$AF$599, 11,FALSE)</f>
        <v>0</v>
      </c>
      <c r="M59" s="396">
        <f>VLOOKUP($B59,'[13]Div 9 forecast'!$D$518:$AF$599,12,FALSE)</f>
        <v>0</v>
      </c>
      <c r="N59" s="396">
        <f>VLOOKUP($B59,'[13]Div 9 forecast'!$D$518:$AF$599, 13,FALSE)</f>
        <v>0</v>
      </c>
      <c r="O59" s="396">
        <f>VLOOKUP($B59,'[13]Div 9 forecast'!$D$518:$AF$599, 14,FALSE)</f>
        <v>0</v>
      </c>
      <c r="P59" s="211">
        <f t="shared" si="3"/>
        <v>0</v>
      </c>
      <c r="Q59" s="148"/>
      <c r="R59" s="212"/>
      <c r="S59" s="148"/>
    </row>
    <row r="60" spans="1:22">
      <c r="A60" s="871">
        <f t="shared" si="0"/>
        <v>49</v>
      </c>
      <c r="B60" s="832">
        <v>8410</v>
      </c>
      <c r="C60" s="211" t="s">
        <v>189</v>
      </c>
      <c r="D60" s="596">
        <f>'[11]Div 009'!C160</f>
        <v>17878.14</v>
      </c>
      <c r="E60" s="596">
        <f>'[11]Div 009'!D160</f>
        <v>2111.9299999999994</v>
      </c>
      <c r="F60" s="596">
        <f>'[11]Div 009'!E160</f>
        <v>9048.65</v>
      </c>
      <c r="G60" s="596">
        <f>'[11]Div 009'!F160</f>
        <v>11668.31</v>
      </c>
      <c r="H60" s="596">
        <f>'[11]Div 009'!G160</f>
        <v>15076.6</v>
      </c>
      <c r="I60" s="596">
        <f>'[11]Div 009'!H160</f>
        <v>13540.470000000003</v>
      </c>
      <c r="J60" s="396">
        <f>VLOOKUP($B60,'[13]Div 9 forecast'!$D$518:$AF$599, 9,FALSE)</f>
        <v>10403.282875946818</v>
      </c>
      <c r="K60" s="396">
        <f>VLOOKUP($B60,'[13]Div 9 forecast'!$D$518:$AF$599,10,FALSE)</f>
        <v>11260.389005650039</v>
      </c>
      <c r="L60" s="396">
        <f>VLOOKUP($B60,'[13]Div 9 forecast'!$D$518:$AF$599, 11,FALSE)</f>
        <v>10370.123186662684</v>
      </c>
      <c r="M60" s="396">
        <f>VLOOKUP($B60,'[13]Div 9 forecast'!$D$518:$AF$599,12,FALSE)</f>
        <v>10846.749111590068</v>
      </c>
      <c r="N60" s="396">
        <f>VLOOKUP($B60,'[13]Div 9 forecast'!$D$518:$AF$599, 13,FALSE)</f>
        <v>10844.468475280901</v>
      </c>
      <c r="O60" s="396">
        <f>VLOOKUP($B60,'[13]Div 9 forecast'!$D$518:$AF$599, 14,FALSE)</f>
        <v>10423.831808760155</v>
      </c>
      <c r="P60" s="211">
        <f t="shared" si="3"/>
        <v>133472.94446389066</v>
      </c>
      <c r="Q60" s="148"/>
      <c r="R60" s="148"/>
      <c r="S60" s="148"/>
    </row>
    <row r="61" spans="1:22" s="793" customFormat="1">
      <c r="A61" s="871">
        <f t="shared" si="0"/>
        <v>50</v>
      </c>
      <c r="B61" s="706">
        <v>8520</v>
      </c>
      <c r="C61" s="81" t="s">
        <v>1361</v>
      </c>
      <c r="D61" s="596">
        <f>0</f>
        <v>0</v>
      </c>
      <c r="E61" s="596">
        <f>0</f>
        <v>0</v>
      </c>
      <c r="F61" s="596">
        <f>0</f>
        <v>0</v>
      </c>
      <c r="G61" s="596">
        <f>0</f>
        <v>0</v>
      </c>
      <c r="H61" s="596">
        <f>0</f>
        <v>0</v>
      </c>
      <c r="I61" s="596">
        <f>0</f>
        <v>0</v>
      </c>
      <c r="J61" s="396">
        <f>VLOOKUP($B61,'[13]Div 9 forecast'!$D$518:$AF$599, 9,FALSE)</f>
        <v>0</v>
      </c>
      <c r="K61" s="396">
        <f>VLOOKUP($B61,'[13]Div 9 forecast'!$D$518:$AF$599,10,FALSE)</f>
        <v>0</v>
      </c>
      <c r="L61" s="396">
        <f>VLOOKUP($B61,'[13]Div 9 forecast'!$D$518:$AF$599, 11,FALSE)</f>
        <v>0</v>
      </c>
      <c r="M61" s="396">
        <f>VLOOKUP($B61,'[13]Div 9 forecast'!$D$518:$AF$599,12,FALSE)</f>
        <v>0</v>
      </c>
      <c r="N61" s="396">
        <f>VLOOKUP($B61,'[13]Div 9 forecast'!$D$518:$AF$599, 13,FALSE)</f>
        <v>0</v>
      </c>
      <c r="O61" s="396">
        <f>VLOOKUP($B61,'[13]Div 9 forecast'!$D$518:$AF$599, 14,FALSE)</f>
        <v>0</v>
      </c>
      <c r="P61" s="211">
        <f t="shared" si="3"/>
        <v>0</v>
      </c>
      <c r="Q61" s="148"/>
      <c r="R61" s="148"/>
      <c r="S61" s="148"/>
      <c r="U61" s="690"/>
      <c r="V61" s="80"/>
    </row>
    <row r="62" spans="1:22" s="795" customFormat="1">
      <c r="A62" s="871">
        <f t="shared" si="0"/>
        <v>51</v>
      </c>
      <c r="B62" s="706">
        <v>8550</v>
      </c>
      <c r="C62" s="81" t="s">
        <v>1416</v>
      </c>
      <c r="D62" s="596">
        <f>'[11]Div 009'!C161</f>
        <v>31.3</v>
      </c>
      <c r="E62" s="596">
        <f>'[11]Div 009'!D161</f>
        <v>30.74</v>
      </c>
      <c r="F62" s="596">
        <f>'[11]Div 009'!E161</f>
        <v>30.4</v>
      </c>
      <c r="G62" s="596">
        <f>'[11]Div 009'!F161</f>
        <v>29.65</v>
      </c>
      <c r="H62" s="596">
        <f>'[11]Div 009'!G161</f>
        <v>29.54</v>
      </c>
      <c r="I62" s="596">
        <f>'[11]Div 009'!H161</f>
        <v>28.29</v>
      </c>
      <c r="J62" s="396">
        <f>VLOOKUP($B62,'[13]Div 9 forecast'!$D$518:$AF$599, 9,FALSE)</f>
        <v>26.580489418766184</v>
      </c>
      <c r="K62" s="396">
        <f>VLOOKUP($B62,'[13]Div 9 forecast'!$D$518:$AF$599,10,FALSE)</f>
        <v>26.673298963225697</v>
      </c>
      <c r="L62" s="396">
        <f>VLOOKUP($B62,'[13]Div 9 forecast'!$D$518:$AF$599, 11,FALSE)</f>
        <v>25.314935075045124</v>
      </c>
      <c r="M62" s="396">
        <f>VLOOKUP($B62,'[13]Div 9 forecast'!$D$518:$AF$599,12,FALSE)</f>
        <v>23.983004929679819</v>
      </c>
      <c r="N62" s="396">
        <f>VLOOKUP($B62,'[13]Div 9 forecast'!$D$518:$AF$599, 13,FALSE)</f>
        <v>26.462655252013988</v>
      </c>
      <c r="O62" s="396">
        <f>VLOOKUP($B62,'[13]Div 9 forecast'!$D$518:$AF$599, 14,FALSE)</f>
        <v>23.101880169170904</v>
      </c>
      <c r="P62" s="211">
        <f t="shared" si="3"/>
        <v>332.03626380790166</v>
      </c>
      <c r="Q62" s="148"/>
      <c r="R62" s="148"/>
      <c r="S62" s="148"/>
      <c r="U62" s="690"/>
      <c r="V62" s="80"/>
    </row>
    <row r="63" spans="1:22">
      <c r="A63" s="871">
        <f t="shared" si="0"/>
        <v>52</v>
      </c>
      <c r="B63" s="832">
        <v>8560</v>
      </c>
      <c r="C63" s="211" t="s">
        <v>917</v>
      </c>
      <c r="D63" s="596">
        <f>'[11]Div 009'!C162</f>
        <v>9552.4699999999993</v>
      </c>
      <c r="E63" s="596">
        <f>'[11]Div 009'!D162</f>
        <v>31996.649999999998</v>
      </c>
      <c r="F63" s="596">
        <f>'[11]Div 009'!E162</f>
        <v>28224.389999999992</v>
      </c>
      <c r="G63" s="596">
        <f>'[11]Div 009'!F162</f>
        <v>15085.860000000002</v>
      </c>
      <c r="H63" s="596">
        <f>'[11]Div 009'!G162</f>
        <v>22350.339999999997</v>
      </c>
      <c r="I63" s="596">
        <f>'[11]Div 009'!H162</f>
        <v>21291.460000000003</v>
      </c>
      <c r="J63" s="396">
        <f>VLOOKUP($B63,'[13]Div 9 forecast'!$D$518:$AF$599, 9,FALSE)</f>
        <v>21247.150268761423</v>
      </c>
      <c r="K63" s="396">
        <f>VLOOKUP($B63,'[13]Div 9 forecast'!$D$518:$AF$599,10,FALSE)</f>
        <v>22066.68254673035</v>
      </c>
      <c r="L63" s="396">
        <f>VLOOKUP($B63,'[13]Div 9 forecast'!$D$518:$AF$599, 11,FALSE)</f>
        <v>20182.413363912099</v>
      </c>
      <c r="M63" s="396">
        <f>VLOOKUP($B63,'[13]Div 9 forecast'!$D$518:$AF$599,12,FALSE)</f>
        <v>20148.169003777126</v>
      </c>
      <c r="N63" s="396">
        <f>VLOOKUP($B63,'[13]Div 9 forecast'!$D$518:$AF$599, 13,FALSE)</f>
        <v>20531.333496188487</v>
      </c>
      <c r="O63" s="396">
        <f>VLOOKUP($B63,'[13]Div 9 forecast'!$D$518:$AF$599, 14,FALSE)</f>
        <v>19962.592915658344</v>
      </c>
      <c r="P63" s="211">
        <f t="shared" si="3"/>
        <v>252639.51159502778</v>
      </c>
      <c r="Q63" s="148"/>
      <c r="R63" s="212"/>
      <c r="S63" s="148"/>
    </row>
    <row r="64" spans="1:22">
      <c r="A64" s="871">
        <f t="shared" si="0"/>
        <v>53</v>
      </c>
      <c r="B64" s="832">
        <v>8570</v>
      </c>
      <c r="C64" s="211" t="s">
        <v>918</v>
      </c>
      <c r="D64" s="596">
        <f>'[11]Div 009'!C163</f>
        <v>842.1</v>
      </c>
      <c r="E64" s="596">
        <f>'[11]Div 009'!D163</f>
        <v>707.12000000000012</v>
      </c>
      <c r="F64" s="596">
        <f>'[11]Div 009'!E163</f>
        <v>867.69999999999993</v>
      </c>
      <c r="G64" s="596">
        <f>'[11]Div 009'!F163</f>
        <v>931.88</v>
      </c>
      <c r="H64" s="596">
        <f>'[11]Div 009'!G163</f>
        <v>1815.2399999999998</v>
      </c>
      <c r="I64" s="596">
        <f>'[11]Div 009'!H163</f>
        <v>915.41</v>
      </c>
      <c r="J64" s="396">
        <f>VLOOKUP($B64,'[13]Div 9 forecast'!$D$518:$AF$599, 9,FALSE)</f>
        <v>998.19260327522102</v>
      </c>
      <c r="K64" s="396">
        <f>VLOOKUP($B64,'[13]Div 9 forecast'!$D$518:$AF$599,10,FALSE)</f>
        <v>1002.1792306301695</v>
      </c>
      <c r="L64" s="396">
        <f>VLOOKUP($B64,'[13]Div 9 forecast'!$D$518:$AF$599, 11,FALSE)</f>
        <v>910.86134278845486</v>
      </c>
      <c r="M64" s="396">
        <f>VLOOKUP($B64,'[13]Div 9 forecast'!$D$518:$AF$599,12,FALSE)</f>
        <v>847.44734725161572</v>
      </c>
      <c r="N64" s="396">
        <f>VLOOKUP($B64,'[13]Div 9 forecast'!$D$518:$AF$599, 13,FALSE)</f>
        <v>912.51574919325446</v>
      </c>
      <c r="O64" s="396">
        <f>VLOOKUP($B64,'[13]Div 9 forecast'!$D$518:$AF$599, 14,FALSE)</f>
        <v>867.22331951837737</v>
      </c>
      <c r="P64" s="211">
        <f t="shared" si="3"/>
        <v>11617.869592657094</v>
      </c>
      <c r="Q64" s="148"/>
      <c r="R64" s="148"/>
      <c r="S64" s="148"/>
    </row>
    <row r="65" spans="1:19">
      <c r="A65" s="871">
        <f>A64+1</f>
        <v>54</v>
      </c>
      <c r="B65" s="832">
        <v>8630</v>
      </c>
      <c r="C65" s="211" t="s">
        <v>919</v>
      </c>
      <c r="D65" s="596">
        <f>'[11]Div 009'!C165</f>
        <v>-676.01</v>
      </c>
      <c r="E65" s="596">
        <f>'[11]Div 009'!D165</f>
        <v>0</v>
      </c>
      <c r="F65" s="596">
        <f>'[11]Div 009'!E165</f>
        <v>0</v>
      </c>
      <c r="G65" s="596">
        <f>'[11]Div 009'!F165</f>
        <v>2122.2600000000002</v>
      </c>
      <c r="H65" s="596">
        <f>'[11]Div 009'!G165</f>
        <v>-144.44999999999999</v>
      </c>
      <c r="I65" s="596">
        <f>'[11]Div 009'!H165</f>
        <v>338.01</v>
      </c>
      <c r="J65" s="396">
        <f>VLOOKUP($B65,'[13]Div 9 forecast'!$D$518:$AF$599, 9,FALSE)</f>
        <v>207.42909892612136</v>
      </c>
      <c r="K65" s="396">
        <f>VLOOKUP($B65,'[13]Div 9 forecast'!$D$518:$AF$599,10,FALSE)</f>
        <v>207.29278130389798</v>
      </c>
      <c r="L65" s="396">
        <f>VLOOKUP($B65,'[13]Div 9 forecast'!$D$518:$AF$599, 11,FALSE)</f>
        <v>211.04469944402467</v>
      </c>
      <c r="M65" s="396">
        <f>VLOOKUP($B65,'[13]Div 9 forecast'!$D$518:$AF$599,12,FALSE)</f>
        <v>228.54145244337008</v>
      </c>
      <c r="N65" s="396">
        <f>VLOOKUP($B65,'[13]Div 9 forecast'!$D$518:$AF$599, 13,FALSE)</f>
        <v>239.88550475037277</v>
      </c>
      <c r="O65" s="396">
        <f>VLOOKUP($B65,'[13]Div 9 forecast'!$D$518:$AF$599, 14,FALSE)</f>
        <v>166.08277860624648</v>
      </c>
      <c r="P65" s="211">
        <f t="shared" ref="P65:P66" si="6">SUM(D65:O65)</f>
        <v>2900.0863154740337</v>
      </c>
      <c r="Q65" s="148"/>
      <c r="R65" s="212"/>
      <c r="S65" s="148"/>
    </row>
    <row r="66" spans="1:19" s="794" customFormat="1">
      <c r="A66" s="871">
        <f t="shared" si="0"/>
        <v>55</v>
      </c>
      <c r="B66" s="706">
        <v>8640</v>
      </c>
      <c r="C66" s="81" t="s">
        <v>1362</v>
      </c>
      <c r="D66" s="596">
        <f>0</f>
        <v>0</v>
      </c>
      <c r="E66" s="596">
        <f>0</f>
        <v>0</v>
      </c>
      <c r="F66" s="596">
        <f>0</f>
        <v>0</v>
      </c>
      <c r="G66" s="596">
        <f>0</f>
        <v>0</v>
      </c>
      <c r="H66" s="596">
        <f>0</f>
        <v>0</v>
      </c>
      <c r="I66" s="596">
        <f>0</f>
        <v>0</v>
      </c>
      <c r="J66" s="396">
        <f>VLOOKUP($B66,'[13]Div 9 forecast'!$D$518:$AF$599, 9,FALSE)</f>
        <v>0</v>
      </c>
      <c r="K66" s="396">
        <f>VLOOKUP($B66,'[13]Div 9 forecast'!$D$518:$AF$599,10,FALSE)</f>
        <v>0</v>
      </c>
      <c r="L66" s="396">
        <f>VLOOKUP($B66,'[13]Div 9 forecast'!$D$518:$AF$599, 11,FALSE)</f>
        <v>0</v>
      </c>
      <c r="M66" s="396">
        <f>VLOOKUP($B66,'[13]Div 9 forecast'!$D$518:$AF$599,12,FALSE)</f>
        <v>0</v>
      </c>
      <c r="N66" s="396">
        <f>VLOOKUP($B66,'[13]Div 9 forecast'!$D$518:$AF$599, 13,FALSE)</f>
        <v>0</v>
      </c>
      <c r="O66" s="396">
        <f>VLOOKUP($B66,'[13]Div 9 forecast'!$D$518:$AF$599, 14,FALSE)</f>
        <v>0</v>
      </c>
      <c r="P66" s="211">
        <f t="shared" si="6"/>
        <v>0</v>
      </c>
      <c r="Q66" s="148"/>
      <c r="R66" s="212"/>
      <c r="S66" s="148"/>
    </row>
    <row r="67" spans="1:19">
      <c r="A67" s="871">
        <f t="shared" si="0"/>
        <v>56</v>
      </c>
      <c r="B67" s="832">
        <v>8650</v>
      </c>
      <c r="C67" s="211" t="s">
        <v>920</v>
      </c>
      <c r="D67" s="596">
        <f>'[11]Div 009'!C166</f>
        <v>0</v>
      </c>
      <c r="E67" s="596">
        <f>'[11]Div 009'!D166</f>
        <v>0</v>
      </c>
      <c r="F67" s="596">
        <f>'[11]Div 009'!E166</f>
        <v>0</v>
      </c>
      <c r="G67" s="596">
        <f>'[11]Div 009'!F166</f>
        <v>186.24</v>
      </c>
      <c r="H67" s="596">
        <f>'[11]Div 009'!G166</f>
        <v>11.17</v>
      </c>
      <c r="I67" s="596">
        <f>'[11]Div 009'!H166</f>
        <v>0</v>
      </c>
      <c r="J67" s="396">
        <f>VLOOKUP($B67,'[13]Div 9 forecast'!$D$518:$AF$599, 9,FALSE)</f>
        <v>43.519026936793232</v>
      </c>
      <c r="K67" s="396">
        <f>VLOOKUP($B67,'[13]Div 9 forecast'!$D$518:$AF$599,10,FALSE)</f>
        <v>40.105718120576341</v>
      </c>
      <c r="L67" s="396">
        <f>VLOOKUP($B67,'[13]Div 9 forecast'!$D$518:$AF$599, 11,FALSE)</f>
        <v>32.453914808819547</v>
      </c>
      <c r="M67" s="396">
        <f>VLOOKUP($B67,'[13]Div 9 forecast'!$D$518:$AF$599,12,FALSE)</f>
        <v>23.511288983437701</v>
      </c>
      <c r="N67" s="396">
        <f>VLOOKUP($B67,'[13]Div 9 forecast'!$D$518:$AF$599, 13,FALSE)</f>
        <v>26.917684880612466</v>
      </c>
      <c r="O67" s="396">
        <f>VLOOKUP($B67,'[13]Div 9 forecast'!$D$518:$AF$599, 14,FALSE)</f>
        <v>31.720231740225405</v>
      </c>
      <c r="P67" s="211">
        <f t="shared" ref="P67:P106" si="7">SUM(D67:O67)</f>
        <v>395.6378654704647</v>
      </c>
      <c r="Q67" s="148"/>
      <c r="R67" s="148"/>
      <c r="S67" s="148"/>
    </row>
    <row r="68" spans="1:19">
      <c r="A68" s="871">
        <f t="shared" si="0"/>
        <v>57</v>
      </c>
      <c r="B68" s="832">
        <v>8700</v>
      </c>
      <c r="C68" s="211" t="s">
        <v>921</v>
      </c>
      <c r="D68" s="596">
        <f>'[11]Div 009'!C167</f>
        <v>121488.34000000003</v>
      </c>
      <c r="E68" s="596">
        <f>'[11]Div 009'!D167</f>
        <v>66761.950000000186</v>
      </c>
      <c r="F68" s="596">
        <f>'[11]Div 009'!E167</f>
        <v>96506.540000000139</v>
      </c>
      <c r="G68" s="596">
        <f>'[11]Div 009'!F167</f>
        <v>95123.020000000135</v>
      </c>
      <c r="H68" s="596">
        <f>'[11]Div 009'!G167</f>
        <v>107405.7199999999</v>
      </c>
      <c r="I68" s="596">
        <f>'[11]Div 009'!H167</f>
        <v>97613.249999999825</v>
      </c>
      <c r="J68" s="396">
        <f>VLOOKUP($B68,'[13]Div 9 forecast'!$D$518:$AF$599, 9,FALSE)</f>
        <v>104735.19801871628</v>
      </c>
      <c r="K68" s="396">
        <f>VLOOKUP($B68,'[13]Div 9 forecast'!$D$518:$AF$599,10,FALSE)</f>
        <v>107296.46560177414</v>
      </c>
      <c r="L68" s="396">
        <f>VLOOKUP($B68,'[13]Div 9 forecast'!$D$518:$AF$599, 11,FALSE)</f>
        <v>107652.1522767323</v>
      </c>
      <c r="M68" s="396">
        <f>VLOOKUP($B68,'[13]Div 9 forecast'!$D$518:$AF$599,12,FALSE)</f>
        <v>95061.739576489505</v>
      </c>
      <c r="N68" s="396">
        <f>VLOOKUP($B68,'[13]Div 9 forecast'!$D$518:$AF$599, 13,FALSE)</f>
        <v>98127.209004246615</v>
      </c>
      <c r="O68" s="396">
        <f>VLOOKUP($B68,'[13]Div 9 forecast'!$D$518:$AF$599, 14,FALSE)</f>
        <v>95293.191333889205</v>
      </c>
      <c r="P68" s="211">
        <f t="shared" si="7"/>
        <v>1193064.7758118485</v>
      </c>
      <c r="Q68" s="148"/>
      <c r="R68" s="212"/>
      <c r="S68" s="148"/>
    </row>
    <row r="69" spans="1:19">
      <c r="A69" s="871">
        <f t="shared" si="0"/>
        <v>58</v>
      </c>
      <c r="B69" s="832">
        <v>8710</v>
      </c>
      <c r="C69" s="211" t="s">
        <v>922</v>
      </c>
      <c r="D69" s="596">
        <f>'[11]Div 009'!C168</f>
        <v>50.39</v>
      </c>
      <c r="E69" s="596">
        <f>'[11]Div 009'!D168</f>
        <v>48.27</v>
      </c>
      <c r="F69" s="596">
        <f>'[11]Div 009'!E168</f>
        <v>58.99</v>
      </c>
      <c r="G69" s="596">
        <f>'[11]Div 009'!F168</f>
        <v>27.05</v>
      </c>
      <c r="H69" s="596">
        <f>'[11]Div 009'!G168</f>
        <v>61.11</v>
      </c>
      <c r="I69" s="596">
        <f>'[11]Div 009'!H168</f>
        <v>351.99</v>
      </c>
      <c r="J69" s="396">
        <f>VLOOKUP($B69,'[13]Div 9 forecast'!$D$518:$AF$599, 9,FALSE)</f>
        <v>88.316010307572398</v>
      </c>
      <c r="K69" s="396">
        <f>VLOOKUP($B69,'[13]Div 9 forecast'!$D$518:$AF$599,10,FALSE)</f>
        <v>88.624378169277023</v>
      </c>
      <c r="L69" s="396">
        <f>VLOOKUP($B69,'[13]Div 9 forecast'!$D$518:$AF$599, 11,FALSE)</f>
        <v>84.111094863617041</v>
      </c>
      <c r="M69" s="396">
        <f>VLOOKUP($B69,'[13]Div 9 forecast'!$D$518:$AF$599,12,FALSE)</f>
        <v>79.685639989787674</v>
      </c>
      <c r="N69" s="396">
        <f>VLOOKUP($B69,'[13]Div 9 forecast'!$D$518:$AF$599, 13,FALSE)</f>
        <v>87.92449594071789</v>
      </c>
      <c r="O69" s="396">
        <f>VLOOKUP($B69,'[13]Div 9 forecast'!$D$518:$AF$599, 14,FALSE)</f>
        <v>76.758025595433352</v>
      </c>
      <c r="P69" s="211">
        <f t="shared" si="7"/>
        <v>1103.2196448664054</v>
      </c>
      <c r="Q69" s="148"/>
      <c r="R69" s="212"/>
      <c r="S69" s="148"/>
    </row>
    <row r="70" spans="1:19">
      <c r="A70" s="871">
        <f t="shared" si="0"/>
        <v>59</v>
      </c>
      <c r="B70" s="832">
        <v>8711</v>
      </c>
      <c r="C70" s="103" t="s">
        <v>190</v>
      </c>
      <c r="D70" s="596">
        <f>'[11]Div 009'!C169</f>
        <v>58.55</v>
      </c>
      <c r="E70" s="596">
        <f>'[11]Div 009'!D169</f>
        <v>0</v>
      </c>
      <c r="F70" s="596">
        <f>'[11]Div 009'!E169</f>
        <v>0</v>
      </c>
      <c r="G70" s="596">
        <f>'[11]Div 009'!F169</f>
        <v>1204.3900000000001</v>
      </c>
      <c r="H70" s="596">
        <f>'[11]Div 009'!G169</f>
        <v>0</v>
      </c>
      <c r="I70" s="596">
        <f>'[11]Div 009'!H169</f>
        <v>0</v>
      </c>
      <c r="J70" s="396">
        <f>VLOOKUP($B70,'[13]Div 9 forecast'!$D$518:$AF$599, 9,FALSE)</f>
        <v>276.36034238577923</v>
      </c>
      <c r="K70" s="396">
        <f>VLOOKUP($B70,'[13]Div 9 forecast'!$D$518:$AF$599,10,FALSE)</f>
        <v>255.6665938338756</v>
      </c>
      <c r="L70" s="396">
        <f>VLOOKUP($B70,'[13]Div 9 forecast'!$D$518:$AF$599, 11,FALSE)</f>
        <v>210.36434959407541</v>
      </c>
      <c r="M70" s="396">
        <f>VLOOKUP($B70,'[13]Div 9 forecast'!$D$518:$AF$599,12,FALSE)</f>
        <v>156.44108561843723</v>
      </c>
      <c r="N70" s="396">
        <f>VLOOKUP($B70,'[13]Div 9 forecast'!$D$518:$AF$599, 13,FALSE)</f>
        <v>176.80583371340151</v>
      </c>
      <c r="O70" s="396">
        <f>VLOOKUP($B70,'[13]Div 9 forecast'!$D$518:$AF$599, 14,FALSE)</f>
        <v>206.1541359559603</v>
      </c>
      <c r="P70" s="211">
        <f t="shared" ref="P70:P71" si="8">SUM(D70:O70)</f>
        <v>2544.7323411015291</v>
      </c>
      <c r="Q70" s="148"/>
      <c r="R70" s="212"/>
      <c r="S70" s="148"/>
    </row>
    <row r="71" spans="1:19" s="795" customFormat="1">
      <c r="A71" s="871">
        <f t="shared" si="0"/>
        <v>60</v>
      </c>
      <c r="B71" s="706">
        <v>8720</v>
      </c>
      <c r="C71" s="103" t="s">
        <v>1363</v>
      </c>
      <c r="D71" s="596">
        <f>0</f>
        <v>0</v>
      </c>
      <c r="E71" s="596">
        <f>0</f>
        <v>0</v>
      </c>
      <c r="F71" s="596">
        <f>0</f>
        <v>0</v>
      </c>
      <c r="G71" s="596">
        <f>0</f>
        <v>0</v>
      </c>
      <c r="H71" s="596">
        <f>0</f>
        <v>0</v>
      </c>
      <c r="I71" s="596">
        <f>0</f>
        <v>0</v>
      </c>
      <c r="J71" s="396">
        <f>VLOOKUP($B71,'[13]Div 9 forecast'!$D$518:$AF$599, 9,FALSE)</f>
        <v>0</v>
      </c>
      <c r="K71" s="396">
        <f>VLOOKUP($B71,'[13]Div 9 forecast'!$D$518:$AF$599,10,FALSE)</f>
        <v>0</v>
      </c>
      <c r="L71" s="396">
        <f>VLOOKUP($B71,'[13]Div 9 forecast'!$D$518:$AF$599, 11,FALSE)</f>
        <v>0</v>
      </c>
      <c r="M71" s="396">
        <f>VLOOKUP($B71,'[13]Div 9 forecast'!$D$518:$AF$599,12,FALSE)</f>
        <v>0</v>
      </c>
      <c r="N71" s="396">
        <f>VLOOKUP($B71,'[13]Div 9 forecast'!$D$518:$AF$599, 13,FALSE)</f>
        <v>0</v>
      </c>
      <c r="O71" s="396">
        <f>VLOOKUP($B71,'[13]Div 9 forecast'!$D$518:$AF$599, 14,FALSE)</f>
        <v>0</v>
      </c>
      <c r="P71" s="211">
        <f t="shared" si="8"/>
        <v>0</v>
      </c>
      <c r="Q71" s="148"/>
      <c r="R71" s="212"/>
      <c r="S71" s="148"/>
    </row>
    <row r="72" spans="1:19">
      <c r="A72" s="871">
        <f t="shared" si="0"/>
        <v>61</v>
      </c>
      <c r="B72" s="832">
        <v>8740</v>
      </c>
      <c r="C72" s="211" t="s">
        <v>923</v>
      </c>
      <c r="D72" s="596">
        <f>'[11]Div 009'!C170</f>
        <v>226559.30000000008</v>
      </c>
      <c r="E72" s="596">
        <f>'[11]Div 009'!D170</f>
        <v>356356.31999999995</v>
      </c>
      <c r="F72" s="596">
        <f>'[11]Div 009'!E170</f>
        <v>331226.78999999986</v>
      </c>
      <c r="G72" s="596">
        <f>'[11]Div 009'!F170</f>
        <v>248100.91999999972</v>
      </c>
      <c r="H72" s="596">
        <f>'[11]Div 009'!G170</f>
        <v>307975.7300000001</v>
      </c>
      <c r="I72" s="596">
        <f>'[11]Div 009'!H170</f>
        <v>220157.03999999998</v>
      </c>
      <c r="J72" s="396">
        <f>VLOOKUP($B72,'[13]Div 9 forecast'!$D$518:$AF$599, 9,FALSE)</f>
        <v>279762.74116838002</v>
      </c>
      <c r="K72" s="396">
        <f>VLOOKUP($B72,'[13]Div 9 forecast'!$D$518:$AF$599,10,FALSE)</f>
        <v>281764.12184214161</v>
      </c>
      <c r="L72" s="396">
        <f>VLOOKUP($B72,'[13]Div 9 forecast'!$D$518:$AF$599, 11,FALSE)</f>
        <v>266054.96652069502</v>
      </c>
      <c r="M72" s="396">
        <f>VLOOKUP($B72,'[13]Div 9 forecast'!$D$518:$AF$599,12,FALSE)</f>
        <v>262780.30932467576</v>
      </c>
      <c r="N72" s="396">
        <f>VLOOKUP($B72,'[13]Div 9 forecast'!$D$518:$AF$599, 13,FALSE)</f>
        <v>266350.10271621699</v>
      </c>
      <c r="O72" s="396">
        <f>VLOOKUP($B72,'[13]Div 9 forecast'!$D$518:$AF$599, 14,FALSE)</f>
        <v>252970.41187216531</v>
      </c>
      <c r="P72" s="211">
        <f t="shared" si="7"/>
        <v>3300058.753444274</v>
      </c>
      <c r="Q72" s="148"/>
      <c r="R72" s="212"/>
      <c r="S72" s="148"/>
    </row>
    <row r="73" spans="1:19">
      <c r="A73" s="871">
        <f t="shared" si="0"/>
        <v>62</v>
      </c>
      <c r="B73" s="832">
        <v>8750</v>
      </c>
      <c r="C73" s="211" t="s">
        <v>924</v>
      </c>
      <c r="D73" s="596">
        <f>'[11]Div 009'!C171</f>
        <v>61861.51</v>
      </c>
      <c r="E73" s="596">
        <f>'[11]Div 009'!D171</f>
        <v>19205.089999999997</v>
      </c>
      <c r="F73" s="596">
        <f>'[11]Div 009'!E171</f>
        <v>28782.089999999993</v>
      </c>
      <c r="G73" s="596">
        <f>'[11]Div 009'!F171</f>
        <v>39929.380000000005</v>
      </c>
      <c r="H73" s="596">
        <f>'[11]Div 009'!G171</f>
        <v>50494.560000000005</v>
      </c>
      <c r="I73" s="596">
        <f>'[11]Div 009'!H171</f>
        <v>41510.879999999997</v>
      </c>
      <c r="J73" s="396">
        <f>VLOOKUP($B73,'[13]Div 9 forecast'!$D$518:$AF$599, 9,FALSE)</f>
        <v>39810.193376284944</v>
      </c>
      <c r="K73" s="396">
        <f>VLOOKUP($B73,'[13]Div 9 forecast'!$D$518:$AF$599,10,FALSE)</f>
        <v>42027.515002192951</v>
      </c>
      <c r="L73" s="396">
        <f>VLOOKUP($B73,'[13]Div 9 forecast'!$D$518:$AF$599, 11,FALSE)</f>
        <v>38315.264453817057</v>
      </c>
      <c r="M73" s="396">
        <f>VLOOKUP($B73,'[13]Div 9 forecast'!$D$518:$AF$599,12,FALSE)</f>
        <v>38733.070435436384</v>
      </c>
      <c r="N73" s="396">
        <f>VLOOKUP($B73,'[13]Div 9 forecast'!$D$518:$AF$599, 13,FALSE)</f>
        <v>39245.287831893154</v>
      </c>
      <c r="O73" s="396">
        <f>VLOOKUP($B73,'[13]Div 9 forecast'!$D$518:$AF$599, 14,FALSE)</f>
        <v>38140.22107850157</v>
      </c>
      <c r="P73" s="211">
        <f t="shared" si="7"/>
        <v>478055.06217812601</v>
      </c>
      <c r="Q73" s="148"/>
      <c r="R73" s="212"/>
      <c r="S73" s="148"/>
    </row>
    <row r="74" spans="1:19">
      <c r="A74" s="871">
        <f t="shared" si="0"/>
        <v>63</v>
      </c>
      <c r="B74" s="832">
        <v>8760</v>
      </c>
      <c r="C74" s="211" t="s">
        <v>925</v>
      </c>
      <c r="D74" s="596">
        <f>'[11]Div 009'!C172</f>
        <v>2603.9899999999998</v>
      </c>
      <c r="E74" s="596">
        <f>'[11]Div 009'!D172</f>
        <v>3727.6899999999996</v>
      </c>
      <c r="F74" s="596">
        <f>'[11]Div 009'!E172</f>
        <v>2853.23</v>
      </c>
      <c r="G74" s="596">
        <f>'[11]Div 009'!F172</f>
        <v>3280.3199999999997</v>
      </c>
      <c r="H74" s="596">
        <f>'[11]Div 009'!G172</f>
        <v>2718.58</v>
      </c>
      <c r="I74" s="596">
        <f>'[11]Div 009'!H172</f>
        <v>-32.42999999999995</v>
      </c>
      <c r="J74" s="396">
        <f>VLOOKUP($B74,'[13]Div 9 forecast'!$D$518:$AF$599, 9,FALSE)</f>
        <v>2780.7421664390017</v>
      </c>
      <c r="K74" s="396">
        <f>VLOOKUP($B74,'[13]Div 9 forecast'!$D$518:$AF$599,10,FALSE)</f>
        <v>2795.0846524446424</v>
      </c>
      <c r="L74" s="396">
        <f>VLOOKUP($B74,'[13]Div 9 forecast'!$D$518:$AF$599, 11,FALSE)</f>
        <v>2438.2127046999103</v>
      </c>
      <c r="M74" s="396">
        <f>VLOOKUP($B74,'[13]Div 9 forecast'!$D$518:$AF$599,12,FALSE)</f>
        <v>2231.9904090595969</v>
      </c>
      <c r="N74" s="396">
        <f>VLOOKUP($B74,'[13]Div 9 forecast'!$D$518:$AF$599, 13,FALSE)</f>
        <v>2334.2091868756506</v>
      </c>
      <c r="O74" s="396">
        <f>VLOOKUP($B74,'[13]Div 9 forecast'!$D$518:$AF$599, 14,FALSE)</f>
        <v>2422.2999497006622</v>
      </c>
      <c r="P74" s="211">
        <f t="shared" si="7"/>
        <v>30153.919069219461</v>
      </c>
      <c r="Q74" s="148"/>
      <c r="R74" s="212"/>
      <c r="S74" s="148"/>
    </row>
    <row r="75" spans="1:19">
      <c r="A75" s="871">
        <f t="shared" si="0"/>
        <v>64</v>
      </c>
      <c r="B75" s="832">
        <v>8770</v>
      </c>
      <c r="C75" s="211" t="s">
        <v>926</v>
      </c>
      <c r="D75" s="596">
        <f>'[11]Div 009'!C173</f>
        <v>487.4</v>
      </c>
      <c r="E75" s="596">
        <f>'[11]Div 009'!D173</f>
        <v>1110.8999999999999</v>
      </c>
      <c r="F75" s="596">
        <f>'[11]Div 009'!E173</f>
        <v>1390.9699999999998</v>
      </c>
      <c r="G75" s="596">
        <f>'[11]Div 009'!F173</f>
        <v>96.56</v>
      </c>
      <c r="H75" s="596">
        <f>'[11]Div 009'!G173</f>
        <v>511.49</v>
      </c>
      <c r="I75" s="596">
        <f>'[11]Div 009'!H173</f>
        <v>7618.79</v>
      </c>
      <c r="J75" s="396">
        <f>VLOOKUP($B75,'[13]Div 9 forecast'!$D$518:$AF$599, 9,FALSE)</f>
        <v>2287.2348816894828</v>
      </c>
      <c r="K75" s="396">
        <f>VLOOKUP($B75,'[13]Div 9 forecast'!$D$518:$AF$599,10,FALSE)</f>
        <v>2138.6928972598553</v>
      </c>
      <c r="L75" s="396">
        <f>VLOOKUP($B75,'[13]Div 9 forecast'!$D$518:$AF$599, 11,FALSE)</f>
        <v>1783.5052985593493</v>
      </c>
      <c r="M75" s="396">
        <f>VLOOKUP($B75,'[13]Div 9 forecast'!$D$518:$AF$599,12,FALSE)</f>
        <v>1372.0203210213158</v>
      </c>
      <c r="N75" s="396">
        <f>VLOOKUP($B75,'[13]Div 9 forecast'!$D$518:$AF$599, 13,FALSE)</f>
        <v>1556.7050343499886</v>
      </c>
      <c r="O75" s="396">
        <f>VLOOKUP($B75,'[13]Div 9 forecast'!$D$518:$AF$599, 14,FALSE)</f>
        <v>1719.9396598412845</v>
      </c>
      <c r="P75" s="211">
        <f t="shared" si="7"/>
        <v>22074.208092721281</v>
      </c>
      <c r="Q75" s="148"/>
      <c r="R75" s="212"/>
      <c r="S75" s="148"/>
    </row>
    <row r="76" spans="1:19">
      <c r="A76" s="871">
        <f t="shared" si="0"/>
        <v>65</v>
      </c>
      <c r="B76" s="832">
        <v>8780</v>
      </c>
      <c r="C76" s="211" t="s">
        <v>927</v>
      </c>
      <c r="D76" s="596">
        <f>'[11]Div 009'!C174</f>
        <v>98617.510000000009</v>
      </c>
      <c r="E76" s="596">
        <f>'[11]Div 009'!D174</f>
        <v>50225.19999999999</v>
      </c>
      <c r="F76" s="596">
        <f>'[11]Div 009'!E174</f>
        <v>78582.409999999945</v>
      </c>
      <c r="G76" s="596">
        <f>'[11]Div 009'!F174</f>
        <v>75636.77</v>
      </c>
      <c r="H76" s="596">
        <f>'[11]Div 009'!G174</f>
        <v>88113.15</v>
      </c>
      <c r="I76" s="596">
        <f>'[11]Div 009'!H174</f>
        <v>80622.14</v>
      </c>
      <c r="J76" s="396">
        <f>VLOOKUP($B76,'[13]Div 9 forecast'!$D$518:$AF$599, 9,FALSE)</f>
        <v>75744.406098728577</v>
      </c>
      <c r="K76" s="396">
        <f>VLOOKUP($B76,'[13]Div 9 forecast'!$D$518:$AF$599,10,FALSE)</f>
        <v>81468.056934878812</v>
      </c>
      <c r="L76" s="396">
        <f>VLOOKUP($B76,'[13]Div 9 forecast'!$D$518:$AF$599, 11,FALSE)</f>
        <v>74854.243908264369</v>
      </c>
      <c r="M76" s="396">
        <f>VLOOKUP($B76,'[13]Div 9 forecast'!$D$518:$AF$599,12,FALSE)</f>
        <v>77590.817194578252</v>
      </c>
      <c r="N76" s="396">
        <f>VLOOKUP($B76,'[13]Div 9 forecast'!$D$518:$AF$599, 13,FALSE)</f>
        <v>77859.903296925695</v>
      </c>
      <c r="O76" s="396">
        <f>VLOOKUP($B76,'[13]Div 9 forecast'!$D$518:$AF$599, 14,FALSE)</f>
        <v>75101.526312815549</v>
      </c>
      <c r="P76" s="211">
        <f t="shared" si="7"/>
        <v>934416.13374619116</v>
      </c>
      <c r="Q76" s="148"/>
      <c r="R76" s="212"/>
      <c r="S76" s="148"/>
    </row>
    <row r="77" spans="1:19">
      <c r="A77" s="871">
        <f t="shared" si="0"/>
        <v>66</v>
      </c>
      <c r="B77" s="832">
        <v>8790</v>
      </c>
      <c r="C77" s="211" t="s">
        <v>928</v>
      </c>
      <c r="D77" s="596">
        <f>'[11]Div 009'!C175</f>
        <v>26.67</v>
      </c>
      <c r="E77" s="596">
        <f>'[11]Div 009'!D175</f>
        <v>1976.07</v>
      </c>
      <c r="F77" s="596">
        <f>'[11]Div 009'!E175</f>
        <v>0</v>
      </c>
      <c r="G77" s="596">
        <f>'[11]Div 009'!F175</f>
        <v>0</v>
      </c>
      <c r="H77" s="596">
        <f>'[11]Div 009'!G175</f>
        <v>0</v>
      </c>
      <c r="I77" s="596">
        <f>'[11]Div 009'!H175</f>
        <v>0</v>
      </c>
      <c r="J77" s="396">
        <f>VLOOKUP($B77,'[13]Div 9 forecast'!$D$518:$AF$599, 9,FALSE)</f>
        <v>441.50395627067161</v>
      </c>
      <c r="K77" s="396">
        <f>VLOOKUP($B77,'[13]Div 9 forecast'!$D$518:$AF$599,10,FALSE)</f>
        <v>406.8756694635685</v>
      </c>
      <c r="L77" s="396">
        <f>VLOOKUP($B77,'[13]Div 9 forecast'!$D$518:$AF$599, 11,FALSE)</f>
        <v>329.24752213269471</v>
      </c>
      <c r="M77" s="396">
        <f>VLOOKUP($B77,'[13]Div 9 forecast'!$D$518:$AF$599,12,FALSE)</f>
        <v>238.52387872291183</v>
      </c>
      <c r="N77" s="396">
        <f>VLOOKUP($B77,'[13]Div 9 forecast'!$D$518:$AF$599, 13,FALSE)</f>
        <v>273.08203342180138</v>
      </c>
      <c r="O77" s="396">
        <f>VLOOKUP($B77,'[13]Div 9 forecast'!$D$518:$AF$599, 14,FALSE)</f>
        <v>321.80424960953866</v>
      </c>
      <c r="P77" s="211">
        <f t="shared" si="7"/>
        <v>4013.7773096211868</v>
      </c>
      <c r="Q77" s="148"/>
      <c r="R77" s="212"/>
      <c r="S77" s="148"/>
    </row>
    <row r="78" spans="1:19">
      <c r="A78" s="871">
        <f t="shared" si="0"/>
        <v>67</v>
      </c>
      <c r="B78" s="832">
        <v>8800</v>
      </c>
      <c r="C78" s="211" t="s">
        <v>929</v>
      </c>
      <c r="D78" s="596">
        <f>'[11]Div 009'!C176</f>
        <v>4559.17</v>
      </c>
      <c r="E78" s="596">
        <f>'[11]Div 009'!D176</f>
        <v>9769.4200000000019</v>
      </c>
      <c r="F78" s="596">
        <f>'[11]Div 009'!E176</f>
        <v>25806.979999999996</v>
      </c>
      <c r="G78" s="596">
        <f>'[11]Div 009'!F176</f>
        <v>9218.4900000000016</v>
      </c>
      <c r="H78" s="596">
        <f>'[11]Div 009'!G176</f>
        <v>12897.25</v>
      </c>
      <c r="I78" s="596">
        <f>'[11]Div 009'!H176</f>
        <v>11839.650000000001</v>
      </c>
      <c r="J78" s="396">
        <f>VLOOKUP($B78,'[13]Div 9 forecast'!$D$518:$AF$599, 9,FALSE)</f>
        <v>13061.427189464473</v>
      </c>
      <c r="K78" s="396">
        <f>VLOOKUP($B78,'[13]Div 9 forecast'!$D$518:$AF$599,10,FALSE)</f>
        <v>13993.884983223104</v>
      </c>
      <c r="L78" s="396">
        <f>VLOOKUP($B78,'[13]Div 9 forecast'!$D$518:$AF$599, 11,FALSE)</f>
        <v>13045.636866866871</v>
      </c>
      <c r="M78" s="396">
        <f>VLOOKUP($B78,'[13]Div 9 forecast'!$D$518:$AF$599,12,FALSE)</f>
        <v>11952.56806403772</v>
      </c>
      <c r="N78" s="396">
        <f>VLOOKUP($B78,'[13]Div 9 forecast'!$D$518:$AF$599, 13,FALSE)</f>
        <v>11929.016492667402</v>
      </c>
      <c r="O78" s="396">
        <f>VLOOKUP($B78,'[13]Div 9 forecast'!$D$518:$AF$599, 14,FALSE)</f>
        <v>11560.000851689232</v>
      </c>
      <c r="P78" s="211">
        <f t="shared" si="7"/>
        <v>149633.49444794879</v>
      </c>
      <c r="Q78" s="148"/>
      <c r="R78" s="148"/>
      <c r="S78" s="148"/>
    </row>
    <row r="79" spans="1:19">
      <c r="A79" s="871">
        <f t="shared" si="0"/>
        <v>68</v>
      </c>
      <c r="B79" s="832">
        <v>8810</v>
      </c>
      <c r="C79" s="211" t="s">
        <v>930</v>
      </c>
      <c r="D79" s="596">
        <f>'[11]Div 009'!C177</f>
        <v>37613.359999999993</v>
      </c>
      <c r="E79" s="596">
        <f>'[11]Div 009'!D177</f>
        <v>31576.730000000003</v>
      </c>
      <c r="F79" s="596">
        <f>'[11]Div 009'!E177</f>
        <v>33008.11</v>
      </c>
      <c r="G79" s="596">
        <f>'[11]Div 009'!F177</f>
        <v>30693.929999999989</v>
      </c>
      <c r="H79" s="596">
        <f>'[11]Div 009'!G177</f>
        <v>34123.14</v>
      </c>
      <c r="I79" s="596">
        <f>'[11]Div 009'!H177</f>
        <v>40750.900000000009</v>
      </c>
      <c r="J79" s="396">
        <f>VLOOKUP($B79,'[13]Div 9 forecast'!$D$518:$AF$599, 9,FALSE)</f>
        <v>30538.428681850899</v>
      </c>
      <c r="K79" s="396">
        <f>VLOOKUP($B79,'[13]Div 9 forecast'!$D$518:$AF$599,10,FALSE)</f>
        <v>30675.955996488472</v>
      </c>
      <c r="L79" s="396">
        <f>VLOOKUP($B79,'[13]Div 9 forecast'!$D$518:$AF$599, 11,FALSE)</f>
        <v>29217.328746881281</v>
      </c>
      <c r="M79" s="396">
        <f>VLOOKUP($B79,'[13]Div 9 forecast'!$D$518:$AF$599,12,FALSE)</f>
        <v>27789.006020814322</v>
      </c>
      <c r="N79" s="396">
        <f>VLOOKUP($B79,'[13]Div 9 forecast'!$D$518:$AF$599, 13,FALSE)</f>
        <v>30543.896720364472</v>
      </c>
      <c r="O79" s="396">
        <f>VLOOKUP($B79,'[13]Div 9 forecast'!$D$518:$AF$599, 14,FALSE)</f>
        <v>26576.724497062107</v>
      </c>
      <c r="P79" s="211">
        <f t="shared" si="7"/>
        <v>383107.51066346146</v>
      </c>
      <c r="Q79" s="148"/>
      <c r="R79" s="148"/>
      <c r="S79" s="148"/>
    </row>
    <row r="80" spans="1:19">
      <c r="A80" s="871">
        <f t="shared" si="0"/>
        <v>69</v>
      </c>
      <c r="B80" s="832">
        <v>8850</v>
      </c>
      <c r="C80" s="211" t="s">
        <v>931</v>
      </c>
      <c r="D80" s="596">
        <f>'[11]Div 009'!C178</f>
        <v>312.39</v>
      </c>
      <c r="E80" s="596">
        <f>'[11]Div 009'!D178</f>
        <v>168.3</v>
      </c>
      <c r="F80" s="596">
        <f>'[11]Div 009'!E178</f>
        <v>21.29</v>
      </c>
      <c r="G80" s="596">
        <f>'[11]Div 009'!F178</f>
        <v>0</v>
      </c>
      <c r="H80" s="596">
        <f>'[11]Div 009'!G178</f>
        <v>238.17</v>
      </c>
      <c r="I80" s="596">
        <f>'[11]Div 009'!H178</f>
        <v>174</v>
      </c>
      <c r="J80" s="396">
        <f>VLOOKUP($B80,'[13]Div 9 forecast'!$D$518:$AF$599, 9,FALSE)</f>
        <v>106.75549975365566</v>
      </c>
      <c r="K80" s="396">
        <f>VLOOKUP($B80,'[13]Div 9 forecast'!$D$518:$AF$599,10,FALSE)</f>
        <v>104.83921197698308</v>
      </c>
      <c r="L80" s="396">
        <f>VLOOKUP($B80,'[13]Div 9 forecast'!$D$518:$AF$599, 11,FALSE)</f>
        <v>95.920613211493588</v>
      </c>
      <c r="M80" s="396">
        <f>VLOOKUP($B80,'[13]Div 9 forecast'!$D$518:$AF$599,12,FALSE)</f>
        <v>135.19495243927381</v>
      </c>
      <c r="N80" s="396">
        <f>VLOOKUP($B80,'[13]Div 9 forecast'!$D$518:$AF$599, 13,FALSE)</f>
        <v>133.36789314000725</v>
      </c>
      <c r="O80" s="396">
        <f>VLOOKUP($B80,'[13]Div 9 forecast'!$D$518:$AF$599, 14,FALSE)</f>
        <v>132.83889573824285</v>
      </c>
      <c r="P80" s="211">
        <f t="shared" si="7"/>
        <v>1623.0670662596563</v>
      </c>
      <c r="Q80" s="148"/>
      <c r="R80" s="148"/>
      <c r="S80" s="148"/>
    </row>
    <row r="81" spans="1:21">
      <c r="A81" s="871">
        <f t="shared" si="0"/>
        <v>70</v>
      </c>
      <c r="B81" s="832">
        <v>8860</v>
      </c>
      <c r="C81" s="211" t="s">
        <v>932</v>
      </c>
      <c r="D81" s="596">
        <f>'[11]Div 009'!C179</f>
        <v>0</v>
      </c>
      <c r="E81" s="596">
        <f>'[11]Div 009'!D179</f>
        <v>13.02</v>
      </c>
      <c r="F81" s="596">
        <f>'[11]Div 009'!E179</f>
        <v>47.55</v>
      </c>
      <c r="G81" s="596">
        <f>'[11]Div 009'!F179</f>
        <v>22.37</v>
      </c>
      <c r="H81" s="596">
        <f>'[11]Div 009'!G179</f>
        <v>0</v>
      </c>
      <c r="I81" s="596">
        <f>'[11]Div 009'!H179</f>
        <v>67.63</v>
      </c>
      <c r="J81" s="396">
        <f>VLOOKUP($B81,'[13]Div 9 forecast'!$D$518:$AF$599, 9,FALSE)</f>
        <v>32.246402524915204</v>
      </c>
      <c r="K81" s="396">
        <f>VLOOKUP($B81,'[13]Div 9 forecast'!$D$518:$AF$599,10,FALSE)</f>
        <v>29.874816582401404</v>
      </c>
      <c r="L81" s="396">
        <f>VLOOKUP($B81,'[13]Div 9 forecast'!$D$518:$AF$599, 11,FALSE)</f>
        <v>24.444946326572367</v>
      </c>
      <c r="M81" s="396">
        <f>VLOOKUP($B81,'[13]Div 9 forecast'!$D$518:$AF$599,12,FALSE)</f>
        <v>18.117578411274408</v>
      </c>
      <c r="N81" s="396">
        <f>VLOOKUP($B81,'[13]Div 9 forecast'!$D$518:$AF$599, 13,FALSE)</f>
        <v>20.670504950599391</v>
      </c>
      <c r="O81" s="396">
        <f>VLOOKUP($B81,'[13]Div 9 forecast'!$D$518:$AF$599, 14,FALSE)</f>
        <v>23.773586802020912</v>
      </c>
      <c r="P81" s="211">
        <f t="shared" si="7"/>
        <v>299.69783559778364</v>
      </c>
      <c r="Q81" s="148"/>
      <c r="R81" s="148"/>
      <c r="S81" s="148"/>
    </row>
    <row r="82" spans="1:21">
      <c r="A82" s="871">
        <f t="shared" si="0"/>
        <v>71</v>
      </c>
      <c r="B82" s="832">
        <v>8870</v>
      </c>
      <c r="C82" s="211" t="s">
        <v>933</v>
      </c>
      <c r="D82" s="596">
        <f>'[11]Div 009'!C180</f>
        <v>2051.67</v>
      </c>
      <c r="E82" s="596">
        <f>'[11]Div 009'!D180</f>
        <v>1614.92</v>
      </c>
      <c r="F82" s="596">
        <f>'[11]Div 009'!E180</f>
        <v>2274.3399999999997</v>
      </c>
      <c r="G82" s="596">
        <f>'[11]Div 009'!F180</f>
        <v>1692.15</v>
      </c>
      <c r="H82" s="596">
        <f>'[11]Div 009'!G180</f>
        <v>2720.2899999999995</v>
      </c>
      <c r="I82" s="596">
        <f>'[11]Div 009'!H180</f>
        <v>4890.25</v>
      </c>
      <c r="J82" s="396">
        <f>VLOOKUP($B82,'[13]Div 9 forecast'!$D$518:$AF$599, 9,FALSE)</f>
        <v>2338.7367010600105</v>
      </c>
      <c r="K82" s="396">
        <f>VLOOKUP($B82,'[13]Div 9 forecast'!$D$518:$AF$599,10,FALSE)</f>
        <v>2479.7115405878149</v>
      </c>
      <c r="L82" s="396">
        <f>VLOOKUP($B82,'[13]Div 9 forecast'!$D$518:$AF$599, 11,FALSE)</f>
        <v>2312.8562938986774</v>
      </c>
      <c r="M82" s="396">
        <f>VLOOKUP($B82,'[13]Div 9 forecast'!$D$518:$AF$599,12,FALSE)</f>
        <v>2411.3785776935847</v>
      </c>
      <c r="N82" s="396">
        <f>VLOOKUP($B82,'[13]Div 9 forecast'!$D$518:$AF$599, 13,FALSE)</f>
        <v>2443.5124861151753</v>
      </c>
      <c r="O82" s="396">
        <f>VLOOKUP($B82,'[13]Div 9 forecast'!$D$518:$AF$599, 14,FALSE)</f>
        <v>2224.8269566308263</v>
      </c>
      <c r="P82" s="211">
        <f t="shared" si="7"/>
        <v>29454.642555986084</v>
      </c>
      <c r="Q82" s="148"/>
      <c r="R82" s="153"/>
      <c r="S82" s="148"/>
    </row>
    <row r="83" spans="1:21">
      <c r="A83" s="871">
        <f t="shared" si="0"/>
        <v>72</v>
      </c>
      <c r="B83" s="832">
        <v>8890</v>
      </c>
      <c r="C83" s="872" t="s">
        <v>934</v>
      </c>
      <c r="D83" s="596">
        <f>'[11]Div 009'!C181</f>
        <v>0</v>
      </c>
      <c r="E83" s="596">
        <f>'[11]Div 009'!D181</f>
        <v>0</v>
      </c>
      <c r="F83" s="596">
        <f>'[11]Div 009'!E181</f>
        <v>0</v>
      </c>
      <c r="G83" s="596">
        <f>'[11]Div 009'!F181</f>
        <v>18.02</v>
      </c>
      <c r="H83" s="596">
        <f>'[11]Div 009'!G181</f>
        <v>0</v>
      </c>
      <c r="I83" s="596">
        <f>'[11]Div 009'!H181</f>
        <v>0</v>
      </c>
      <c r="J83" s="396">
        <f>VLOOKUP($B83,'[13]Div 9 forecast'!$D$518:$AF$599, 9,FALSE)</f>
        <v>3.9725083096145792</v>
      </c>
      <c r="K83" s="396">
        <f>VLOOKUP($B83,'[13]Div 9 forecast'!$D$518:$AF$599,10,FALSE)</f>
        <v>3.6609343018731861</v>
      </c>
      <c r="L83" s="396">
        <f>VLOOKUP($B83,'[13]Div 9 forecast'!$D$518:$AF$599, 11,FALSE)</f>
        <v>2.9624616020208112</v>
      </c>
      <c r="M83" s="396">
        <f>VLOOKUP($B83,'[13]Div 9 forecast'!$D$518:$AF$599,12,FALSE)</f>
        <v>2.1461599082191753</v>
      </c>
      <c r="N83" s="396">
        <f>VLOOKUP($B83,'[13]Div 9 forecast'!$D$518:$AF$599, 13,FALSE)</f>
        <v>2.4571028901708964</v>
      </c>
      <c r="O83" s="396">
        <f>VLOOKUP($B83,'[13]Div 9 forecast'!$D$518:$AF$599, 14,FALSE)</f>
        <v>2.8954894684102217</v>
      </c>
      <c r="P83" s="211">
        <f t="shared" si="7"/>
        <v>36.114656480308867</v>
      </c>
      <c r="Q83" s="148"/>
      <c r="R83" s="148"/>
      <c r="S83" s="148"/>
    </row>
    <row r="84" spans="1:21">
      <c r="A84" s="871">
        <f t="shared" ref="A84:A111" si="9">A83+1</f>
        <v>73</v>
      </c>
      <c r="B84" s="832">
        <v>8900</v>
      </c>
      <c r="C84" s="211" t="s">
        <v>935</v>
      </c>
      <c r="D84" s="596">
        <f>'[11]Div 009'!C182</f>
        <v>4089.86</v>
      </c>
      <c r="E84" s="596">
        <f>'[11]Div 009'!D182</f>
        <v>299.19</v>
      </c>
      <c r="F84" s="596">
        <f>'[11]Div 009'!E182</f>
        <v>0</v>
      </c>
      <c r="G84" s="596">
        <f>'[11]Div 009'!F182</f>
        <v>0</v>
      </c>
      <c r="H84" s="596">
        <f>'[11]Div 009'!G182</f>
        <v>0</v>
      </c>
      <c r="I84" s="596">
        <f>'[11]Div 009'!H182</f>
        <v>0</v>
      </c>
      <c r="J84" s="396">
        <f>VLOOKUP($B84,'[13]Div 9 forecast'!$D$518:$AF$599, 9,FALSE)</f>
        <v>967.56590434594159</v>
      </c>
      <c r="K84" s="396">
        <f>VLOOKUP($B84,'[13]Div 9 forecast'!$D$518:$AF$599,10,FALSE)</f>
        <v>891.67723072344654</v>
      </c>
      <c r="L84" s="396">
        <f>VLOOKUP($B84,'[13]Div 9 forecast'!$D$518:$AF$599, 11,FALSE)</f>
        <v>721.5533903634539</v>
      </c>
      <c r="M84" s="396">
        <f>VLOOKUP($B84,'[13]Div 9 forecast'!$D$518:$AF$599,12,FALSE)</f>
        <v>522.73047420473756</v>
      </c>
      <c r="N84" s="396">
        <f>VLOOKUP($B84,'[13]Div 9 forecast'!$D$518:$AF$599, 13,FALSE)</f>
        <v>598.46545172611388</v>
      </c>
      <c r="O84" s="396">
        <f>VLOOKUP($B84,'[13]Div 9 forecast'!$D$518:$AF$599, 14,FALSE)</f>
        <v>705.24129030665279</v>
      </c>
      <c r="P84" s="211">
        <f t="shared" si="7"/>
        <v>8796.2837416703478</v>
      </c>
      <c r="Q84" s="148"/>
      <c r="R84" s="148"/>
      <c r="S84" s="148"/>
    </row>
    <row r="85" spans="1:21">
      <c r="A85" s="871">
        <f t="shared" si="9"/>
        <v>74</v>
      </c>
      <c r="B85" s="832">
        <v>8910</v>
      </c>
      <c r="C85" s="211" t="s">
        <v>936</v>
      </c>
      <c r="D85" s="596">
        <f>'[11]Div 009'!C183</f>
        <v>114</v>
      </c>
      <c r="E85" s="596">
        <f>'[11]Div 009'!D183</f>
        <v>1284.8</v>
      </c>
      <c r="F85" s="596">
        <f>'[11]Div 009'!E183</f>
        <v>52.81</v>
      </c>
      <c r="G85" s="596">
        <f>'[11]Div 009'!F183</f>
        <v>170</v>
      </c>
      <c r="H85" s="596">
        <f>'[11]Div 009'!G183</f>
        <v>0</v>
      </c>
      <c r="I85" s="596">
        <f>'[11]Div 009'!H183</f>
        <v>583</v>
      </c>
      <c r="J85" s="396">
        <f>VLOOKUP($B85,'[13]Div 9 forecast'!$D$518:$AF$599, 9,FALSE)</f>
        <v>422.96235785790873</v>
      </c>
      <c r="K85" s="396">
        <f>VLOOKUP($B85,'[13]Div 9 forecast'!$D$518:$AF$599,10,FALSE)</f>
        <v>400.28170311257674</v>
      </c>
      <c r="L85" s="396">
        <f>VLOOKUP($B85,'[13]Div 9 forecast'!$D$518:$AF$599, 11,FALSE)</f>
        <v>341.88894525341738</v>
      </c>
      <c r="M85" s="396">
        <f>VLOOKUP($B85,'[13]Div 9 forecast'!$D$518:$AF$599,12,FALSE)</f>
        <v>274.87721578058199</v>
      </c>
      <c r="N85" s="396">
        <f>VLOOKUP($B85,'[13]Div 9 forecast'!$D$518:$AF$599, 13,FALSE)</f>
        <v>309.90722110280456</v>
      </c>
      <c r="O85" s="396">
        <f>VLOOKUP($B85,'[13]Div 9 forecast'!$D$518:$AF$599, 14,FALSE)</f>
        <v>326.25337055710253</v>
      </c>
      <c r="P85" s="211">
        <f t="shared" si="7"/>
        <v>4280.7808136643916</v>
      </c>
      <c r="Q85" s="148"/>
      <c r="R85" s="148"/>
      <c r="S85" s="148"/>
    </row>
    <row r="86" spans="1:21">
      <c r="A86" s="871">
        <f t="shared" si="9"/>
        <v>75</v>
      </c>
      <c r="B86" s="832">
        <v>8920</v>
      </c>
      <c r="C86" s="211" t="s">
        <v>937</v>
      </c>
      <c r="D86" s="596">
        <f>'[11]Div 009'!C184</f>
        <v>0</v>
      </c>
      <c r="E86" s="596">
        <f>'[11]Div 009'!D184</f>
        <v>0</v>
      </c>
      <c r="F86" s="596">
        <f>'[11]Div 009'!E184</f>
        <v>0</v>
      </c>
      <c r="G86" s="596">
        <f>'[11]Div 009'!F184</f>
        <v>0</v>
      </c>
      <c r="H86" s="596">
        <f>'[11]Div 009'!G184</f>
        <v>50.87</v>
      </c>
      <c r="I86" s="596">
        <f>'[11]Div 009'!H184</f>
        <v>0</v>
      </c>
      <c r="J86" s="396">
        <f>VLOOKUP($B86,'[13]Div 9 forecast'!$D$518:$AF$599, 9,FALSE)</f>
        <v>11.214289551059577</v>
      </c>
      <c r="K86" s="396">
        <f>VLOOKUP($B86,'[13]Div 9 forecast'!$D$518:$AF$599,10,FALSE)</f>
        <v>10.334724080815146</v>
      </c>
      <c r="L86" s="396">
        <f>VLOOKUP($B86,'[13]Div 9 forecast'!$D$518:$AF$599, 11,FALSE)</f>
        <v>8.3629534791786142</v>
      </c>
      <c r="M86" s="396">
        <f>VLOOKUP($B86,'[13]Div 9 forecast'!$D$518:$AF$599,12,FALSE)</f>
        <v>6.0585546354666722</v>
      </c>
      <c r="N86" s="396">
        <f>VLOOKUP($B86,'[13]Div 9 forecast'!$D$518:$AF$599, 13,FALSE)</f>
        <v>6.936338736015176</v>
      </c>
      <c r="O86" s="396">
        <f>VLOOKUP($B86,'[13]Div 9 forecast'!$D$518:$AF$599, 14,FALSE)</f>
        <v>8.1738928556064341</v>
      </c>
      <c r="P86" s="211">
        <f t="shared" si="7"/>
        <v>101.95075333814162</v>
      </c>
      <c r="Q86" s="148"/>
      <c r="R86" s="148"/>
      <c r="S86" s="148"/>
    </row>
    <row r="87" spans="1:21">
      <c r="A87" s="871">
        <f t="shared" si="9"/>
        <v>76</v>
      </c>
      <c r="B87" s="832">
        <v>8930</v>
      </c>
      <c r="C87" s="211" t="s">
        <v>938</v>
      </c>
      <c r="D87" s="596">
        <f>'[11]Div 009'!C185</f>
        <v>3597.5099999999998</v>
      </c>
      <c r="E87" s="596">
        <f>'[11]Div 009'!D185</f>
        <v>17018.47</v>
      </c>
      <c r="F87" s="596">
        <f>'[11]Div 009'!E185</f>
        <v>12171.419999999998</v>
      </c>
      <c r="G87" s="596">
        <f>'[11]Div 009'!F185</f>
        <v>1369.0500000000002</v>
      </c>
      <c r="H87" s="596">
        <f>'[11]Div 009'!G185</f>
        <v>1322.5700000000002</v>
      </c>
      <c r="I87" s="596">
        <f>'[11]Div 009'!H185</f>
        <v>9941.74</v>
      </c>
      <c r="J87" s="396">
        <f>VLOOKUP($B87,'[13]Div 9 forecast'!$D$518:$AF$599, 9,FALSE)</f>
        <v>7218.7172031185964</v>
      </c>
      <c r="K87" s="396">
        <f>VLOOKUP($B87,'[13]Div 9 forecast'!$D$518:$AF$599,10,FALSE)</f>
        <v>7819.1631927379658</v>
      </c>
      <c r="L87" s="396">
        <f>VLOOKUP($B87,'[13]Div 9 forecast'!$D$518:$AF$599, 11,FALSE)</f>
        <v>7189.4344706364845</v>
      </c>
      <c r="M87" s="396">
        <f>VLOOKUP($B87,'[13]Div 9 forecast'!$D$518:$AF$599,12,FALSE)</f>
        <v>7521.6993920121904</v>
      </c>
      <c r="N87" s="396">
        <f>VLOOKUP($B87,'[13]Div 9 forecast'!$D$518:$AF$599, 13,FALSE)</f>
        <v>7521.6993920121904</v>
      </c>
      <c r="O87" s="396">
        <f>VLOOKUP($B87,'[13]Div 9 forecast'!$D$518:$AF$599, 14,FALSE)</f>
        <v>7225.739916185109</v>
      </c>
      <c r="P87" s="211">
        <f t="shared" si="7"/>
        <v>89917.213566702529</v>
      </c>
      <c r="Q87" s="148"/>
      <c r="R87" s="148"/>
      <c r="S87" s="148"/>
    </row>
    <row r="88" spans="1:21">
      <c r="A88" s="871">
        <f t="shared" si="9"/>
        <v>77</v>
      </c>
      <c r="B88" s="832">
        <v>8940</v>
      </c>
      <c r="C88" s="211" t="s">
        <v>939</v>
      </c>
      <c r="D88" s="596">
        <f>'[11]Div 009'!C186</f>
        <v>875.79000000000008</v>
      </c>
      <c r="E88" s="596">
        <f>'[11]Div 009'!D186</f>
        <v>813.25</v>
      </c>
      <c r="F88" s="596">
        <f>'[11]Div 009'!E186</f>
        <v>1734.98</v>
      </c>
      <c r="G88" s="596">
        <f>'[11]Div 009'!F186</f>
        <v>992.0100000000001</v>
      </c>
      <c r="H88" s="596">
        <f>'[11]Div 009'!G186</f>
        <v>525.57000000000005</v>
      </c>
      <c r="I88" s="596">
        <f>'[11]Div 009'!H186</f>
        <v>239.21</v>
      </c>
      <c r="J88" s="396">
        <f>VLOOKUP($B88,'[13]Div 9 forecast'!$D$518:$AF$599, 9,FALSE)</f>
        <v>1378.8979112053476</v>
      </c>
      <c r="K88" s="396">
        <f>VLOOKUP($B88,'[13]Div 9 forecast'!$D$518:$AF$599,10,FALSE)</f>
        <v>1291.6640818312399</v>
      </c>
      <c r="L88" s="396">
        <f>VLOOKUP($B88,'[13]Div 9 forecast'!$D$518:$AF$599, 11,FALSE)</f>
        <v>1096.6095460809368</v>
      </c>
      <c r="M88" s="396">
        <f>VLOOKUP($B88,'[13]Div 9 forecast'!$D$518:$AF$599,12,FALSE)</f>
        <v>614.48478615254703</v>
      </c>
      <c r="N88" s="396">
        <f>VLOOKUP($B88,'[13]Div 9 forecast'!$D$518:$AF$599, 13,FALSE)</f>
        <v>701.039180255666</v>
      </c>
      <c r="O88" s="396">
        <f>VLOOKUP($B88,'[13]Div 9 forecast'!$D$518:$AF$599, 14,FALSE)</f>
        <v>819.11890968288139</v>
      </c>
      <c r="P88" s="211">
        <f t="shared" si="7"/>
        <v>11082.624415208618</v>
      </c>
      <c r="Q88" s="148"/>
      <c r="R88" s="148"/>
      <c r="S88" s="148"/>
    </row>
    <row r="89" spans="1:21" s="795" customFormat="1">
      <c r="A89" s="871">
        <f t="shared" si="9"/>
        <v>78</v>
      </c>
      <c r="B89" s="832">
        <v>9010</v>
      </c>
      <c r="C89" s="80" t="s">
        <v>182</v>
      </c>
      <c r="D89" s="596">
        <f>'[11]Div 009'!C187</f>
        <v>0</v>
      </c>
      <c r="E89" s="596">
        <f>'[11]Div 009'!D187</f>
        <v>48.86</v>
      </c>
      <c r="F89" s="596">
        <f>'[11]Div 009'!E187</f>
        <v>-18.32</v>
      </c>
      <c r="G89" s="596">
        <f>'[11]Div 009'!F187</f>
        <v>172.46</v>
      </c>
      <c r="H89" s="596">
        <f>'[11]Div 009'!G187</f>
        <v>0</v>
      </c>
      <c r="I89" s="596">
        <f>'[11]Div 009'!H187</f>
        <v>0</v>
      </c>
      <c r="J89" s="396">
        <f>VLOOKUP($B89,'[13]Div 9 forecast'!$D$518:$AF$599, 9,FALSE)</f>
        <v>42.872519779659306</v>
      </c>
      <c r="K89" s="396">
        <f>VLOOKUP($B89,'[13]Div 9 forecast'!$D$518:$AF$599,10,FALSE)</f>
        <v>40.294335561912838</v>
      </c>
      <c r="L89" s="396">
        <f>VLOOKUP($B89,'[13]Div 9 forecast'!$D$518:$AF$599, 11,FALSE)</f>
        <v>33.186201628891226</v>
      </c>
      <c r="M89" s="396">
        <f>VLOOKUP($B89,'[13]Div 9 forecast'!$D$518:$AF$599,12,FALSE)</f>
        <v>25.597213051493107</v>
      </c>
      <c r="N89" s="396">
        <f>VLOOKUP($B89,'[13]Div 9 forecast'!$D$518:$AF$599, 13,FALSE)</f>
        <v>28.573085785532719</v>
      </c>
      <c r="O89" s="396">
        <f>VLOOKUP($B89,'[13]Div 9 forecast'!$D$518:$AF$599, 14,FALSE)</f>
        <v>32.569657394952593</v>
      </c>
      <c r="P89" s="211">
        <f t="shared" si="7"/>
        <v>406.0930132024418</v>
      </c>
      <c r="Q89" s="148"/>
      <c r="R89" s="148"/>
      <c r="S89" s="148"/>
    </row>
    <row r="90" spans="1:21">
      <c r="A90" s="871">
        <f t="shared" si="9"/>
        <v>79</v>
      </c>
      <c r="B90" s="832">
        <v>9020</v>
      </c>
      <c r="C90" s="211" t="s">
        <v>940</v>
      </c>
      <c r="D90" s="596">
        <f>'[11]Div 009'!C188</f>
        <v>110784.90999999999</v>
      </c>
      <c r="E90" s="596">
        <f>'[11]Div 009'!D188</f>
        <v>105089.31999999998</v>
      </c>
      <c r="F90" s="596">
        <f>'[11]Div 009'!E188</f>
        <v>126664.08000000002</v>
      </c>
      <c r="G90" s="596">
        <f>'[11]Div 009'!F188</f>
        <v>97026.380000000019</v>
      </c>
      <c r="H90" s="596">
        <f>'[11]Div 009'!G188</f>
        <v>108759.08</v>
      </c>
      <c r="I90" s="596">
        <f>'[11]Div 009'!H188</f>
        <v>104421.48000000001</v>
      </c>
      <c r="J90" s="396">
        <f>VLOOKUP($B90,'[13]Div 9 forecast'!$D$518:$AF$599, 9,FALSE)</f>
        <v>86779.281108620286</v>
      </c>
      <c r="K90" s="396">
        <f>VLOOKUP($B90,'[13]Div 9 forecast'!$D$518:$AF$599,10,FALSE)</f>
        <v>88256.111255874202</v>
      </c>
      <c r="L90" s="396">
        <f>VLOOKUP($B90,'[13]Div 9 forecast'!$D$518:$AF$599, 11,FALSE)</f>
        <v>88536.50222008198</v>
      </c>
      <c r="M90" s="396">
        <f>VLOOKUP($B90,'[13]Div 9 forecast'!$D$518:$AF$599,12,FALSE)</f>
        <v>94815.066996157722</v>
      </c>
      <c r="N90" s="396">
        <f>VLOOKUP($B90,'[13]Div 9 forecast'!$D$518:$AF$599, 13,FALSE)</f>
        <v>99284.307296900282</v>
      </c>
      <c r="O90" s="396">
        <f>VLOOKUP($B90,'[13]Div 9 forecast'!$D$518:$AF$599, 14,FALSE)</f>
        <v>76385.467928657512</v>
      </c>
      <c r="P90" s="211">
        <f t="shared" si="7"/>
        <v>1186801.9868062921</v>
      </c>
      <c r="Q90" s="591"/>
      <c r="R90" s="591"/>
      <c r="S90" s="591"/>
      <c r="T90" s="591"/>
      <c r="U90" s="591"/>
    </row>
    <row r="91" spans="1:21">
      <c r="A91" s="871">
        <f t="shared" si="9"/>
        <v>80</v>
      </c>
      <c r="B91" s="832">
        <v>9030</v>
      </c>
      <c r="C91" s="211" t="s">
        <v>945</v>
      </c>
      <c r="D91" s="596">
        <f>'[11]Div 009'!C189</f>
        <v>23155.33</v>
      </c>
      <c r="E91" s="596">
        <f>'[11]Div 009'!D189</f>
        <v>39749.359999999993</v>
      </c>
      <c r="F91" s="596">
        <f>'[11]Div 009'!E189</f>
        <v>501984.22000000003</v>
      </c>
      <c r="G91" s="596">
        <f>'[11]Div 009'!F189</f>
        <v>102686.18999999999</v>
      </c>
      <c r="H91" s="596">
        <f>'[11]Div 009'!G189</f>
        <v>138341.84999999998</v>
      </c>
      <c r="I91" s="596">
        <f>'[11]Div 009'!H189</f>
        <v>123054.95999999999</v>
      </c>
      <c r="J91" s="396">
        <f>VLOOKUP($B91,'[13]Div 9 forecast'!$D$518:$AF$599, 9,FALSE)</f>
        <v>120507.57834925406</v>
      </c>
      <c r="K91" s="396">
        <f>VLOOKUP($B91,'[13]Div 9 forecast'!$D$518:$AF$599,10,FALSE)</f>
        <v>121313.7520953964</v>
      </c>
      <c r="L91" s="396">
        <f>VLOOKUP($B91,'[13]Div 9 forecast'!$D$518:$AF$599, 11,FALSE)</f>
        <v>122157.18874856198</v>
      </c>
      <c r="M91" s="396">
        <f>VLOOKUP($B91,'[13]Div 9 forecast'!$D$518:$AF$599,12,FALSE)</f>
        <v>131566.16815202171</v>
      </c>
      <c r="N91" s="396">
        <f>VLOOKUP($B91,'[13]Div 9 forecast'!$D$518:$AF$599, 13,FALSE)</f>
        <v>137491.77013666235</v>
      </c>
      <c r="O91" s="396">
        <f>VLOOKUP($B91,'[13]Div 9 forecast'!$D$518:$AF$599, 14,FALSE)</f>
        <v>98963.309252858511</v>
      </c>
      <c r="P91" s="211">
        <f t="shared" si="7"/>
        <v>1660971.6767347548</v>
      </c>
      <c r="Q91" s="591"/>
      <c r="R91" s="591"/>
      <c r="S91" s="591"/>
      <c r="T91" s="591"/>
      <c r="U91" s="591"/>
    </row>
    <row r="92" spans="1:21">
      <c r="A92" s="871">
        <f t="shared" si="9"/>
        <v>81</v>
      </c>
      <c r="B92" s="832">
        <v>9040</v>
      </c>
      <c r="C92" s="211" t="s">
        <v>946</v>
      </c>
      <c r="D92" s="596">
        <f>'[11]Div 009'!C190</f>
        <v>49058</v>
      </c>
      <c r="E92" s="596">
        <f>'[11]Div 009'!D190</f>
        <v>39838</v>
      </c>
      <c r="F92" s="596">
        <f>'[11]Div 009'!E190</f>
        <v>32057</v>
      </c>
      <c r="G92" s="596">
        <f>'[11]Div 009'!F190</f>
        <v>27877</v>
      </c>
      <c r="H92" s="596">
        <f>'[11]Div 009'!G190</f>
        <v>23175</v>
      </c>
      <c r="I92" s="596">
        <f>'[11]Div 009'!H190</f>
        <v>21912</v>
      </c>
      <c r="J92" s="396">
        <f>VLOOKUP($B92,'[13]Div 9 forecast'!$D$518:$AF$599, 9,FALSE)</f>
        <v>21693.599999999999</v>
      </c>
      <c r="K92" s="396">
        <f>VLOOKUP($B92,'[13]Div 9 forecast'!$D$518:$AF$599,10,FALSE)</f>
        <v>21263.29</v>
      </c>
      <c r="L92" s="396">
        <f>VLOOKUP($B92,'[13]Div 9 forecast'!$D$518:$AF$599, 11,FALSE)</f>
        <v>21604.04</v>
      </c>
      <c r="M92" s="396">
        <f>VLOOKUP($B92,'[13]Div 9 forecast'!$D$518:$AF$599,12,FALSE)</f>
        <v>29383.746299999999</v>
      </c>
      <c r="N92" s="396">
        <f>VLOOKUP($B92,'[13]Div 9 forecast'!$D$518:$AF$599, 13,FALSE)</f>
        <v>35250.331700000002</v>
      </c>
      <c r="O92" s="396">
        <f>VLOOKUP($B92,'[13]Div 9 forecast'!$D$518:$AF$599, 14,FALSE)</f>
        <v>46799.183700000001</v>
      </c>
      <c r="P92" s="211">
        <f t="shared" si="7"/>
        <v>369911.19170000002</v>
      </c>
      <c r="Q92" s="148"/>
      <c r="R92" s="148"/>
      <c r="S92" s="148"/>
    </row>
    <row r="93" spans="1:21">
      <c r="A93" s="871">
        <f t="shared" si="9"/>
        <v>82</v>
      </c>
      <c r="B93" s="832">
        <v>9090</v>
      </c>
      <c r="C93" s="211" t="s">
        <v>947</v>
      </c>
      <c r="D93" s="596">
        <f>'[11]Div 009'!C191</f>
        <v>10133.370000000001</v>
      </c>
      <c r="E93" s="596">
        <f>'[11]Div 009'!D191</f>
        <v>9037.86</v>
      </c>
      <c r="F93" s="596">
        <f>'[11]Div 009'!E191</f>
        <v>11220.49</v>
      </c>
      <c r="G93" s="596">
        <f>'[11]Div 009'!F191</f>
        <v>9707.85</v>
      </c>
      <c r="H93" s="596">
        <f>'[11]Div 009'!G191</f>
        <v>12366.190000000002</v>
      </c>
      <c r="I93" s="596">
        <f>'[11]Div 009'!H191</f>
        <v>12062.02</v>
      </c>
      <c r="J93" s="396">
        <f>VLOOKUP($B93,'[13]Div 9 forecast'!$D$518:$AF$599, 9,FALSE)</f>
        <v>12031.954990537901</v>
      </c>
      <c r="K93" s="396">
        <f>VLOOKUP($B93,'[13]Div 9 forecast'!$D$518:$AF$599,10,FALSE)</f>
        <v>12761.961963263597</v>
      </c>
      <c r="L93" s="396">
        <f>VLOOKUP($B93,'[13]Div 9 forecast'!$D$518:$AF$599, 11,FALSE)</f>
        <v>12252.785509635303</v>
      </c>
      <c r="M93" s="396">
        <f>VLOOKUP($B93,'[13]Div 9 forecast'!$D$518:$AF$599,12,FALSE)</f>
        <v>11131.191495653427</v>
      </c>
      <c r="N93" s="396">
        <f>VLOOKUP($B93,'[13]Div 9 forecast'!$D$518:$AF$599, 13,FALSE)</f>
        <v>11030.751385091457</v>
      </c>
      <c r="O93" s="396">
        <f>VLOOKUP($B93,'[13]Div 9 forecast'!$D$518:$AF$599, 14,FALSE)</f>
        <v>10675.868313112467</v>
      </c>
      <c r="P93" s="211">
        <f t="shared" si="7"/>
        <v>134412.29365729415</v>
      </c>
      <c r="Q93" s="148"/>
      <c r="R93" s="148"/>
      <c r="S93" s="148"/>
    </row>
    <row r="94" spans="1:21" s="795" customFormat="1">
      <c r="A94" s="871">
        <f t="shared" si="9"/>
        <v>83</v>
      </c>
      <c r="B94" s="832">
        <v>9100</v>
      </c>
      <c r="C94" s="211" t="s">
        <v>948</v>
      </c>
      <c r="D94" s="596">
        <f>0</f>
        <v>0</v>
      </c>
      <c r="E94" s="596">
        <f>0</f>
        <v>0</v>
      </c>
      <c r="F94" s="596">
        <f>0</f>
        <v>0</v>
      </c>
      <c r="G94" s="596">
        <f>0</f>
        <v>0</v>
      </c>
      <c r="H94" s="596">
        <f>0</f>
        <v>0</v>
      </c>
      <c r="I94" s="596">
        <f>0</f>
        <v>0</v>
      </c>
      <c r="J94" s="396">
        <f>VLOOKUP($B94,'[13]Div 9 forecast'!$D$518:$AF$599, 9,FALSE)</f>
        <v>0</v>
      </c>
      <c r="K94" s="396">
        <f>VLOOKUP($B94,'[13]Div 9 forecast'!$D$518:$AF$599,10,FALSE)</f>
        <v>0</v>
      </c>
      <c r="L94" s="396">
        <f>VLOOKUP($B94,'[13]Div 9 forecast'!$D$518:$AF$599, 11,FALSE)</f>
        <v>0</v>
      </c>
      <c r="M94" s="396">
        <f>VLOOKUP($B94,'[13]Div 9 forecast'!$D$518:$AF$599,12,FALSE)</f>
        <v>0</v>
      </c>
      <c r="N94" s="396">
        <f>VLOOKUP($B94,'[13]Div 9 forecast'!$D$518:$AF$599, 13,FALSE)</f>
        <v>0</v>
      </c>
      <c r="O94" s="396">
        <f>VLOOKUP($B94,'[13]Div 9 forecast'!$D$518:$AF$599, 14,FALSE)</f>
        <v>0</v>
      </c>
      <c r="P94" s="211">
        <f t="shared" si="7"/>
        <v>0</v>
      </c>
      <c r="Q94" s="148"/>
      <c r="R94" s="148"/>
      <c r="S94" s="148"/>
    </row>
    <row r="95" spans="1:21">
      <c r="A95" s="871">
        <f t="shared" si="9"/>
        <v>84</v>
      </c>
      <c r="B95" s="832">
        <v>9110</v>
      </c>
      <c r="C95" s="211" t="s">
        <v>949</v>
      </c>
      <c r="D95" s="596">
        <f>'[11]Div 009'!C192</f>
        <v>22301.33</v>
      </c>
      <c r="E95" s="596">
        <f>'[11]Div 009'!D192</f>
        <v>16762.810000000001</v>
      </c>
      <c r="F95" s="596">
        <f>'[11]Div 009'!E192</f>
        <v>23243.09</v>
      </c>
      <c r="G95" s="596">
        <f>'[11]Div 009'!F192</f>
        <v>19798.989999999998</v>
      </c>
      <c r="H95" s="596">
        <f>'[11]Div 009'!G192</f>
        <v>21407.67</v>
      </c>
      <c r="I95" s="596">
        <f>'[11]Div 009'!H192</f>
        <v>21584.890000000003</v>
      </c>
      <c r="J95" s="396">
        <f>VLOOKUP($B95,'[13]Div 9 forecast'!$D$518:$AF$599, 9,FALSE)</f>
        <v>20675.423591401213</v>
      </c>
      <c r="K95" s="396">
        <f>VLOOKUP($B95,'[13]Div 9 forecast'!$D$518:$AF$599,10,FALSE)</f>
        <v>21999.196767974179</v>
      </c>
      <c r="L95" s="396">
        <f>VLOOKUP($B95,'[13]Div 9 forecast'!$D$518:$AF$599, 11,FALSE)</f>
        <v>21360.062230206717</v>
      </c>
      <c r="M95" s="396">
        <f>VLOOKUP($B95,'[13]Div 9 forecast'!$D$518:$AF$599,12,FALSE)</f>
        <v>22375.104967986197</v>
      </c>
      <c r="N95" s="396">
        <f>VLOOKUP($B95,'[13]Div 9 forecast'!$D$518:$AF$599, 13,FALSE)</f>
        <v>22087.808769509622</v>
      </c>
      <c r="O95" s="396">
        <f>VLOOKUP($B95,'[13]Div 9 forecast'!$D$518:$AF$599, 14,FALSE)</f>
        <v>21532.913795045988</v>
      </c>
      <c r="P95" s="211">
        <f t="shared" si="7"/>
        <v>255129.29012212393</v>
      </c>
      <c r="Q95" s="148"/>
      <c r="R95" s="153"/>
      <c r="S95" s="148"/>
    </row>
    <row r="96" spans="1:21">
      <c r="A96" s="871">
        <f t="shared" si="9"/>
        <v>85</v>
      </c>
      <c r="B96" s="832">
        <v>9120</v>
      </c>
      <c r="C96" s="211" t="s">
        <v>950</v>
      </c>
      <c r="D96" s="596">
        <f>'[11]Div 009'!C193</f>
        <v>16390.32</v>
      </c>
      <c r="E96" s="596">
        <f>'[11]Div 009'!D193</f>
        <v>8111.26</v>
      </c>
      <c r="F96" s="596">
        <f>'[11]Div 009'!E193</f>
        <v>12044.060000000001</v>
      </c>
      <c r="G96" s="596">
        <f>'[11]Div 009'!F193</f>
        <v>10477.56</v>
      </c>
      <c r="H96" s="596">
        <f>'[11]Div 009'!G193</f>
        <v>6937.37</v>
      </c>
      <c r="I96" s="596">
        <f>'[11]Div 009'!H193</f>
        <v>6607.42</v>
      </c>
      <c r="J96" s="396">
        <f>VLOOKUP($B96,'[13]Div 9 forecast'!$D$518:$AF$599, 9,FALSE)</f>
        <v>7020.904787823094</v>
      </c>
      <c r="K96" s="396">
        <f>VLOOKUP($B96,'[13]Div 9 forecast'!$D$518:$AF$599,10,FALSE)</f>
        <v>9167.1438574379699</v>
      </c>
      <c r="L96" s="396">
        <f>VLOOKUP($B96,'[13]Div 9 forecast'!$D$518:$AF$599, 11,FALSE)</f>
        <v>10817.563892877215</v>
      </c>
      <c r="M96" s="396">
        <f>VLOOKUP($B96,'[13]Div 9 forecast'!$D$518:$AF$599,12,FALSE)</f>
        <v>12910.311088777229</v>
      </c>
      <c r="N96" s="396">
        <f>VLOOKUP($B96,'[13]Div 9 forecast'!$D$518:$AF$599, 13,FALSE)</f>
        <v>6569.8752645233899</v>
      </c>
      <c r="O96" s="396">
        <f>VLOOKUP($B96,'[13]Div 9 forecast'!$D$518:$AF$599, 14,FALSE)</f>
        <v>10032.512903661907</v>
      </c>
      <c r="P96" s="211">
        <f t="shared" si="7"/>
        <v>117086.30179510081</v>
      </c>
      <c r="Q96" s="148"/>
      <c r="R96" s="153"/>
      <c r="S96" s="148"/>
    </row>
    <row r="97" spans="1:19">
      <c r="A97" s="871">
        <f t="shared" si="9"/>
        <v>86</v>
      </c>
      <c r="B97" s="832">
        <v>9130</v>
      </c>
      <c r="C97" s="211" t="s">
        <v>951</v>
      </c>
      <c r="D97" s="596">
        <f>'[11]Div 009'!C194</f>
        <v>1111.1600000000001</v>
      </c>
      <c r="E97" s="596">
        <f>'[11]Div 009'!D194</f>
        <v>7084.3</v>
      </c>
      <c r="F97" s="596">
        <f>'[11]Div 009'!E194</f>
        <v>2365.9899999999998</v>
      </c>
      <c r="G97" s="596">
        <f>'[11]Div 009'!F194</f>
        <v>2627.1400000000003</v>
      </c>
      <c r="H97" s="596">
        <f>'[11]Div 009'!G194</f>
        <v>3104.84</v>
      </c>
      <c r="I97" s="596">
        <f>'[11]Div 009'!H194</f>
        <v>3025</v>
      </c>
      <c r="J97" s="396">
        <f>VLOOKUP($B97,'[13]Div 9 forecast'!$D$518:$AF$599, 9,FALSE)</f>
        <v>2446.4242876818776</v>
      </c>
      <c r="K97" s="396">
        <f>VLOOKUP($B97,'[13]Div 9 forecast'!$D$518:$AF$599,10,FALSE)</f>
        <v>3237.4881920074649</v>
      </c>
      <c r="L97" s="396">
        <f>VLOOKUP($B97,'[13]Div 9 forecast'!$D$518:$AF$599, 11,FALSE)</f>
        <v>3877.4551024282482</v>
      </c>
      <c r="M97" s="396">
        <f>VLOOKUP($B97,'[13]Div 9 forecast'!$D$518:$AF$599,12,FALSE)</f>
        <v>4172.0275790556625</v>
      </c>
      <c r="N97" s="396">
        <f>VLOOKUP($B97,'[13]Div 9 forecast'!$D$518:$AF$599, 13,FALSE)</f>
        <v>2317.9921993413336</v>
      </c>
      <c r="O97" s="396">
        <f>VLOOKUP($B97,'[13]Div 9 forecast'!$D$518:$AF$599, 14,FALSE)</f>
        <v>3367.2511335634836</v>
      </c>
      <c r="P97" s="211">
        <f t="shared" si="7"/>
        <v>38737.06849407807</v>
      </c>
      <c r="Q97" s="148"/>
      <c r="R97" s="148"/>
      <c r="S97" s="148"/>
    </row>
    <row r="98" spans="1:19">
      <c r="A98" s="871">
        <f t="shared" si="9"/>
        <v>87</v>
      </c>
      <c r="B98" s="832">
        <v>9200</v>
      </c>
      <c r="C98" s="103" t="s">
        <v>183</v>
      </c>
      <c r="D98" s="596">
        <f>'[11]Div 009'!C195</f>
        <v>13290.94</v>
      </c>
      <c r="E98" s="596">
        <f>'[11]Div 009'!D195</f>
        <v>9993.0299999999988</v>
      </c>
      <c r="F98" s="596">
        <f>'[11]Div 009'!E195</f>
        <v>13406.640000000001</v>
      </c>
      <c r="G98" s="596">
        <f>'[11]Div 009'!F195</f>
        <v>10433.07</v>
      </c>
      <c r="H98" s="596">
        <f>'[11]Div 009'!G195</f>
        <v>12196.779999999999</v>
      </c>
      <c r="I98" s="596">
        <f>'[11]Div 009'!H195</f>
        <v>12401.91</v>
      </c>
      <c r="J98" s="396">
        <f>VLOOKUP($B98,'[13]Div 9 forecast'!$D$518:$AF$599, 9,FALSE)</f>
        <v>11398.829657791661</v>
      </c>
      <c r="K98" s="396">
        <f>VLOOKUP($B98,'[13]Div 9 forecast'!$D$518:$AF$599,10,FALSE)</f>
        <v>12346.973401588475</v>
      </c>
      <c r="L98" s="396">
        <f>VLOOKUP($B98,'[13]Div 9 forecast'!$D$518:$AF$599, 11,FALSE)</f>
        <v>11352.590295577267</v>
      </c>
      <c r="M98" s="396">
        <f>VLOOKUP($B98,'[13]Div 9 forecast'!$D$518:$AF$599,12,FALSE)</f>
        <v>11877.258478780925</v>
      </c>
      <c r="N98" s="396">
        <f>VLOOKUP($B98,'[13]Div 9 forecast'!$D$518:$AF$599, 13,FALSE)</f>
        <v>11877.258478780925</v>
      </c>
      <c r="O98" s="396">
        <f>VLOOKUP($B98,'[13]Div 9 forecast'!$D$518:$AF$599, 14,FALSE)</f>
        <v>11409.918984015183</v>
      </c>
      <c r="P98" s="211">
        <f t="shared" ref="P98" si="10">SUM(D98:O98)</f>
        <v>141985.19929653441</v>
      </c>
      <c r="Q98" s="148"/>
      <c r="R98" s="153"/>
      <c r="S98" s="148"/>
    </row>
    <row r="99" spans="1:19">
      <c r="A99" s="871">
        <f t="shared" si="9"/>
        <v>88</v>
      </c>
      <c r="B99" s="832">
        <v>9210</v>
      </c>
      <c r="C99" s="211" t="s">
        <v>952</v>
      </c>
      <c r="D99" s="596">
        <f>'[11]Div 009'!C196</f>
        <v>213</v>
      </c>
      <c r="E99" s="596">
        <f>'[11]Div 009'!D196</f>
        <v>-50</v>
      </c>
      <c r="F99" s="596">
        <f>'[11]Div 009'!E196</f>
        <v>141.4</v>
      </c>
      <c r="G99" s="596">
        <f>'[11]Div 009'!F196</f>
        <v>397.76</v>
      </c>
      <c r="H99" s="596">
        <f>'[11]Div 009'!G196</f>
        <v>623.2399999999999</v>
      </c>
      <c r="I99" s="596">
        <f>'[11]Div 009'!H196</f>
        <v>375.99</v>
      </c>
      <c r="J99" s="396">
        <f>VLOOKUP($B99,'[13]Div 9 forecast'!$D$518:$AF$599, 9,FALSE)</f>
        <v>-413.31388270564776</v>
      </c>
      <c r="K99" s="396">
        <f>VLOOKUP($B99,'[13]Div 9 forecast'!$D$518:$AF$599,10,FALSE)</f>
        <v>-366.18750577662126</v>
      </c>
      <c r="L99" s="396">
        <f>VLOOKUP($B99,'[13]Div 9 forecast'!$D$518:$AF$599, 11,FALSE)</f>
        <v>-315.6713458137653</v>
      </c>
      <c r="M99" s="396">
        <f>VLOOKUP($B99,'[13]Div 9 forecast'!$D$518:$AF$599,12,FALSE)</f>
        <v>308.85523548641817</v>
      </c>
      <c r="N99" s="396">
        <f>VLOOKUP($B99,'[13]Div 9 forecast'!$D$518:$AF$599, 13,FALSE)</f>
        <v>194.54688484462145</v>
      </c>
      <c r="O99" s="396">
        <f>VLOOKUP($B99,'[13]Div 9 forecast'!$D$518:$AF$599, 14,FALSE)</f>
        <v>270.37413966801546</v>
      </c>
      <c r="P99" s="211">
        <f t="shared" si="7"/>
        <v>1379.9935257030206</v>
      </c>
      <c r="Q99" s="148"/>
      <c r="R99" s="153"/>
      <c r="S99" s="148"/>
    </row>
    <row r="100" spans="1:19">
      <c r="A100" s="871">
        <f t="shared" si="9"/>
        <v>89</v>
      </c>
      <c r="B100" s="832">
        <v>9220</v>
      </c>
      <c r="C100" s="211" t="s">
        <v>953</v>
      </c>
      <c r="D100" s="596">
        <f>'[11]Div 009'!C197</f>
        <v>1165023.74</v>
      </c>
      <c r="E100" s="596">
        <f>'[11]Div 009'!D197</f>
        <v>1094816.6299999999</v>
      </c>
      <c r="F100" s="596">
        <f>'[11]Div 009'!E197</f>
        <v>946831.91999999993</v>
      </c>
      <c r="G100" s="596">
        <f>'[11]Div 009'!F197</f>
        <v>1026190.3400000001</v>
      </c>
      <c r="H100" s="596">
        <f>'[11]Div 009'!G197</f>
        <v>1198875.8399999999</v>
      </c>
      <c r="I100" s="596">
        <f>'[11]Div 009'!H197</f>
        <v>640902.33000000007</v>
      </c>
      <c r="J100" s="96">
        <f>-('C.2.2 B 02'!J42+'C.2.2 B 12'!J34+'C.2.2 B 91'!J56)</f>
        <v>1221424.8626249172</v>
      </c>
      <c r="K100" s="96">
        <f>-('C.2.2 B 02'!K42+'C.2.2 B 12'!K34+'C.2.2 B 91'!K56)</f>
        <v>1112542.3003587229</v>
      </c>
      <c r="L100" s="96">
        <f>-('C.2.2 B 02'!L42+'C.2.2 B 12'!L34+'C.2.2 B 91'!L56)</f>
        <v>1754787.7278923183</v>
      </c>
      <c r="M100" s="96">
        <f>-('C.2.2 B 02'!M42+'C.2.2 B 12'!M34+'C.2.2 B 91'!M56)</f>
        <v>1108456.3360559836</v>
      </c>
      <c r="N100" s="96">
        <f>-('C.2.2 B 02'!N42+'C.2.2 B 12'!N34+'C.2.2 B 91'!N56)</f>
        <v>1140910.1589945098</v>
      </c>
      <c r="O100" s="96">
        <f>-('C.2.2 B 02'!O42+'C.2.2 B 12'!O34+'C.2.2 B 91'!O56)</f>
        <v>1115317.6166687084</v>
      </c>
      <c r="P100" s="211">
        <f>SUM(D100:O100)</f>
        <v>13526079.802595161</v>
      </c>
      <c r="Q100" s="591"/>
      <c r="R100" s="811"/>
      <c r="S100" s="211"/>
    </row>
    <row r="101" spans="1:19">
      <c r="A101" s="871">
        <f t="shared" si="9"/>
        <v>90</v>
      </c>
      <c r="B101" s="832">
        <v>9230</v>
      </c>
      <c r="C101" s="211" t="s">
        <v>954</v>
      </c>
      <c r="D101" s="596">
        <f>'[11]Div 009'!C198</f>
        <v>7268.05</v>
      </c>
      <c r="E101" s="596">
        <f>'[11]Div 009'!D198</f>
        <v>5262.9</v>
      </c>
      <c r="F101" s="596">
        <f>'[11]Div 009'!E198</f>
        <v>0</v>
      </c>
      <c r="G101" s="596">
        <f>'[11]Div 009'!F198</f>
        <v>10119.08</v>
      </c>
      <c r="H101" s="596">
        <f>'[11]Div 009'!G198</f>
        <v>9741.08</v>
      </c>
      <c r="I101" s="596">
        <f>'[11]Div 009'!H198</f>
        <v>5019.95</v>
      </c>
      <c r="J101" s="396">
        <f>VLOOKUP($B101,'[13]Div 9 forecast'!$D$518:$AF$599, 9,FALSE)</f>
        <v>4524.4967419991381</v>
      </c>
      <c r="K101" s="396">
        <f>VLOOKUP($B101,'[13]Div 9 forecast'!$D$518:$AF$599,10,FALSE)</f>
        <v>4436.1393290730448</v>
      </c>
      <c r="L101" s="396">
        <f>VLOOKUP($B101,'[13]Div 9 forecast'!$D$518:$AF$599, 11,FALSE)</f>
        <v>4625.2448831349311</v>
      </c>
      <c r="M101" s="396">
        <f>VLOOKUP($B101,'[13]Div 9 forecast'!$D$518:$AF$599,12,FALSE)</f>
        <v>5045.9183349906152</v>
      </c>
      <c r="N101" s="396">
        <f>VLOOKUP($B101,'[13]Div 9 forecast'!$D$518:$AF$599, 13,FALSE)</f>
        <v>5349.0562074909139</v>
      </c>
      <c r="O101" s="396">
        <f>VLOOKUP($B101,'[13]Div 9 forecast'!$D$518:$AF$599, 14,FALSE)</f>
        <v>3418.6418831471237</v>
      </c>
      <c r="P101" s="211">
        <f t="shared" si="7"/>
        <v>64810.557379835765</v>
      </c>
      <c r="Q101" s="148"/>
      <c r="R101" s="153"/>
      <c r="S101" s="148"/>
    </row>
    <row r="102" spans="1:19">
      <c r="A102" s="871">
        <f t="shared" si="9"/>
        <v>91</v>
      </c>
      <c r="B102" s="832">
        <v>9240</v>
      </c>
      <c r="C102" s="211" t="s">
        <v>955</v>
      </c>
      <c r="D102" s="596">
        <f>'[11]Div 009'!C199</f>
        <v>13990.779999999999</v>
      </c>
      <c r="E102" s="596">
        <f>'[11]Div 009'!D199</f>
        <v>13921.75</v>
      </c>
      <c r="F102" s="596">
        <f>'[11]Div 009'!E199</f>
        <v>14167.420000000002</v>
      </c>
      <c r="G102" s="596">
        <f>'[11]Div 009'!F199</f>
        <v>13939.490000000002</v>
      </c>
      <c r="H102" s="596">
        <f>'[11]Div 009'!G199</f>
        <v>14230.75</v>
      </c>
      <c r="I102" s="596">
        <f>'[11]Div 009'!H199</f>
        <v>13802.05</v>
      </c>
      <c r="J102" s="396">
        <f>VLOOKUP($B102,'[13]Div 9 forecast'!$D$518:$AF$599, 9,FALSE)</f>
        <v>1439.3178702045811</v>
      </c>
      <c r="K102" s="396">
        <f>VLOOKUP($B102,'[13]Div 9 forecast'!$D$518:$AF$599,10,FALSE)</f>
        <v>946.40079136739587</v>
      </c>
      <c r="L102" s="396">
        <f>VLOOKUP($B102,'[13]Div 9 forecast'!$D$518:$AF$599, 11,FALSE)</f>
        <v>1361.4369717483057</v>
      </c>
      <c r="M102" s="396">
        <f>VLOOKUP($B102,'[13]Div 9 forecast'!$D$518:$AF$599,12,FALSE)</f>
        <v>394.33366306974824</v>
      </c>
      <c r="N102" s="396">
        <f>VLOOKUP($B102,'[13]Div 9 forecast'!$D$518:$AF$599, 13,FALSE)</f>
        <v>394.33366306974824</v>
      </c>
      <c r="O102" s="396">
        <f>VLOOKUP($B102,'[13]Div 9 forecast'!$D$518:$AF$599, 14,FALSE)</f>
        <v>394.33366306974824</v>
      </c>
      <c r="P102" s="211">
        <f t="shared" si="7"/>
        <v>88982.39662252953</v>
      </c>
      <c r="Q102" s="148"/>
      <c r="R102" s="153"/>
      <c r="S102" s="148"/>
    </row>
    <row r="103" spans="1:19">
      <c r="A103" s="871">
        <f t="shared" si="9"/>
        <v>92</v>
      </c>
      <c r="B103" s="832">
        <v>9250</v>
      </c>
      <c r="C103" s="211" t="s">
        <v>956</v>
      </c>
      <c r="D103" s="596">
        <f>'[11]Div 009'!C200</f>
        <v>1847.5900000000001</v>
      </c>
      <c r="E103" s="596">
        <f>'[11]Div 009'!D200</f>
        <v>783.72</v>
      </c>
      <c r="F103" s="596">
        <f>'[11]Div 009'!E200</f>
        <v>2141.4499999999998</v>
      </c>
      <c r="G103" s="596">
        <f>'[11]Div 009'!F200</f>
        <v>5523.7</v>
      </c>
      <c r="H103" s="596">
        <f>'[11]Div 009'!G200</f>
        <v>488.45</v>
      </c>
      <c r="I103" s="596">
        <f>'[11]Div 009'!H200</f>
        <v>313.65999999999997</v>
      </c>
      <c r="J103" s="396">
        <f>VLOOKUP($B103,'[13]Div 9 forecast'!$D$518:$AF$599, 9,FALSE)</f>
        <v>1116.6725776922744</v>
      </c>
      <c r="K103" s="396">
        <f>VLOOKUP($B103,'[13]Div 9 forecast'!$D$518:$AF$599,10,FALSE)</f>
        <v>1138.2339204285026</v>
      </c>
      <c r="L103" s="396">
        <f>VLOOKUP($B103,'[13]Div 9 forecast'!$D$518:$AF$599, 11,FALSE)</f>
        <v>1281.8892428190045</v>
      </c>
      <c r="M103" s="396">
        <f>VLOOKUP($B103,'[13]Div 9 forecast'!$D$518:$AF$599,12,FALSE)</f>
        <v>1404.0351406507662</v>
      </c>
      <c r="N103" s="396">
        <f>VLOOKUP($B103,'[13]Div 9 forecast'!$D$518:$AF$599, 13,FALSE)</f>
        <v>1573.7679120582748</v>
      </c>
      <c r="O103" s="396">
        <f>VLOOKUP($B103,'[13]Div 9 forecast'!$D$518:$AF$599, 14,FALSE)</f>
        <v>1067.8093835746895</v>
      </c>
      <c r="P103" s="211">
        <f t="shared" si="7"/>
        <v>18680.978177223515</v>
      </c>
      <c r="Q103" s="148"/>
      <c r="R103" s="153"/>
      <c r="S103" s="148"/>
    </row>
    <row r="104" spans="1:19">
      <c r="A104" s="871">
        <f t="shared" si="9"/>
        <v>93</v>
      </c>
      <c r="B104" s="832">
        <v>9260</v>
      </c>
      <c r="C104" s="211" t="s">
        <v>957</v>
      </c>
      <c r="D104" s="596">
        <f>'[11]Div 009'!C201</f>
        <v>174539.36999999988</v>
      </c>
      <c r="E104" s="596">
        <f>'[11]Div 009'!D201</f>
        <v>152249.79999999996</v>
      </c>
      <c r="F104" s="596">
        <f>'[11]Div 009'!E201</f>
        <v>185191.22000000012</v>
      </c>
      <c r="G104" s="596">
        <f>'[11]Div 009'!F201</f>
        <v>160523.91999999995</v>
      </c>
      <c r="H104" s="596">
        <f>'[11]Div 009'!G201</f>
        <v>188456.50000000003</v>
      </c>
      <c r="I104" s="596">
        <f>'[11]Div 009'!H201</f>
        <v>160942.74000000005</v>
      </c>
      <c r="J104" s="396">
        <f>VLOOKUP($B104,'[13]Div 9 forecast'!$D$518:$AF$599, 9,FALSE)</f>
        <v>161708.81371113806</v>
      </c>
      <c r="K104" s="396">
        <f>VLOOKUP($B104,'[13]Div 9 forecast'!$D$518:$AF$599,10,FALSE)</f>
        <v>175131.83863619238</v>
      </c>
      <c r="L104" s="396">
        <f>VLOOKUP($B104,'[13]Div 9 forecast'!$D$518:$AF$599, 11,FALSE)</f>
        <v>163499.9672487934</v>
      </c>
      <c r="M104" s="396">
        <f>VLOOKUP($B104,'[13]Div 9 forecast'!$D$518:$AF$599,12,FALSE)</f>
        <v>142796.48177615754</v>
      </c>
      <c r="N104" s="396">
        <f>VLOOKUP($B104,'[13]Div 9 forecast'!$D$518:$AF$599, 13,FALSE)</f>
        <v>145700.21108473931</v>
      </c>
      <c r="O104" s="396">
        <f>VLOOKUP($B104,'[13]Div 9 forecast'!$D$518:$AF$599, 14,FALSE)</f>
        <v>136624.56752368226</v>
      </c>
      <c r="P104" s="211">
        <f>SUM(D104:O104)</f>
        <v>1947365.4299807029</v>
      </c>
      <c r="Q104" s="148"/>
      <c r="R104" s="153"/>
      <c r="S104" s="148"/>
    </row>
    <row r="105" spans="1:19">
      <c r="A105" s="871">
        <f t="shared" si="9"/>
        <v>94</v>
      </c>
      <c r="B105" s="832">
        <v>9270</v>
      </c>
      <c r="C105" s="211" t="s">
        <v>958</v>
      </c>
      <c r="D105" s="596">
        <f>'[11]Div 009'!C202</f>
        <v>0</v>
      </c>
      <c r="E105" s="596">
        <f>'[11]Div 009'!D202</f>
        <v>0</v>
      </c>
      <c r="F105" s="596">
        <f>'[11]Div 009'!E202</f>
        <v>842.28</v>
      </c>
      <c r="G105" s="596">
        <f>'[11]Div 009'!F202</f>
        <v>0</v>
      </c>
      <c r="H105" s="596">
        <f>'[11]Div 009'!G202</f>
        <v>14.37</v>
      </c>
      <c r="I105" s="596">
        <f>'[11]Div 009'!H202</f>
        <v>0</v>
      </c>
      <c r="J105" s="396">
        <f>VLOOKUP($B105,'[13]Div 9 forecast'!$D$518:$AF$599, 9,FALSE)</f>
        <v>1774.8257615384764</v>
      </c>
      <c r="K105" s="396">
        <f>VLOOKUP($B105,'[13]Div 9 forecast'!$D$518:$AF$599,10,FALSE)</f>
        <v>1774.911456199769</v>
      </c>
      <c r="L105" s="396">
        <f>VLOOKUP($B105,'[13]Div 9 forecast'!$D$518:$AF$599, 11,FALSE)</f>
        <v>1775.2651268766554</v>
      </c>
      <c r="M105" s="396">
        <f>VLOOKUP($B105,'[13]Div 9 forecast'!$D$518:$AF$599,12,FALSE)</f>
        <v>82.987592800505183</v>
      </c>
      <c r="N105" s="396">
        <f>VLOOKUP($B105,'[13]Div 9 forecast'!$D$518:$AF$599, 13,FALSE)</f>
        <v>77.835902190061532</v>
      </c>
      <c r="O105" s="396">
        <f>VLOOKUP($B105,'[13]Div 9 forecast'!$D$518:$AF$599, 14,FALSE)</f>
        <v>47.88898431433725</v>
      </c>
      <c r="P105" s="211">
        <f t="shared" si="7"/>
        <v>6390.3648239198037</v>
      </c>
      <c r="Q105" s="148"/>
      <c r="R105" s="153"/>
      <c r="S105" s="148"/>
    </row>
    <row r="106" spans="1:19">
      <c r="A106" s="871">
        <f t="shared" si="9"/>
        <v>95</v>
      </c>
      <c r="B106" s="832">
        <v>9280</v>
      </c>
      <c r="C106" s="211" t="s">
        <v>959</v>
      </c>
      <c r="D106" s="596">
        <f>0</f>
        <v>0</v>
      </c>
      <c r="E106" s="596">
        <f>0</f>
        <v>0</v>
      </c>
      <c r="F106" s="596">
        <f>0</f>
        <v>0</v>
      </c>
      <c r="G106" s="596">
        <f>0</f>
        <v>0</v>
      </c>
      <c r="H106" s="596">
        <f>0</f>
        <v>0</v>
      </c>
      <c r="I106" s="596">
        <f>0</f>
        <v>0</v>
      </c>
      <c r="J106" s="396">
        <f>VLOOKUP($B106,'[13]Div 9 forecast'!$D$518:$AF$599, 9,FALSE)</f>
        <v>0</v>
      </c>
      <c r="K106" s="396">
        <f>VLOOKUP($B106,'[13]Div 9 forecast'!$D$518:$AF$599,10,FALSE)</f>
        <v>0</v>
      </c>
      <c r="L106" s="396">
        <f>VLOOKUP($B106,'[13]Div 9 forecast'!$D$518:$AF$599, 11,FALSE)</f>
        <v>0</v>
      </c>
      <c r="M106" s="396">
        <f>VLOOKUP($B106,'[13]Div 9 forecast'!$D$518:$AF$599,12,FALSE)</f>
        <v>0</v>
      </c>
      <c r="N106" s="396">
        <f>VLOOKUP($B106,'[13]Div 9 forecast'!$D$518:$AF$599, 13,FALSE)</f>
        <v>0</v>
      </c>
      <c r="O106" s="396">
        <f>VLOOKUP($B106,'[13]Div 9 forecast'!$D$518:$AF$599, 14,FALSE)</f>
        <v>0</v>
      </c>
      <c r="P106" s="211">
        <f t="shared" si="7"/>
        <v>0</v>
      </c>
      <c r="Q106" s="148"/>
      <c r="R106" s="153"/>
      <c r="S106" s="148"/>
    </row>
    <row r="107" spans="1:19">
      <c r="A107" s="871">
        <f t="shared" si="9"/>
        <v>96</v>
      </c>
      <c r="B107" s="832">
        <v>9302</v>
      </c>
      <c r="C107" s="211" t="s">
        <v>864</v>
      </c>
      <c r="D107" s="596">
        <f>'[11]Div 009'!C203</f>
        <v>12347.07</v>
      </c>
      <c r="E107" s="596">
        <f>'[11]Div 009'!D203</f>
        <v>7382.07</v>
      </c>
      <c r="F107" s="596">
        <f>'[11]Div 009'!E203</f>
        <v>8449.07</v>
      </c>
      <c r="G107" s="596">
        <f>'[11]Div 009'!F203</f>
        <v>4277.07</v>
      </c>
      <c r="H107" s="596">
        <f>'[11]Div 009'!G203</f>
        <v>14490.15</v>
      </c>
      <c r="I107" s="596">
        <f>'[11]Div 009'!H203</f>
        <v>4482.07</v>
      </c>
      <c r="J107" s="396">
        <f>VLOOKUP($B107,'[13]Div 9 forecast'!$D$518:$AF$599, 9,FALSE)</f>
        <v>1735.8813523859897</v>
      </c>
      <c r="K107" s="396">
        <f>VLOOKUP($B107,'[13]Div 9 forecast'!$D$518:$AF$599,10,FALSE)</f>
        <v>2011.8987986306272</v>
      </c>
      <c r="L107" s="396">
        <f>VLOOKUP($B107,'[13]Div 9 forecast'!$D$518:$AF$599, 11,FALSE)</f>
        <v>1723.9805109630124</v>
      </c>
      <c r="M107" s="396">
        <f>VLOOKUP($B107,'[13]Div 9 forecast'!$D$518:$AF$599,12,FALSE)</f>
        <v>10935.477996652693</v>
      </c>
      <c r="N107" s="396">
        <f>VLOOKUP($B107,'[13]Div 9 forecast'!$D$518:$AF$599, 13,FALSE)</f>
        <v>684.21630705275663</v>
      </c>
      <c r="O107" s="396">
        <f>VLOOKUP($B107,'[13]Div 9 forecast'!$D$518:$AF$599, 14,FALSE)</f>
        <v>5642.6403298598962</v>
      </c>
      <c r="P107" s="211">
        <f t="shared" ref="P107:P109" si="11">SUM(D107:O107)</f>
        <v>74161.595295544976</v>
      </c>
      <c r="Q107" s="148"/>
      <c r="R107" s="153"/>
      <c r="S107" s="148"/>
    </row>
    <row r="108" spans="1:19">
      <c r="A108" s="871">
        <f t="shared" si="9"/>
        <v>97</v>
      </c>
      <c r="B108" s="832">
        <v>9310</v>
      </c>
      <c r="C108" s="103" t="s">
        <v>185</v>
      </c>
      <c r="D108" s="596">
        <f>'[11]Div 009'!C204</f>
        <v>1283.2</v>
      </c>
      <c r="E108" s="596">
        <f>'[11]Div 009'!D204</f>
        <v>1283.2</v>
      </c>
      <c r="F108" s="596">
        <f>'[11]Div 009'!E204</f>
        <v>1283.2</v>
      </c>
      <c r="G108" s="596">
        <f>'[11]Div 009'!F204</f>
        <v>1283.2</v>
      </c>
      <c r="H108" s="596">
        <f>'[11]Div 009'!G204</f>
        <v>1304.52</v>
      </c>
      <c r="I108" s="596">
        <f>'[11]Div 009'!H204</f>
        <v>1304.52</v>
      </c>
      <c r="J108" s="396">
        <f>VLOOKUP($B108,'[13]Div 9 forecast'!$D$518:$AF$599, 9,FALSE)</f>
        <v>1143.741086048137</v>
      </c>
      <c r="K108" s="396">
        <f>VLOOKUP($B108,'[13]Div 9 forecast'!$D$518:$AF$599,10,FALSE)</f>
        <v>1147.7346200836998</v>
      </c>
      <c r="L108" s="396">
        <f>VLOOKUP($B108,'[13]Div 9 forecast'!$D$518:$AF$599, 11,FALSE)</f>
        <v>1089.2851098343008</v>
      </c>
      <c r="M108" s="396">
        <f>VLOOKUP($B108,'[13]Div 9 forecast'!$D$518:$AF$599,12,FALSE)</f>
        <v>1031.9730262605183</v>
      </c>
      <c r="N108" s="396">
        <f>VLOOKUP($B108,'[13]Div 9 forecast'!$D$518:$AF$599, 13,FALSE)</f>
        <v>1138.6707588720099</v>
      </c>
      <c r="O108" s="396">
        <f>VLOOKUP($B108,'[13]Div 9 forecast'!$D$518:$AF$599, 14,FALSE)</f>
        <v>994.05880373996285</v>
      </c>
      <c r="P108" s="211">
        <f t="shared" si="11"/>
        <v>14287.303404838631</v>
      </c>
      <c r="Q108" s="148"/>
      <c r="R108" s="153"/>
      <c r="S108" s="148"/>
    </row>
    <row r="109" spans="1:19">
      <c r="A109" s="871">
        <f t="shared" si="9"/>
        <v>98</v>
      </c>
      <c r="B109" s="832">
        <v>9320</v>
      </c>
      <c r="C109" s="80" t="s">
        <v>186</v>
      </c>
      <c r="D109" s="596">
        <f>0</f>
        <v>0</v>
      </c>
      <c r="E109" s="596">
        <f>0</f>
        <v>0</v>
      </c>
      <c r="F109" s="596">
        <f>0</f>
        <v>0</v>
      </c>
      <c r="G109" s="596">
        <f>0</f>
        <v>0</v>
      </c>
      <c r="H109" s="596">
        <f>0</f>
        <v>0</v>
      </c>
      <c r="I109" s="596">
        <f>0</f>
        <v>0</v>
      </c>
      <c r="J109" s="396">
        <f>VLOOKUP($B109,'[13]Div 9 forecast'!$D$518:$AF$599, 9,FALSE)</f>
        <v>0</v>
      </c>
      <c r="K109" s="396">
        <f>VLOOKUP($B109,'[13]Div 9 forecast'!$D$518:$AF$599,10,FALSE)</f>
        <v>0</v>
      </c>
      <c r="L109" s="396">
        <f>VLOOKUP($B109,'[13]Div 9 forecast'!$D$518:$AF$599, 11,FALSE)</f>
        <v>0</v>
      </c>
      <c r="M109" s="396">
        <f>VLOOKUP($B109,'[13]Div 9 forecast'!$D$518:$AF$599,12,FALSE)</f>
        <v>0</v>
      </c>
      <c r="N109" s="396">
        <f>VLOOKUP($B109,'[13]Div 9 forecast'!$D$518:$AF$599, 13,FALSE)</f>
        <v>0</v>
      </c>
      <c r="O109" s="396">
        <f>VLOOKUP($B109,'[13]Div 9 forecast'!$D$518:$AF$599, 14,FALSE)</f>
        <v>0</v>
      </c>
      <c r="P109" s="211">
        <f t="shared" si="11"/>
        <v>0</v>
      </c>
      <c r="Q109" s="148"/>
      <c r="R109" s="148"/>
      <c r="S109" s="148"/>
    </row>
    <row r="110" spans="1:19">
      <c r="A110" s="246">
        <f t="shared" si="9"/>
        <v>99</v>
      </c>
      <c r="B110" s="148"/>
      <c r="C110" s="14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9"/>
      <c r="P110" s="213"/>
      <c r="Q110" s="213"/>
      <c r="R110" s="213"/>
      <c r="S110" s="213"/>
    </row>
    <row r="111" spans="1:19" ht="15.75" thickBot="1">
      <c r="A111" s="246">
        <f t="shared" si="9"/>
        <v>100</v>
      </c>
      <c r="B111" s="213"/>
      <c r="C111" s="213" t="s">
        <v>741</v>
      </c>
      <c r="D111" s="215">
        <f t="shared" ref="D111:O111" si="12">SUM(D14:D110)</f>
        <v>-7658331.7099999897</v>
      </c>
      <c r="E111" s="215">
        <f t="shared" si="12"/>
        <v>-5898687.0200000051</v>
      </c>
      <c r="F111" s="215">
        <f t="shared" si="12"/>
        <v>-4089591.2500000005</v>
      </c>
      <c r="G111" s="215">
        <f t="shared" si="12"/>
        <v>-3275126.7900000024</v>
      </c>
      <c r="H111" s="215">
        <f t="shared" si="12"/>
        <v>-1785227.6200000027</v>
      </c>
      <c r="I111" s="215">
        <f t="shared" si="12"/>
        <v>-2193179.8899999997</v>
      </c>
      <c r="J111" s="788">
        <f t="shared" si="12"/>
        <v>-1554694.5023077182</v>
      </c>
      <c r="K111" s="215">
        <f t="shared" si="12"/>
        <v>-1739900.4729517763</v>
      </c>
      <c r="L111" s="215">
        <f t="shared" si="12"/>
        <v>-982556.47492014267</v>
      </c>
      <c r="M111" s="215">
        <f t="shared" si="12"/>
        <v>-2108170.0031990102</v>
      </c>
      <c r="N111" s="215">
        <f t="shared" si="12"/>
        <v>-3821225.8978346772</v>
      </c>
      <c r="O111" s="215">
        <f t="shared" si="12"/>
        <v>-5393748.9351106705</v>
      </c>
      <c r="P111" s="215">
        <f>SUM(P12:P110)</f>
        <v>-32146519.367559567</v>
      </c>
      <c r="Q111" s="216"/>
      <c r="R111" s="211"/>
      <c r="S111" s="213"/>
    </row>
    <row r="112" spans="1:19" ht="15.75" thickTop="1">
      <c r="A112" s="213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</row>
    <row r="113" spans="1:19">
      <c r="A113" s="213"/>
      <c r="B113" s="213"/>
      <c r="C113" s="213" t="s">
        <v>198</v>
      </c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R113" s="213"/>
      <c r="S113" s="213"/>
    </row>
    <row r="114" spans="1:19">
      <c r="A114" s="213"/>
      <c r="B114" s="213"/>
      <c r="C114" s="214" t="s">
        <v>1225</v>
      </c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591"/>
      <c r="P114" s="213"/>
      <c r="Q114" s="213"/>
      <c r="R114" s="213"/>
      <c r="S114" s="213"/>
    </row>
    <row r="115" spans="1:19">
      <c r="A115" s="213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P115" s="213"/>
      <c r="Q115" s="217"/>
      <c r="R115" s="213"/>
      <c r="S115" s="213"/>
    </row>
    <row r="116" spans="1:19">
      <c r="A116" s="213"/>
      <c r="B116" s="213"/>
      <c r="C116" s="213"/>
      <c r="D116" s="213"/>
      <c r="E116" s="213"/>
      <c r="F116" s="213"/>
      <c r="G116" s="213"/>
      <c r="H116" s="213"/>
      <c r="I116" s="213"/>
      <c r="J116" s="217"/>
      <c r="K116" s="217"/>
      <c r="L116" s="213"/>
      <c r="M116" s="213"/>
      <c r="N116" s="213"/>
      <c r="P116" s="80"/>
      <c r="Q116" s="80"/>
      <c r="R116" s="213"/>
      <c r="S116" s="213"/>
    </row>
    <row r="117" spans="1:19">
      <c r="A117" s="213"/>
      <c r="B117" s="213" t="s">
        <v>961</v>
      </c>
      <c r="C117" s="214"/>
      <c r="D117" s="213"/>
      <c r="E117" s="213"/>
      <c r="F117" s="217"/>
      <c r="G117" s="213"/>
      <c r="H117" s="213"/>
      <c r="I117" s="213"/>
      <c r="J117" s="217"/>
      <c r="K117" s="217"/>
      <c r="L117" s="213"/>
      <c r="M117" s="213"/>
      <c r="N117" s="213"/>
      <c r="P117" s="606"/>
      <c r="R117" s="213"/>
      <c r="S117" s="213"/>
    </row>
    <row r="118" spans="1:19">
      <c r="A118" s="213"/>
      <c r="B118" s="213" t="s">
        <v>1502</v>
      </c>
      <c r="C118" s="213"/>
      <c r="D118" s="218"/>
      <c r="E118" s="218"/>
      <c r="F118" s="218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7"/>
      <c r="R118" s="213"/>
      <c r="S118" s="213"/>
    </row>
    <row r="119" spans="1:19">
      <c r="A119" s="213"/>
      <c r="B119" s="1" t="s">
        <v>1646</v>
      </c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7"/>
      <c r="P119" s="213"/>
      <c r="Q119" s="217"/>
      <c r="R119" s="213"/>
      <c r="S119" s="213"/>
    </row>
    <row r="120" spans="1:19">
      <c r="A120" s="213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P120" s="213"/>
      <c r="Q120" s="213"/>
      <c r="R120" s="213"/>
      <c r="S120" s="213"/>
    </row>
    <row r="121" spans="1:19">
      <c r="A121" s="213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386"/>
      <c r="P121" s="217"/>
      <c r="Q121" s="213"/>
      <c r="R121" s="213"/>
      <c r="S121" s="213"/>
    </row>
    <row r="122" spans="1:19">
      <c r="A122" s="213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170"/>
      <c r="P122" s="217"/>
      <c r="Q122" s="213"/>
      <c r="R122" s="213"/>
      <c r="S122" s="213"/>
    </row>
    <row r="123" spans="1:19">
      <c r="A123" s="213"/>
      <c r="B123" s="213"/>
      <c r="C123" s="591"/>
      <c r="D123" s="718"/>
      <c r="E123" s="718"/>
      <c r="F123" s="718"/>
      <c r="G123" s="718"/>
      <c r="H123" s="718"/>
      <c r="I123" s="718"/>
      <c r="J123" s="718"/>
      <c r="K123" s="718"/>
      <c r="L123" s="213"/>
      <c r="M123" s="213"/>
      <c r="N123" s="213"/>
      <c r="O123" s="170"/>
      <c r="P123" s="217"/>
      <c r="Q123" s="213"/>
      <c r="R123" s="213"/>
      <c r="S123" s="213"/>
    </row>
    <row r="124" spans="1:19">
      <c r="A124" s="213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4"/>
      <c r="O124" s="170"/>
      <c r="P124" s="217"/>
      <c r="Q124" s="213"/>
      <c r="R124" s="213"/>
      <c r="S124" s="213"/>
    </row>
    <row r="125" spans="1:19">
      <c r="A125" s="213"/>
      <c r="B125" s="213"/>
      <c r="C125" s="591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461"/>
      <c r="P125" s="213"/>
      <c r="Q125" s="213"/>
      <c r="R125" s="213"/>
      <c r="S125" s="213"/>
    </row>
    <row r="126" spans="1:19">
      <c r="A126" s="213"/>
      <c r="B126" s="213"/>
      <c r="C126" s="92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170"/>
      <c r="P126" s="213"/>
      <c r="Q126" s="213"/>
      <c r="R126" s="213"/>
      <c r="S126" s="213"/>
    </row>
    <row r="127" spans="1:19">
      <c r="A127" s="213"/>
      <c r="B127" s="213"/>
      <c r="C127" s="92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170"/>
      <c r="P127" s="217"/>
      <c r="Q127" s="213"/>
      <c r="R127" s="213"/>
      <c r="S127" s="213"/>
    </row>
    <row r="128" spans="1:19">
      <c r="A128" s="213"/>
      <c r="B128" s="213"/>
      <c r="C128" s="92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7"/>
      <c r="P128" s="213"/>
      <c r="Q128" s="213"/>
      <c r="R128" s="213"/>
      <c r="S128" s="213"/>
    </row>
    <row r="129" spans="1:19">
      <c r="A129" s="213"/>
      <c r="B129" s="213"/>
      <c r="C129" s="92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7"/>
      <c r="P129" s="213"/>
      <c r="Q129" s="213"/>
      <c r="R129" s="213"/>
      <c r="S129" s="213"/>
    </row>
    <row r="130" spans="1:19">
      <c r="P130" s="213"/>
    </row>
    <row r="131" spans="1:19">
      <c r="P131" s="213"/>
    </row>
    <row r="132" spans="1:19">
      <c r="P132" s="213"/>
    </row>
    <row r="133" spans="1:19">
      <c r="P133" s="213"/>
    </row>
    <row r="134" spans="1:19">
      <c r="E134" s="795"/>
      <c r="F134" s="795"/>
      <c r="G134" s="795"/>
      <c r="H134" s="795"/>
      <c r="I134" s="795"/>
      <c r="J134" s="795"/>
      <c r="K134" s="795"/>
      <c r="L134" s="795"/>
      <c r="M134" s="795"/>
      <c r="N134" s="795"/>
      <c r="O134" s="795"/>
    </row>
    <row r="135" spans="1:19">
      <c r="D135" s="719"/>
      <c r="E135" s="719"/>
      <c r="F135" s="719"/>
      <c r="G135" s="719"/>
      <c r="H135" s="719"/>
      <c r="I135" s="719"/>
      <c r="J135" s="719"/>
      <c r="K135" s="719"/>
      <c r="L135" s="719"/>
      <c r="M135" s="719"/>
      <c r="N135" s="719"/>
      <c r="O135" s="719"/>
      <c r="P135" s="719"/>
    </row>
    <row r="136" spans="1:19">
      <c r="J136" s="80"/>
      <c r="K136" s="80"/>
      <c r="L136" s="80"/>
      <c r="M136" s="80"/>
      <c r="N136" s="80"/>
      <c r="O136" s="80"/>
    </row>
    <row r="137" spans="1:19">
      <c r="D137" s="720"/>
    </row>
    <row r="139" spans="1:19">
      <c r="J139" s="79"/>
    </row>
    <row r="140" spans="1:19">
      <c r="E140" s="795"/>
      <c r="F140" s="795"/>
      <c r="G140" s="795"/>
      <c r="H140" s="795"/>
      <c r="I140" s="795"/>
      <c r="J140" s="795"/>
    </row>
    <row r="141" spans="1:19">
      <c r="C141" s="591"/>
    </row>
  </sheetData>
  <mergeCells count="4">
    <mergeCell ref="A1:P1"/>
    <mergeCell ref="A2:P2"/>
    <mergeCell ref="A3:P3"/>
    <mergeCell ref="A4:P4"/>
  </mergeCells>
  <phoneticPr fontId="22" type="noConversion"/>
  <printOptions horizontalCentered="1"/>
  <pageMargins left="0.5" right="0.5" top="0.75" bottom="0.75" header="0.5" footer="0.25"/>
  <pageSetup scale="49" fitToHeight="2" orientation="landscape" verticalDpi="300" r:id="rId1"/>
  <headerFooter alignWithMargins="0">
    <oddFooter>&amp;RSchedule &amp;A
Page &amp;P of &amp;N</oddFooter>
  </headerFooter>
  <ignoredErrors>
    <ignoredError sqref="K100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R63"/>
  <sheetViews>
    <sheetView view="pageBreakPreview" zoomScale="60" zoomScaleNormal="70" workbookViewId="0">
      <pane xSplit="3" ySplit="11" topLeftCell="D12" activePane="bottomRight" state="frozen"/>
      <selection activeCell="F55" sqref="F55"/>
      <selection pane="topRight" activeCell="F55" sqref="F55"/>
      <selection pane="bottomLeft" activeCell="F55" sqref="F55"/>
      <selection pane="bottomRight" activeCell="O59" sqref="O59"/>
    </sheetView>
  </sheetViews>
  <sheetFormatPr defaultColWidth="7.109375" defaultRowHeight="15"/>
  <cols>
    <col min="1" max="1" width="4.6640625" style="80" customWidth="1"/>
    <col min="2" max="2" width="6.6640625" style="80" customWidth="1"/>
    <col min="3" max="3" width="38.88671875" style="80" customWidth="1"/>
    <col min="4" max="5" width="13.109375" style="80" bestFit="1" customWidth="1"/>
    <col min="6" max="6" width="11.44140625" style="80" customWidth="1"/>
    <col min="7" max="8" width="13.109375" style="80" bestFit="1" customWidth="1"/>
    <col min="9" max="9" width="11.109375" style="80" customWidth="1"/>
    <col min="10" max="10" width="11.6640625" style="80" customWidth="1"/>
    <col min="11" max="14" width="13.109375" style="80" bestFit="1" customWidth="1"/>
    <col min="15" max="15" width="12.44140625" style="80" customWidth="1"/>
    <col min="16" max="16" width="14.109375" style="80" bestFit="1" customWidth="1"/>
    <col min="17" max="17" width="9.109375" style="80" customWidth="1"/>
    <col min="18" max="18" width="12.5546875" style="80" customWidth="1"/>
    <col min="19" max="22" width="7.109375" style="80"/>
    <col min="23" max="23" width="11.33203125" style="80" customWidth="1"/>
    <col min="24" max="24" width="12.5546875" style="80" customWidth="1"/>
    <col min="25" max="16384" width="7.109375" style="80"/>
  </cols>
  <sheetData>
    <row r="1" spans="1:18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1190"/>
      <c r="Q1" s="81"/>
    </row>
    <row r="2" spans="1:18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81"/>
    </row>
    <row r="3" spans="1:18" ht="15.75">
      <c r="A3" s="1190" t="s">
        <v>187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81"/>
    </row>
    <row r="4" spans="1:18">
      <c r="A4" s="1190" t="str">
        <f>'Table of Contents'!A3:C3</f>
        <v>Base Period: Twelve Months Ended December 31, 2017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96"/>
    </row>
    <row r="5" spans="1:18">
      <c r="A5" s="81"/>
      <c r="B5" s="150"/>
      <c r="C5" s="150"/>
      <c r="D5" s="150"/>
      <c r="E5" s="150"/>
      <c r="F5" s="150"/>
      <c r="G5" s="873"/>
      <c r="H5" s="670"/>
      <c r="I5" s="202"/>
      <c r="J5" s="202"/>
      <c r="K5" s="202"/>
      <c r="L5" s="202"/>
      <c r="M5" s="202"/>
      <c r="N5" s="202"/>
      <c r="O5" s="202"/>
      <c r="P5" s="196"/>
      <c r="Q5" s="196"/>
    </row>
    <row r="6" spans="1:18" ht="15.75">
      <c r="A6" s="232" t="str">
        <f>'C.2.2 B 09'!A6</f>
        <v>Data:___X____Base Period________Forecasted Period</v>
      </c>
      <c r="B6" s="196"/>
      <c r="C6" s="232"/>
      <c r="D6" s="196"/>
      <c r="E6" s="196"/>
      <c r="F6" s="196"/>
      <c r="G6" s="196"/>
      <c r="H6" s="874"/>
      <c r="I6" s="196"/>
      <c r="K6" s="875"/>
      <c r="L6" s="196"/>
      <c r="M6" s="196"/>
      <c r="N6" s="202"/>
      <c r="O6" s="202"/>
      <c r="P6" s="504" t="s">
        <v>1454</v>
      </c>
      <c r="Q6" s="196"/>
    </row>
    <row r="7" spans="1:18">
      <c r="A7" s="232" t="str">
        <f>'C.2.2 B 09'!A7</f>
        <v>Type of Filing:___X____Original________Updated ________Revised</v>
      </c>
      <c r="B7" s="196"/>
      <c r="C7" s="232"/>
      <c r="D7" s="196"/>
      <c r="E7" s="670"/>
      <c r="F7" s="196"/>
      <c r="G7" s="196"/>
      <c r="H7" s="196"/>
      <c r="I7" s="196"/>
      <c r="J7" s="196"/>
      <c r="K7" s="196"/>
      <c r="L7" s="196"/>
      <c r="M7" s="196"/>
      <c r="N7" s="202"/>
      <c r="O7" s="202"/>
      <c r="P7" s="505" t="s">
        <v>38</v>
      </c>
      <c r="Q7" s="196"/>
    </row>
    <row r="8" spans="1:18">
      <c r="A8" s="232" t="str">
        <f>'C.2.2 B 09'!A8</f>
        <v>Workpaper Reference No(s).____________________</v>
      </c>
      <c r="B8" s="236"/>
      <c r="C8" s="876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6"/>
      <c r="P8" s="506" t="str">
        <f>C.1!J9</f>
        <v>Witness: Waller, Martin</v>
      </c>
      <c r="Q8" s="196"/>
    </row>
    <row r="9" spans="1:18">
      <c r="A9" s="864" t="s">
        <v>94</v>
      </c>
      <c r="B9" s="865" t="s">
        <v>101</v>
      </c>
      <c r="C9" s="866"/>
      <c r="D9" s="294" t="str">
        <f>'C.2.2 B 09'!D9</f>
        <v>actual</v>
      </c>
      <c r="E9" s="294" t="str">
        <f>'C.2.2 B 09'!F9</f>
        <v>actual</v>
      </c>
      <c r="F9" s="294" t="str">
        <f>'C.2.2 B 09'!F9</f>
        <v>actual</v>
      </c>
      <c r="G9" s="294" t="str">
        <f>'C.2.2 B 09'!G9</f>
        <v>actual</v>
      </c>
      <c r="H9" s="294" t="str">
        <f>'C.2.2 B 09'!H9</f>
        <v>actual</v>
      </c>
      <c r="I9" s="294" t="str">
        <f>'C.2.2 B 09'!I9</f>
        <v>actual</v>
      </c>
      <c r="J9" s="294" t="str">
        <f>'C.2.2 B 09'!J9</f>
        <v>Forecasted</v>
      </c>
      <c r="K9" s="294" t="str">
        <f>'C.2.2 B 09'!K9</f>
        <v>Forecasted</v>
      </c>
      <c r="L9" s="294" t="str">
        <f>'C.2.2 B 09'!L9</f>
        <v>Forecasted</v>
      </c>
      <c r="M9" s="294" t="str">
        <f>'C.2.2 B 09'!M9</f>
        <v>Budgeted</v>
      </c>
      <c r="N9" s="294" t="str">
        <f>'C.2.2 B 09'!N9</f>
        <v>Budgeted</v>
      </c>
      <c r="O9" s="294" t="str">
        <f>'C.2.2 B 09'!O9</f>
        <v>Budgeted</v>
      </c>
      <c r="P9" s="877"/>
      <c r="Q9" s="211"/>
    </row>
    <row r="10" spans="1:18">
      <c r="A10" s="867" t="s">
        <v>100</v>
      </c>
      <c r="B10" s="868" t="s">
        <v>100</v>
      </c>
      <c r="C10" s="869" t="s">
        <v>960</v>
      </c>
      <c r="D10" s="208">
        <f>'C.2.2 B 09'!D10</f>
        <v>42736</v>
      </c>
      <c r="E10" s="208">
        <f>'C.2.2 B 09'!F10</f>
        <v>42795</v>
      </c>
      <c r="F10" s="208">
        <f>'C.2.2 B 09'!F10</f>
        <v>42795</v>
      </c>
      <c r="G10" s="208">
        <f>'C.2.2 B 09'!G10</f>
        <v>42826</v>
      </c>
      <c r="H10" s="208">
        <f>'C.2.2 B 09'!H10</f>
        <v>42856</v>
      </c>
      <c r="I10" s="208">
        <f>'C.2.2 B 09'!I10</f>
        <v>42887</v>
      </c>
      <c r="J10" s="208">
        <f>'C.2.2 B 09'!J10</f>
        <v>42917</v>
      </c>
      <c r="K10" s="208">
        <f>'C.2.2 B 09'!K10</f>
        <v>42948</v>
      </c>
      <c r="L10" s="208">
        <f>'C.2.2 B 09'!L10</f>
        <v>42979</v>
      </c>
      <c r="M10" s="208">
        <f>'C.2.2 B 09'!M10</f>
        <v>43009</v>
      </c>
      <c r="N10" s="208">
        <f>'C.2.2 B 09'!N10</f>
        <v>43040</v>
      </c>
      <c r="O10" s="208">
        <f>'C.2.2 B 09'!O10</f>
        <v>43070</v>
      </c>
      <c r="P10" s="208" t="str">
        <f>'C.2.2 B 09'!P10</f>
        <v>Total</v>
      </c>
      <c r="Q10" s="211"/>
    </row>
    <row r="11" spans="1:18">
      <c r="A11" s="196"/>
      <c r="B11" s="196"/>
      <c r="C11" s="196"/>
      <c r="D11" s="210" t="s">
        <v>147</v>
      </c>
      <c r="E11" s="210" t="s">
        <v>147</v>
      </c>
      <c r="F11" s="210" t="s">
        <v>147</v>
      </c>
      <c r="G11" s="210" t="s">
        <v>147</v>
      </c>
      <c r="H11" s="210" t="s">
        <v>147</v>
      </c>
      <c r="I11" s="210" t="s">
        <v>147</v>
      </c>
      <c r="J11" s="210" t="s">
        <v>147</v>
      </c>
      <c r="K11" s="210" t="s">
        <v>147</v>
      </c>
      <c r="L11" s="210" t="s">
        <v>147</v>
      </c>
      <c r="M11" s="210" t="s">
        <v>147</v>
      </c>
      <c r="N11" s="210" t="s">
        <v>147</v>
      </c>
      <c r="O11" s="210" t="s">
        <v>147</v>
      </c>
      <c r="P11" s="210" t="s">
        <v>147</v>
      </c>
      <c r="Q11" s="211"/>
    </row>
    <row r="12" spans="1:18">
      <c r="A12" s="196"/>
      <c r="B12" s="832" t="s">
        <v>740</v>
      </c>
      <c r="C12" s="103" t="s">
        <v>731</v>
      </c>
      <c r="D12" s="596">
        <f>SUM('[11]Div 002'!C49:C50)</f>
        <v>-273263.57000000007</v>
      </c>
      <c r="E12" s="596">
        <f>SUM('[11]Div 002'!D49:D50)</f>
        <v>-98036.37</v>
      </c>
      <c r="F12" s="596">
        <f>SUM('[11]Div 002'!E49:E50)</f>
        <v>819269.8599999994</v>
      </c>
      <c r="G12" s="596">
        <f>SUM('[11]Div 002'!F49:F50)</f>
        <v>1343143.58</v>
      </c>
      <c r="H12" s="596">
        <f>SUM('[11]Div 002'!G49:G50)</f>
        <v>-712768.66</v>
      </c>
      <c r="I12" s="596">
        <f>SUM('[11]Div 002'!H49:H50)</f>
        <v>-257808.63000000082</v>
      </c>
      <c r="J12" s="596"/>
      <c r="K12" s="596"/>
      <c r="L12" s="596"/>
      <c r="M12" s="596"/>
      <c r="N12" s="596"/>
      <c r="O12" s="596"/>
      <c r="P12" s="211">
        <f t="shared" ref="P12:P13" si="0">SUM(D12:O12)</f>
        <v>820536.20999999857</v>
      </c>
      <c r="Q12" s="211"/>
      <c r="R12" s="690"/>
    </row>
    <row r="13" spans="1:18">
      <c r="A13" s="196"/>
      <c r="B13" s="196"/>
      <c r="C13" s="196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1">
        <f t="shared" si="0"/>
        <v>0</v>
      </c>
      <c r="Q13" s="211"/>
    </row>
    <row r="14" spans="1:18">
      <c r="A14" s="459">
        <v>1</v>
      </c>
      <c r="B14" s="832">
        <v>4030</v>
      </c>
      <c r="C14" s="196" t="s">
        <v>92</v>
      </c>
      <c r="D14" s="596">
        <f>'[11]Div 002'!C47</f>
        <v>7.2759576141834259E-11</v>
      </c>
      <c r="E14" s="596">
        <f>'[11]Div 002'!D47</f>
        <v>8.7311491370201111E-11</v>
      </c>
      <c r="F14" s="596">
        <f>'[11]Div 002'!E47</f>
        <v>0</v>
      </c>
      <c r="G14" s="596">
        <f>'[11]Div 002'!F47</f>
        <v>-2.9103830456733704E-11</v>
      </c>
      <c r="H14" s="596">
        <f>'[11]Div 002'!G47</f>
        <v>4.3655745685100555E-11</v>
      </c>
      <c r="I14" s="596">
        <f>'[11]Div 002'!H47</f>
        <v>-2.3283064365386963E-10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211">
        <f>SUM(D14:O14)</f>
        <v>-5.8207660913467407E-11</v>
      </c>
      <c r="Q14" s="670"/>
      <c r="R14" s="690"/>
    </row>
    <row r="15" spans="1:18">
      <c r="A15" s="459">
        <f>A14+1</f>
        <v>2</v>
      </c>
      <c r="B15" s="364">
        <v>4081</v>
      </c>
      <c r="C15" s="211" t="s">
        <v>869</v>
      </c>
      <c r="D15" s="596">
        <f>'[11]Div 002'!C48</f>
        <v>2.0000000036361598E-2</v>
      </c>
      <c r="E15" s="596">
        <f>'[11]Div 002'!D48</f>
        <v>1.9999999945866875E-2</v>
      </c>
      <c r="F15" s="596">
        <f>'[11]Div 002'!E48</f>
        <v>1.0000000049330993E-2</v>
      </c>
      <c r="G15" s="596">
        <f>'[11]Div 002'!F48</f>
        <v>-2327847.38</v>
      </c>
      <c r="H15" s="596">
        <f>'[11]Div 002'!G48</f>
        <v>2327847.3600000003</v>
      </c>
      <c r="I15" s="596">
        <f>'[11]Div 002'!H48</f>
        <v>180543.63</v>
      </c>
      <c r="J15" s="596">
        <v>0</v>
      </c>
      <c r="K15" s="596">
        <v>0</v>
      </c>
      <c r="L15" s="596">
        <v>0</v>
      </c>
      <c r="M15" s="596">
        <v>0</v>
      </c>
      <c r="N15" s="596">
        <v>0</v>
      </c>
      <c r="O15" s="596">
        <v>0</v>
      </c>
      <c r="P15" s="211">
        <f>SUM(D15:O15)</f>
        <v>180543.66000000027</v>
      </c>
      <c r="Q15" s="670"/>
    </row>
    <row r="16" spans="1:18">
      <c r="A16" s="459"/>
      <c r="B16" s="364">
        <v>8210</v>
      </c>
      <c r="C16" s="103" t="s">
        <v>898</v>
      </c>
      <c r="D16" s="596">
        <f>'[11]Div 002'!C62</f>
        <v>0</v>
      </c>
      <c r="E16" s="596">
        <f>'[11]Div 002'!D62</f>
        <v>1500</v>
      </c>
      <c r="F16" s="596">
        <f>'[11]Div 002'!E62</f>
        <v>0</v>
      </c>
      <c r="G16" s="596">
        <f>'[11]Div 002'!F62</f>
        <v>0</v>
      </c>
      <c r="H16" s="596">
        <f>'[11]Div 002'!G62</f>
        <v>0</v>
      </c>
      <c r="I16" s="596">
        <f>'[11]Div 002'!H62</f>
        <v>0</v>
      </c>
      <c r="J16" s="596">
        <f>VLOOKUP($B16, '[13]Div 2 forecast'!$D$290:$AF$366,J$51,FALSE)</f>
        <v>423.5462956128523</v>
      </c>
      <c r="K16" s="596">
        <f>VLOOKUP($B16, '[13]Div 2 forecast'!$D$290:$AF$366,K$51,FALSE)</f>
        <v>411.62308828801838</v>
      </c>
      <c r="L16" s="596">
        <f>VLOOKUP($B16, '[13]Div 2 forecast'!$D$290:$AF$366,L$51,FALSE)</f>
        <v>476.62346960814978</v>
      </c>
      <c r="M16" s="596">
        <f>VLOOKUP($B16, '[13]Div 2 forecast'!$D$290:$AF$366,M$51,FALSE)</f>
        <v>470.91723151957916</v>
      </c>
      <c r="N16" s="596">
        <f>VLOOKUP($B16, '[13]Div 2 forecast'!$D$290:$AF$366,N$51,FALSE)</f>
        <v>414.64895633508735</v>
      </c>
      <c r="O16" s="596">
        <f>VLOOKUP($B16, '[13]Div 2 forecast'!$D$290:$AF$366,O$51,FALSE)</f>
        <v>452.31893526110503</v>
      </c>
      <c r="P16" s="211">
        <f>SUM(D16:O16)</f>
        <v>4149.6779766247919</v>
      </c>
      <c r="Q16" s="670"/>
    </row>
    <row r="17" spans="1:17">
      <c r="A17" s="459">
        <f>A15+1</f>
        <v>3</v>
      </c>
      <c r="B17" s="364">
        <v>8560</v>
      </c>
      <c r="C17" s="211" t="s">
        <v>917</v>
      </c>
      <c r="D17" s="596">
        <f>0</f>
        <v>0</v>
      </c>
      <c r="E17" s="596">
        <f>0</f>
        <v>0</v>
      </c>
      <c r="F17" s="596">
        <f>0</f>
        <v>0</v>
      </c>
      <c r="G17" s="596">
        <f>0</f>
        <v>0</v>
      </c>
      <c r="H17" s="596">
        <f>0</f>
        <v>0</v>
      </c>
      <c r="I17" s="596">
        <f>0</f>
        <v>0</v>
      </c>
      <c r="J17" s="596">
        <f>VLOOKUP($B17, '[13]Div 2 forecast'!$D$290:$AF$366,J$51,FALSE)</f>
        <v>0</v>
      </c>
      <c r="K17" s="596">
        <f>VLOOKUP($B17, '[13]Div 2 forecast'!$D$290:$AF$366,K$51,FALSE)</f>
        <v>0</v>
      </c>
      <c r="L17" s="596">
        <f>VLOOKUP($B17, '[13]Div 2 forecast'!$D$290:$AF$366,L$51,FALSE)</f>
        <v>0</v>
      </c>
      <c r="M17" s="596">
        <f>VLOOKUP($B17, '[13]Div 2 forecast'!$D$290:$AF$366,M$51,FALSE)</f>
        <v>0</v>
      </c>
      <c r="N17" s="596">
        <f>VLOOKUP($B17, '[13]Div 2 forecast'!$D$290:$AF$366,N$51,FALSE)</f>
        <v>0</v>
      </c>
      <c r="O17" s="596">
        <f>VLOOKUP($B17, '[13]Div 2 forecast'!$D$290:$AF$366,O$51,FALSE)</f>
        <v>0</v>
      </c>
      <c r="P17" s="211">
        <f t="shared" ref="P17:P37" si="1">SUM(D17:O17)</f>
        <v>0</v>
      </c>
      <c r="Q17" s="211"/>
    </row>
    <row r="18" spans="1:17">
      <c r="A18" s="459">
        <f t="shared" ref="A18:A42" si="2">A17+1</f>
        <v>4</v>
      </c>
      <c r="B18" s="364">
        <v>8700</v>
      </c>
      <c r="C18" s="211" t="s">
        <v>921</v>
      </c>
      <c r="D18" s="596">
        <f>'[11]Div 002'!C63</f>
        <v>280.74</v>
      </c>
      <c r="E18" s="596">
        <f>'[11]Div 002'!D63</f>
        <v>365.24000000000012</v>
      </c>
      <c r="F18" s="596">
        <f>'[11]Div 002'!E63</f>
        <v>155.97</v>
      </c>
      <c r="G18" s="596">
        <f>'[11]Div 002'!F63</f>
        <v>155.97</v>
      </c>
      <c r="H18" s="596">
        <f>'[11]Div 002'!G63</f>
        <v>155.97</v>
      </c>
      <c r="I18" s="596">
        <f>'[11]Div 002'!H63</f>
        <v>616.26</v>
      </c>
      <c r="J18" s="596">
        <f>VLOOKUP($B18, '[13]Div 2 forecast'!$D$290:$AF$366,J$51,FALSE)</f>
        <v>516.82248540474279</v>
      </c>
      <c r="K18" s="596">
        <f>VLOOKUP($B18, '[13]Div 2 forecast'!$D$290:$AF$366,K$51,FALSE)</f>
        <v>506.5946760659059</v>
      </c>
      <c r="L18" s="596">
        <f>VLOOKUP($B18, '[13]Div 2 forecast'!$D$290:$AF$366,L$51,FALSE)</f>
        <v>509.09226698556967</v>
      </c>
      <c r="M18" s="596">
        <f>VLOOKUP($B18, '[13]Div 2 forecast'!$D$290:$AF$366,M$51,FALSE)</f>
        <v>513.81746954601999</v>
      </c>
      <c r="N18" s="596">
        <f>VLOOKUP($B18, '[13]Div 2 forecast'!$D$290:$AF$366,N$51,FALSE)</f>
        <v>506.57359624599889</v>
      </c>
      <c r="O18" s="596">
        <f>VLOOKUP($B18, '[13]Div 2 forecast'!$D$290:$AF$366,O$51,FALSE)</f>
        <v>507.23532928866837</v>
      </c>
      <c r="P18" s="211">
        <f t="shared" si="1"/>
        <v>4790.2858235369049</v>
      </c>
      <c r="Q18" s="211"/>
    </row>
    <row r="19" spans="1:17">
      <c r="A19" s="459">
        <f t="shared" si="2"/>
        <v>5</v>
      </c>
      <c r="B19" s="364">
        <v>8740</v>
      </c>
      <c r="C19" s="211" t="s">
        <v>923</v>
      </c>
      <c r="D19" s="596">
        <f>'[11]Div 002'!C64</f>
        <v>1954.3399999999997</v>
      </c>
      <c r="E19" s="596">
        <f>'[11]Div 002'!D64</f>
        <v>-7920.6399999999994</v>
      </c>
      <c r="F19" s="596">
        <f>'[11]Div 002'!E64</f>
        <v>4035.44</v>
      </c>
      <c r="G19" s="596">
        <f>'[11]Div 002'!F64</f>
        <v>4414.1499999999996</v>
      </c>
      <c r="H19" s="596">
        <f>'[11]Div 002'!G64</f>
        <v>16.680000000000177</v>
      </c>
      <c r="I19" s="596">
        <f>'[11]Div 002'!H64</f>
        <v>10987</v>
      </c>
      <c r="J19" s="596">
        <f>VLOOKUP($B19, '[13]Div 2 forecast'!$D$290:$AF$366,J$51,FALSE)</f>
        <v>5378.8344939404551</v>
      </c>
      <c r="K19" s="596">
        <f>VLOOKUP($B19, '[13]Div 2 forecast'!$D$290:$AF$366,K$51,FALSE)</f>
        <v>5377.8217065185236</v>
      </c>
      <c r="L19" s="596">
        <f>VLOOKUP($B19, '[13]Div 2 forecast'!$D$290:$AF$366,L$51,FALSE)</f>
        <v>5384.124898112741</v>
      </c>
      <c r="M19" s="596">
        <f>VLOOKUP($B19, '[13]Div 2 forecast'!$D$290:$AF$366,M$51,FALSE)</f>
        <v>4744.3711112690626</v>
      </c>
      <c r="N19" s="596">
        <f>VLOOKUP($B19, '[13]Div 2 forecast'!$D$290:$AF$366,N$51,FALSE)</f>
        <v>4744.1859430476197</v>
      </c>
      <c r="O19" s="596">
        <f>VLOOKUP($B19, '[13]Div 2 forecast'!$D$290:$AF$366,O$51,FALSE)</f>
        <v>4744.2454274134461</v>
      </c>
      <c r="P19" s="211">
        <f t="shared" si="1"/>
        <v>43860.55358030185</v>
      </c>
      <c r="Q19" s="211"/>
    </row>
    <row r="20" spans="1:17">
      <c r="A20" s="459">
        <f t="shared" si="2"/>
        <v>6</v>
      </c>
      <c r="B20" s="364">
        <v>8780</v>
      </c>
      <c r="C20" s="211" t="s">
        <v>927</v>
      </c>
      <c r="D20" s="596">
        <f>0</f>
        <v>0</v>
      </c>
      <c r="E20" s="596">
        <f>0</f>
        <v>0</v>
      </c>
      <c r="F20" s="596">
        <f>0</f>
        <v>0</v>
      </c>
      <c r="G20" s="596">
        <f>0</f>
        <v>0</v>
      </c>
      <c r="H20" s="596">
        <f>0</f>
        <v>0</v>
      </c>
      <c r="I20" s="596">
        <f>0</f>
        <v>0</v>
      </c>
      <c r="J20" s="596">
        <f>VLOOKUP($B20, '[13]Div 2 forecast'!$D$290:$AF$366,J$51,FALSE)</f>
        <v>0</v>
      </c>
      <c r="K20" s="596">
        <f>VLOOKUP($B20, '[13]Div 2 forecast'!$D$290:$AF$366,K$51,FALSE)</f>
        <v>0</v>
      </c>
      <c r="L20" s="596">
        <f>VLOOKUP($B20, '[13]Div 2 forecast'!$D$290:$AF$366,L$51,FALSE)</f>
        <v>0</v>
      </c>
      <c r="M20" s="596">
        <f>VLOOKUP($B20, '[13]Div 2 forecast'!$D$290:$AF$366,M$51,FALSE)</f>
        <v>0</v>
      </c>
      <c r="N20" s="596">
        <f>VLOOKUP($B20, '[13]Div 2 forecast'!$D$290:$AF$366,N$51,FALSE)</f>
        <v>0</v>
      </c>
      <c r="O20" s="596">
        <f>VLOOKUP($B20, '[13]Div 2 forecast'!$D$290:$AF$366,O$51,FALSE)</f>
        <v>0</v>
      </c>
      <c r="P20" s="211">
        <f t="shared" si="1"/>
        <v>0</v>
      </c>
      <c r="Q20" s="211"/>
    </row>
    <row r="21" spans="1:17">
      <c r="A21" s="459">
        <f t="shared" si="2"/>
        <v>7</v>
      </c>
      <c r="B21" s="364">
        <v>8800</v>
      </c>
      <c r="C21" s="211" t="s">
        <v>929</v>
      </c>
      <c r="D21" s="596">
        <f>'[11]Div 002'!C65</f>
        <v>89.61</v>
      </c>
      <c r="E21" s="596">
        <f>'[11]Div 002'!D65</f>
        <v>7.39</v>
      </c>
      <c r="F21" s="596">
        <f>'[11]Div 002'!E65</f>
        <v>0</v>
      </c>
      <c r="G21" s="596">
        <f>'[11]Div 002'!F65</f>
        <v>0</v>
      </c>
      <c r="H21" s="596">
        <f>'[11]Div 002'!G65</f>
        <v>0</v>
      </c>
      <c r="I21" s="596">
        <f>'[11]Div 002'!H65</f>
        <v>0</v>
      </c>
      <c r="J21" s="596">
        <f>VLOOKUP($B21, '[13]Div 2 forecast'!$D$290:$AF$366,J$51,FALSE)</f>
        <v>18.36829697765009</v>
      </c>
      <c r="K21" s="596">
        <f>VLOOKUP($B21, '[13]Div 2 forecast'!$D$290:$AF$366,K$51,FALSE)</f>
        <v>17.438991308389586</v>
      </c>
      <c r="L21" s="596">
        <f>VLOOKUP($B21, '[13]Div 2 forecast'!$D$290:$AF$366,L$51,FALSE)</f>
        <v>236.1171342155034</v>
      </c>
      <c r="M21" s="596">
        <f>VLOOKUP($B21, '[13]Div 2 forecast'!$D$290:$AF$366,M$51,FALSE)</f>
        <v>18.78563811721375</v>
      </c>
      <c r="N21" s="596">
        <f>VLOOKUP($B21, '[13]Div 2 forecast'!$D$290:$AF$366,N$51,FALSE)</f>
        <v>18.85924639169987</v>
      </c>
      <c r="O21" s="596">
        <f>VLOOKUP($B21, '[13]Div 2 forecast'!$D$290:$AF$366,O$51,FALSE)</f>
        <v>19.790766511887888</v>
      </c>
      <c r="P21" s="211">
        <f t="shared" si="1"/>
        <v>426.36007352234458</v>
      </c>
      <c r="Q21" s="211"/>
    </row>
    <row r="22" spans="1:17">
      <c r="A22" s="459">
        <f t="shared" si="2"/>
        <v>8</v>
      </c>
      <c r="B22" s="364">
        <v>8900</v>
      </c>
      <c r="C22" s="80" t="s">
        <v>935</v>
      </c>
      <c r="D22" s="596">
        <f>'[11]Div 002'!C66</f>
        <v>0</v>
      </c>
      <c r="E22" s="596">
        <f>'[11]Div 002'!D66</f>
        <v>0</v>
      </c>
      <c r="F22" s="596">
        <f>'[11]Div 002'!E66</f>
        <v>248.29</v>
      </c>
      <c r="G22" s="596">
        <f>'[11]Div 002'!F66</f>
        <v>0</v>
      </c>
      <c r="H22" s="596">
        <f>'[11]Div 002'!G66</f>
        <v>0</v>
      </c>
      <c r="I22" s="596">
        <f>'[11]Div 002'!H66</f>
        <v>0</v>
      </c>
      <c r="J22" s="596">
        <f>VLOOKUP($B22, '[13]Div 2 forecast'!$D$290:$AF$366,J$51,FALSE)</f>
        <v>50.602862814680002</v>
      </c>
      <c r="K22" s="596">
        <f>VLOOKUP($B22, '[13]Div 2 forecast'!$D$290:$AF$366,K$51,FALSE)</f>
        <v>50.952118959891742</v>
      </c>
      <c r="L22" s="596">
        <f>VLOOKUP($B22, '[13]Div 2 forecast'!$D$290:$AF$366,L$51,FALSE)</f>
        <v>50.324503923571136</v>
      </c>
      <c r="M22" s="596">
        <f>VLOOKUP($B22, '[13]Div 2 forecast'!$D$290:$AF$366,M$51,FALSE)</f>
        <v>52.488036317314069</v>
      </c>
      <c r="N22" s="596">
        <f>VLOOKUP($B22, '[13]Div 2 forecast'!$D$290:$AF$366,N$51,FALSE)</f>
        <v>52.053354792158686</v>
      </c>
      <c r="O22" s="596">
        <f>VLOOKUP($B22, '[13]Div 2 forecast'!$D$290:$AF$366,O$51,FALSE)</f>
        <v>51.845893155152702</v>
      </c>
      <c r="P22" s="211">
        <f t="shared" si="1"/>
        <v>556.55676996276827</v>
      </c>
      <c r="Q22" s="211"/>
    </row>
    <row r="23" spans="1:17">
      <c r="A23" s="459">
        <f t="shared" si="2"/>
        <v>9</v>
      </c>
      <c r="B23" s="364">
        <v>9010</v>
      </c>
      <c r="C23" s="211" t="s">
        <v>182</v>
      </c>
      <c r="D23" s="596">
        <f>'[11]Div 002'!C67</f>
        <v>0</v>
      </c>
      <c r="E23" s="596">
        <f>'[11]Div 002'!D67</f>
        <v>0</v>
      </c>
      <c r="F23" s="596">
        <f>'[11]Div 002'!E67</f>
        <v>0</v>
      </c>
      <c r="G23" s="596">
        <f>'[11]Div 002'!F67</f>
        <v>4879.2</v>
      </c>
      <c r="H23" s="596">
        <f>'[11]Div 002'!G67</f>
        <v>0</v>
      </c>
      <c r="I23" s="596">
        <f>'[11]Div 002'!H67</f>
        <v>0</v>
      </c>
      <c r="J23" s="596">
        <f>VLOOKUP($B23, '[13]Div 2 forecast'!$D$290:$AF$366,J$51,FALSE)</f>
        <v>1356.7392632040005</v>
      </c>
      <c r="K23" s="596">
        <f>VLOOKUP($B23, '[13]Div 2 forecast'!$D$290:$AF$366,K$51,FALSE)</f>
        <v>1300.0119606804649</v>
      </c>
      <c r="L23" s="596">
        <f>VLOOKUP($B23, '[13]Div 2 forecast'!$D$290:$AF$366,L$51,FALSE)</f>
        <v>1500.8050317341265</v>
      </c>
      <c r="M23" s="596">
        <f>VLOOKUP($B23, '[13]Div 2 forecast'!$D$290:$AF$366,M$51,FALSE)</f>
        <v>1489.0660069452254</v>
      </c>
      <c r="N23" s="596">
        <f>VLOOKUP($B23, '[13]Div 2 forecast'!$D$290:$AF$366,N$51,FALSE)</f>
        <v>1319.3353415886788</v>
      </c>
      <c r="O23" s="596">
        <f>VLOOKUP($B23, '[13]Div 2 forecast'!$D$290:$AF$366,O$51,FALSE)</f>
        <v>1434.3382072361674</v>
      </c>
      <c r="P23" s="211">
        <f t="shared" si="1"/>
        <v>13279.495811388664</v>
      </c>
      <c r="Q23" s="211"/>
    </row>
    <row r="24" spans="1:17">
      <c r="A24" s="459">
        <f t="shared" si="2"/>
        <v>10</v>
      </c>
      <c r="B24" s="364">
        <v>9030</v>
      </c>
      <c r="C24" s="211" t="s">
        <v>945</v>
      </c>
      <c r="D24" s="596">
        <f>'[11]Div 002'!C68</f>
        <v>123041.54999999999</v>
      </c>
      <c r="E24" s="596">
        <f>'[11]Div 002'!D68</f>
        <v>78422.819999999992</v>
      </c>
      <c r="F24" s="596">
        <f>'[11]Div 002'!E68</f>
        <v>-46797.619999999995</v>
      </c>
      <c r="G24" s="596">
        <f>'[11]Div 002'!F68</f>
        <v>5338.03</v>
      </c>
      <c r="H24" s="596">
        <f>'[11]Div 002'!G68</f>
        <v>4231.3500000000004</v>
      </c>
      <c r="I24" s="596">
        <f>'[11]Div 002'!H68</f>
        <v>5818.82</v>
      </c>
      <c r="J24" s="596">
        <f>VLOOKUP($B24, '[13]Div 2 forecast'!$D$290:$AF$366,J$51,FALSE)</f>
        <v>24390.307286407624</v>
      </c>
      <c r="K24" s="596">
        <f>VLOOKUP($B24, '[13]Div 2 forecast'!$D$290:$AF$366,K$51,FALSE)</f>
        <v>26731.579064976118</v>
      </c>
      <c r="L24" s="596">
        <f>VLOOKUP($B24, '[13]Div 2 forecast'!$D$290:$AF$366,L$51,FALSE)</f>
        <v>24568.037129409451</v>
      </c>
      <c r="M24" s="596">
        <f>VLOOKUP($B24, '[13]Div 2 forecast'!$D$290:$AF$366,M$51,FALSE)</f>
        <v>26940.267740942043</v>
      </c>
      <c r="N24" s="596">
        <f>VLOOKUP($B24, '[13]Div 2 forecast'!$D$290:$AF$366,N$51,FALSE)</f>
        <v>26811.203770539381</v>
      </c>
      <c r="O24" s="596">
        <f>VLOOKUP($B24, '[13]Div 2 forecast'!$D$290:$AF$366,O$51,FALSE)</f>
        <v>25705.083707587506</v>
      </c>
      <c r="P24" s="211">
        <f t="shared" si="1"/>
        <v>325201.42869986215</v>
      </c>
      <c r="Q24" s="211"/>
    </row>
    <row r="25" spans="1:17">
      <c r="A25" s="459">
        <f t="shared" si="2"/>
        <v>11</v>
      </c>
      <c r="B25" s="364">
        <v>9100</v>
      </c>
      <c r="C25" s="211" t="s">
        <v>948</v>
      </c>
      <c r="D25" s="596">
        <f>'[11]Div 002'!C69</f>
        <v>10825</v>
      </c>
      <c r="E25" s="596">
        <f>'[11]Div 002'!D69</f>
        <v>0</v>
      </c>
      <c r="F25" s="596">
        <f>'[11]Div 002'!E69</f>
        <v>143.68</v>
      </c>
      <c r="G25" s="596">
        <f>'[11]Div 002'!F69</f>
        <v>0</v>
      </c>
      <c r="H25" s="596">
        <f>'[11]Div 002'!G69</f>
        <v>0</v>
      </c>
      <c r="I25" s="596">
        <f>'[11]Div 002'!H69</f>
        <v>0</v>
      </c>
      <c r="J25" s="596">
        <f>VLOOKUP($B25, '[13]Div 2 forecast'!$D$290:$AF$366,J$51,FALSE)</f>
        <v>2090.4341577642463</v>
      </c>
      <c r="K25" s="596">
        <f>VLOOKUP($B25, '[13]Div 2 forecast'!$D$290:$AF$366,K$51,FALSE)</f>
        <v>1985.5834768833161</v>
      </c>
      <c r="L25" s="596">
        <f>VLOOKUP($B25, '[13]Div 2 forecast'!$D$290:$AF$366,L$51,FALSE)</f>
        <v>26395.839512407056</v>
      </c>
      <c r="M25" s="596">
        <f>VLOOKUP($B25, '[13]Div 2 forecast'!$D$290:$AF$366,M$51,FALSE)</f>
        <v>2141.5460724897412</v>
      </c>
      <c r="N25" s="596">
        <f>VLOOKUP($B25, '[13]Div 2 forecast'!$D$290:$AF$366,N$51,FALSE)</f>
        <v>2144.370853633749</v>
      </c>
      <c r="O25" s="596">
        <f>VLOOKUP($B25, '[13]Div 2 forecast'!$D$290:$AF$366,O$51,FALSE)</f>
        <v>2251.9348601014171</v>
      </c>
      <c r="P25" s="211">
        <f t="shared" si="1"/>
        <v>47978.388933279522</v>
      </c>
      <c r="Q25" s="211"/>
    </row>
    <row r="26" spans="1:17">
      <c r="A26" s="459">
        <f t="shared" si="2"/>
        <v>12</v>
      </c>
      <c r="B26" s="364">
        <v>9120</v>
      </c>
      <c r="C26" s="103" t="s">
        <v>950</v>
      </c>
      <c r="D26" s="596">
        <f>'[11]Div 002'!C70</f>
        <v>0</v>
      </c>
      <c r="E26" s="596">
        <f>'[11]Div 002'!D70</f>
        <v>0</v>
      </c>
      <c r="F26" s="596">
        <f>'[11]Div 002'!E70</f>
        <v>703.63</v>
      </c>
      <c r="G26" s="596">
        <f>'[11]Div 002'!F70</f>
        <v>0</v>
      </c>
      <c r="H26" s="596">
        <f>'[11]Div 002'!G70</f>
        <v>0</v>
      </c>
      <c r="I26" s="596">
        <f>'[11]Div 002'!H70</f>
        <v>32.42</v>
      </c>
      <c r="J26" s="596">
        <f>VLOOKUP($B26, '[13]Div 2 forecast'!$D$290:$AF$366,J$51,FALSE)</f>
        <v>172.51999925168758</v>
      </c>
      <c r="K26" s="596">
        <f>VLOOKUP($B26, '[13]Div 2 forecast'!$D$290:$AF$366,K$51,FALSE)</f>
        <v>172.56560271629655</v>
      </c>
      <c r="L26" s="596">
        <f>VLOOKUP($B26, '[13]Div 2 forecast'!$D$290:$AF$366,L$51,FALSE)</f>
        <v>194.62620494801794</v>
      </c>
      <c r="M26" s="596">
        <f>VLOOKUP($B26, '[13]Div 2 forecast'!$D$290:$AF$366,M$51,FALSE)</f>
        <v>213.95393476260338</v>
      </c>
      <c r="N26" s="596">
        <f>VLOOKUP($B26, '[13]Div 2 forecast'!$D$290:$AF$366,N$51,FALSE)</f>
        <v>172.70939451492757</v>
      </c>
      <c r="O26" s="596">
        <f>VLOOKUP($B26, '[13]Div 2 forecast'!$D$290:$AF$366,O$51,FALSE)</f>
        <v>220.04825550504253</v>
      </c>
      <c r="P26" s="211">
        <f t="shared" si="1"/>
        <v>1882.4733916985756</v>
      </c>
      <c r="Q26" s="211"/>
    </row>
    <row r="27" spans="1:17">
      <c r="A27" s="459">
        <f t="shared" si="2"/>
        <v>13</v>
      </c>
      <c r="B27" s="364">
        <v>9200</v>
      </c>
      <c r="C27" s="211" t="s">
        <v>183</v>
      </c>
      <c r="D27" s="596">
        <f>'[11]Div 002'!C71</f>
        <v>-538447.11999999895</v>
      </c>
      <c r="E27" s="596">
        <f>'[11]Div 002'!D71</f>
        <v>2507033.6699999995</v>
      </c>
      <c r="F27" s="596">
        <f>'[11]Div 002'!E71</f>
        <v>-5517789.9199999971</v>
      </c>
      <c r="G27" s="596">
        <f>'[11]Div 002'!F71</f>
        <v>-564879.08999999939</v>
      </c>
      <c r="H27" s="596">
        <f>'[11]Div 002'!G71</f>
        <v>-1149809.3399999987</v>
      </c>
      <c r="I27" s="596">
        <f>'[11]Div 002'!H71</f>
        <v>-3208563.5699999994</v>
      </c>
      <c r="J27" s="596">
        <f>VLOOKUP($B27, '[13]Div 2 forecast'!$D$290:$AF$366,J$51,FALSE)</f>
        <v>-1639618.9076122977</v>
      </c>
      <c r="K27" s="596">
        <f>VLOOKUP($B27, '[13]Div 2 forecast'!$D$290:$AF$366,K$51,FALSE)</f>
        <v>-705125.68388575269</v>
      </c>
      <c r="L27" s="596">
        <f>VLOOKUP($B27, '[13]Div 2 forecast'!$D$290:$AF$366,L$51,FALSE)</f>
        <v>-663097.88509027148</v>
      </c>
      <c r="M27" s="596">
        <f>VLOOKUP($B27, '[13]Div 2 forecast'!$D$290:$AF$366,M$51,FALSE)</f>
        <v>-1269481.9665148593</v>
      </c>
      <c r="N27" s="596">
        <f>VLOOKUP($B27, '[13]Div 2 forecast'!$D$290:$AF$366,N$51,FALSE)</f>
        <v>-1302282.727746618</v>
      </c>
      <c r="O27" s="596">
        <f>VLOOKUP($B27, '[13]Div 2 forecast'!$D$290:$AF$366,O$51,FALSE)</f>
        <v>-1431636.133695106</v>
      </c>
      <c r="P27" s="211">
        <f t="shared" si="1"/>
        <v>-15483698.674544901</v>
      </c>
      <c r="Q27" s="211"/>
    </row>
    <row r="28" spans="1:17">
      <c r="A28" s="459">
        <f t="shared" si="2"/>
        <v>14</v>
      </c>
      <c r="B28" s="364">
        <v>9210</v>
      </c>
      <c r="C28" s="211" t="s">
        <v>952</v>
      </c>
      <c r="D28" s="596">
        <f>'[11]Div 002'!C72</f>
        <v>1879091.5199999977</v>
      </c>
      <c r="E28" s="596">
        <f>'[11]Div 002'!D72</f>
        <v>1803283.3399999996</v>
      </c>
      <c r="F28" s="596">
        <f>'[11]Div 002'!E72</f>
        <v>1780993.9900000005</v>
      </c>
      <c r="G28" s="596">
        <f>'[11]Div 002'!F72</f>
        <v>1994425.5500000003</v>
      </c>
      <c r="H28" s="596">
        <f>'[11]Div 002'!G72</f>
        <v>2051435.4400000004</v>
      </c>
      <c r="I28" s="596">
        <f>'[11]Div 002'!H72</f>
        <v>1876271.4200000002</v>
      </c>
      <c r="J28" s="596">
        <f>VLOOKUP($B28, '[13]Div 2 forecast'!$D$290:$AF$366,J$51,FALSE)</f>
        <v>2607273.6526799188</v>
      </c>
      <c r="K28" s="596">
        <f>VLOOKUP($B28, '[13]Div 2 forecast'!$D$290:$AF$366,K$51,FALSE)</f>
        <v>2449387.6504938374</v>
      </c>
      <c r="L28" s="596">
        <f>VLOOKUP($B28, '[13]Div 2 forecast'!$D$290:$AF$366,L$51,FALSE)</f>
        <v>4656066.7460692907</v>
      </c>
      <c r="M28" s="596">
        <f>VLOOKUP($B28, '[13]Div 2 forecast'!$D$290:$AF$366,M$51,FALSE)</f>
        <v>2947347.0606119558</v>
      </c>
      <c r="N28" s="596">
        <f>VLOOKUP($B28, '[13]Div 2 forecast'!$D$290:$AF$366,N$51,FALSE)</f>
        <v>2478371.1901257671</v>
      </c>
      <c r="O28" s="596">
        <f>VLOOKUP($B28, '[13]Div 2 forecast'!$D$290:$AF$366,O$51,FALSE)</f>
        <v>2661407.3268217808</v>
      </c>
      <c r="P28" s="211">
        <f t="shared" si="1"/>
        <v>29185354.88680255</v>
      </c>
      <c r="Q28" s="211"/>
    </row>
    <row r="29" spans="1:17">
      <c r="A29" s="459">
        <f t="shared" si="2"/>
        <v>15</v>
      </c>
      <c r="B29" s="364">
        <v>9220</v>
      </c>
      <c r="C29" s="211" t="s">
        <v>953</v>
      </c>
      <c r="D29" s="596">
        <f>'[11]Div 002'!C73</f>
        <v>-9503163.1400000062</v>
      </c>
      <c r="E29" s="596">
        <f>'[11]Div 002'!D73</f>
        <v>-10347930.919999998</v>
      </c>
      <c r="F29" s="596">
        <f>'[11]Div 002'!E73</f>
        <v>-8779190.9300000053</v>
      </c>
      <c r="G29" s="596">
        <f>'[11]Div 002'!F73</f>
        <v>-8550668.129999999</v>
      </c>
      <c r="H29" s="596">
        <f>'[11]Div 002'!G73</f>
        <v>-11459070.680000009</v>
      </c>
      <c r="I29" s="596">
        <f>'[11]Div 002'!H73</f>
        <v>-3001889.7900000028</v>
      </c>
      <c r="J29" s="878">
        <f t="shared" ref="J29:O29" si="3">-(SUM(J14:J28,J30:J37))</f>
        <v>-9254552.0799999982</v>
      </c>
      <c r="K29" s="878">
        <f t="shared" si="3"/>
        <v>-7991396.0199999986</v>
      </c>
      <c r="L29" s="878">
        <f t="shared" si="3"/>
        <v>-20713014.309999995</v>
      </c>
      <c r="M29" s="878">
        <f t="shared" si="3"/>
        <v>-8551321.3532726411</v>
      </c>
      <c r="N29" s="878">
        <f t="shared" si="3"/>
        <v>-8530737.4914911203</v>
      </c>
      <c r="O29" s="878">
        <f t="shared" si="3"/>
        <v>-8603953.6960281041</v>
      </c>
      <c r="P29" s="211">
        <f t="shared" si="1"/>
        <v>-115286888.54079187</v>
      </c>
      <c r="Q29" s="670"/>
    </row>
    <row r="30" spans="1:17">
      <c r="A30" s="459">
        <f t="shared" si="2"/>
        <v>16</v>
      </c>
      <c r="B30" s="364">
        <v>9230</v>
      </c>
      <c r="C30" s="211" t="s">
        <v>954</v>
      </c>
      <c r="D30" s="596">
        <f>'[11]Div 002'!C74</f>
        <v>706893.02</v>
      </c>
      <c r="E30" s="596">
        <f>'[11]Div 002'!D74</f>
        <v>754577.54000000015</v>
      </c>
      <c r="F30" s="596">
        <f>'[11]Div 002'!E74</f>
        <v>661736.9</v>
      </c>
      <c r="G30" s="596">
        <f>'[11]Div 002'!F74</f>
        <v>848668.5</v>
      </c>
      <c r="H30" s="596">
        <f>'[11]Div 002'!G74</f>
        <v>797262.56000000017</v>
      </c>
      <c r="I30" s="596">
        <f>'[11]Div 002'!H74</f>
        <v>865257.68</v>
      </c>
      <c r="J30" s="596">
        <f>VLOOKUP($B30, '[13]Div 2 forecast'!$D$290:$AF$366,J$51,FALSE)</f>
        <v>881857.94378112059</v>
      </c>
      <c r="K30" s="596">
        <f>VLOOKUP($B30, '[13]Div 2 forecast'!$D$290:$AF$366,K$51,FALSE)</f>
        <v>835742.85722650134</v>
      </c>
      <c r="L30" s="596">
        <f>VLOOKUP($B30, '[13]Div 2 forecast'!$D$290:$AF$366,L$51,FALSE)</f>
        <v>11036675.926387258</v>
      </c>
      <c r="M30" s="596">
        <f>VLOOKUP($B30, '[13]Div 2 forecast'!$D$290:$AF$366,M$51,FALSE)</f>
        <v>904989.26648231968</v>
      </c>
      <c r="N30" s="596">
        <f>VLOOKUP($B30, '[13]Div 2 forecast'!$D$290:$AF$366,N$51,FALSE)</f>
        <v>902452.16740749427</v>
      </c>
      <c r="O30" s="596">
        <f>VLOOKUP($B30, '[13]Div 2 forecast'!$D$290:$AF$366,O$51,FALSE)</f>
        <v>947969.71947690879</v>
      </c>
      <c r="P30" s="211">
        <f t="shared" si="1"/>
        <v>20144084.080761604</v>
      </c>
      <c r="Q30" s="211"/>
    </row>
    <row r="31" spans="1:17">
      <c r="A31" s="459">
        <f t="shared" si="2"/>
        <v>17</v>
      </c>
      <c r="B31" s="364">
        <v>9240</v>
      </c>
      <c r="C31" s="211" t="s">
        <v>955</v>
      </c>
      <c r="D31" s="596">
        <f>'[11]Div 002'!C75</f>
        <v>49861.919999999998</v>
      </c>
      <c r="E31" s="596">
        <f>'[11]Div 002'!D75</f>
        <v>13327.54</v>
      </c>
      <c r="F31" s="596">
        <f>'[11]Div 002'!E75</f>
        <v>11426.37</v>
      </c>
      <c r="G31" s="596">
        <f>'[11]Div 002'!F75</f>
        <v>11426.37</v>
      </c>
      <c r="H31" s="596">
        <f>'[11]Div 002'!G75</f>
        <v>11426.37</v>
      </c>
      <c r="I31" s="596">
        <f>'[11]Div 002'!H75</f>
        <v>11426.37</v>
      </c>
      <c r="J31" s="596">
        <f>VLOOKUP($B31, '[13]Div 2 forecast'!$D$290:$AF$366,J$51,FALSE)</f>
        <v>20336.04277788911</v>
      </c>
      <c r="K31" s="596">
        <f>VLOOKUP($B31, '[13]Div 2 forecast'!$D$290:$AF$366,K$51,FALSE)</f>
        <v>20274.640560847598</v>
      </c>
      <c r="L31" s="596">
        <f>VLOOKUP($B31, '[13]Div 2 forecast'!$D$290:$AF$366,L$51,FALSE)</f>
        <v>20366.041226602123</v>
      </c>
      <c r="M31" s="596">
        <f>VLOOKUP($B31, '[13]Div 2 forecast'!$D$290:$AF$366,M$51,FALSE)</f>
        <v>22658.948268776498</v>
      </c>
      <c r="N31" s="596">
        <f>VLOOKUP($B31, '[13]Div 2 forecast'!$D$290:$AF$366,N$51,FALSE)</f>
        <v>20756.558708245342</v>
      </c>
      <c r="O31" s="596">
        <f>VLOOKUP($B31, '[13]Div 2 forecast'!$D$290:$AF$366,O$51,FALSE)</f>
        <v>21456.099886766111</v>
      </c>
      <c r="P31" s="211">
        <f t="shared" si="1"/>
        <v>234743.27142912676</v>
      </c>
      <c r="Q31" s="211"/>
    </row>
    <row r="32" spans="1:17">
      <c r="A32" s="459">
        <f t="shared" si="2"/>
        <v>18</v>
      </c>
      <c r="B32" s="364">
        <v>9250</v>
      </c>
      <c r="C32" s="211" t="s">
        <v>956</v>
      </c>
      <c r="D32" s="596">
        <f>'[11]Div 002'!C76</f>
        <v>1662084.3299999996</v>
      </c>
      <c r="E32" s="596">
        <f>'[11]Div 002'!D76</f>
        <v>1665651.13</v>
      </c>
      <c r="F32" s="596">
        <f>'[11]Div 002'!E76</f>
        <v>-465576.55000000022</v>
      </c>
      <c r="G32" s="596">
        <f>'[11]Div 002'!F76</f>
        <v>1612256.64</v>
      </c>
      <c r="H32" s="596">
        <f>'[11]Div 002'!G76</f>
        <v>1654705.59</v>
      </c>
      <c r="I32" s="596">
        <f>'[11]Div 002'!H76</f>
        <v>648483.03</v>
      </c>
      <c r="J32" s="596">
        <f>VLOOKUP($B32, '[13]Div 2 forecast'!$D$290:$AF$366,J$51,FALSE)</f>
        <v>1715472.7612450174</v>
      </c>
      <c r="K32" s="596">
        <f>VLOOKUP($B32, '[13]Div 2 forecast'!$D$290:$AF$366,K$51,FALSE)</f>
        <v>1716520.9233456436</v>
      </c>
      <c r="L32" s="596">
        <f>VLOOKUP($B32, '[13]Div 2 forecast'!$D$290:$AF$366,L$51,FALSE)</f>
        <v>1715472.7273707348</v>
      </c>
      <c r="M32" s="596">
        <f>VLOOKUP($B32, '[13]Div 2 forecast'!$D$290:$AF$366,M$51,FALSE)</f>
        <v>1729364.9426112939</v>
      </c>
      <c r="N32" s="596">
        <f>VLOOKUP($B32, '[13]Div 2 forecast'!$D$290:$AF$366,N$51,FALSE)</f>
        <v>1744076.5826708793</v>
      </c>
      <c r="O32" s="596">
        <f>VLOOKUP($B32, '[13]Div 2 forecast'!$D$290:$AF$366,O$51,FALSE)</f>
        <v>1743542.5242013182</v>
      </c>
      <c r="P32" s="211">
        <f t="shared" si="1"/>
        <v>17142054.631444886</v>
      </c>
      <c r="Q32" s="211"/>
    </row>
    <row r="33" spans="1:18">
      <c r="A33" s="459">
        <f t="shared" si="2"/>
        <v>19</v>
      </c>
      <c r="B33" s="364">
        <v>9260</v>
      </c>
      <c r="C33" s="211" t="s">
        <v>957</v>
      </c>
      <c r="D33" s="596">
        <f>'[11]Div 002'!C77</f>
        <v>4593478.3000000017</v>
      </c>
      <c r="E33" s="596">
        <f>'[11]Div 002'!D77</f>
        <v>2675101.0300000012</v>
      </c>
      <c r="F33" s="596">
        <f>'[11]Div 002'!E77</f>
        <v>6938585.0599999875</v>
      </c>
      <c r="G33" s="596">
        <f>'[11]Div 002'!F77</f>
        <v>3861946.7700000009</v>
      </c>
      <c r="H33" s="596">
        <f>'[11]Div 002'!G77</f>
        <v>7562267.4600000028</v>
      </c>
      <c r="I33" s="596">
        <f>'[11]Div 002'!H77</f>
        <v>1252928.2299999979</v>
      </c>
      <c r="J33" s="596">
        <f>VLOOKUP($B33, '[13]Div 2 forecast'!$D$290:$AF$366,J$51,FALSE)</f>
        <v>4909090.1976788631</v>
      </c>
      <c r="K33" s="596">
        <f>VLOOKUP($B33, '[13]Div 2 forecast'!$D$290:$AF$366,K$51,FALSE)</f>
        <v>2916522.0053443448</v>
      </c>
      <c r="L33" s="596">
        <f>VLOOKUP($B33, '[13]Div 2 forecast'!$D$290:$AF$366,L$51,FALSE)</f>
        <v>2750996.9645346291</v>
      </c>
      <c r="M33" s="596">
        <f>VLOOKUP($B33, '[13]Div 2 forecast'!$D$290:$AF$366,M$51,FALSE)</f>
        <v>3367421.9795244248</v>
      </c>
      <c r="N33" s="596">
        <f>VLOOKUP($B33, '[13]Div 2 forecast'!$D$290:$AF$366,N$51,FALSE)</f>
        <v>3867345.4674175465</v>
      </c>
      <c r="O33" s="596">
        <f>VLOOKUP($B33, '[13]Div 2 forecast'!$D$290:$AF$366,O$51,FALSE)</f>
        <v>3631246.6032994143</v>
      </c>
      <c r="P33" s="211">
        <f t="shared" si="1"/>
        <v>48326930.067799218</v>
      </c>
      <c r="Q33" s="211"/>
    </row>
    <row r="34" spans="1:18">
      <c r="A34" s="459">
        <f t="shared" si="2"/>
        <v>20</v>
      </c>
      <c r="B34" s="364">
        <v>9301</v>
      </c>
      <c r="C34" s="211" t="s">
        <v>184</v>
      </c>
      <c r="D34" s="596">
        <f>0</f>
        <v>0</v>
      </c>
      <c r="E34" s="596">
        <f>0</f>
        <v>0</v>
      </c>
      <c r="F34" s="596">
        <f>0</f>
        <v>0</v>
      </c>
      <c r="G34" s="596">
        <f>0</f>
        <v>0</v>
      </c>
      <c r="H34" s="596">
        <f>0</f>
        <v>0</v>
      </c>
      <c r="I34" s="596">
        <f>0</f>
        <v>0</v>
      </c>
      <c r="J34" s="596">
        <f>VLOOKUP($B34, '[13]Div 2 forecast'!$D$290:$AF$366,J$51,FALSE)</f>
        <v>0</v>
      </c>
      <c r="K34" s="596">
        <f>VLOOKUP($B34, '[13]Div 2 forecast'!$D$290:$AF$366,K$51,FALSE)</f>
        <v>0</v>
      </c>
      <c r="L34" s="596">
        <f>VLOOKUP($B34, '[13]Div 2 forecast'!$D$290:$AF$366,L$51,FALSE)</f>
        <v>0</v>
      </c>
      <c r="M34" s="596">
        <f>VLOOKUP($B34, '[13]Div 2 forecast'!$D$290:$AF$366,M$51,FALSE)</f>
        <v>0</v>
      </c>
      <c r="N34" s="596">
        <f>VLOOKUP($B34, '[13]Div 2 forecast'!$D$290:$AF$366,N$51,FALSE)</f>
        <v>0</v>
      </c>
      <c r="O34" s="596">
        <f>VLOOKUP($B34, '[13]Div 2 forecast'!$D$290:$AF$366,O$51,FALSE)</f>
        <v>0</v>
      </c>
      <c r="P34" s="211">
        <f t="shared" si="1"/>
        <v>0</v>
      </c>
      <c r="Q34" s="211"/>
    </row>
    <row r="35" spans="1:18">
      <c r="A35" s="459">
        <f t="shared" si="2"/>
        <v>21</v>
      </c>
      <c r="B35" s="364">
        <v>9302</v>
      </c>
      <c r="C35" s="211" t="s">
        <v>864</v>
      </c>
      <c r="D35" s="596">
        <f>'[11]Div 002'!C78</f>
        <v>595052.67999999993</v>
      </c>
      <c r="E35" s="596">
        <f>'[11]Div 002'!D78</f>
        <v>449836.70999999996</v>
      </c>
      <c r="F35" s="596">
        <f>'[11]Div 002'!E78</f>
        <v>3023947.0500000012</v>
      </c>
      <c r="G35" s="596">
        <f>'[11]Div 002'!F78</f>
        <v>394237</v>
      </c>
      <c r="H35" s="596">
        <f>'[11]Div 002'!G78</f>
        <v>187444.52</v>
      </c>
      <c r="I35" s="596">
        <f>'[11]Div 002'!H78</f>
        <v>257864.97999999998</v>
      </c>
      <c r="J35" s="596">
        <f>VLOOKUP($B35, '[13]Div 2 forecast'!$D$290:$AF$366,J$51,FALSE)</f>
        <v>259225.88167530487</v>
      </c>
      <c r="K35" s="596">
        <f>VLOOKUP($B35, '[13]Div 2 forecast'!$D$290:$AF$366,K$51,FALSE)</f>
        <v>255562.14422099316</v>
      </c>
      <c r="L35" s="596">
        <f>VLOOKUP($B35, '[13]Div 2 forecast'!$D$290:$AF$366,L$51,FALSE)</f>
        <v>595798.88770096307</v>
      </c>
      <c r="M35" s="596">
        <f>VLOOKUP($B35, '[13]Div 2 forecast'!$D$290:$AF$366,M$51,FALSE)</f>
        <v>256849.68235021725</v>
      </c>
      <c r="N35" s="596">
        <f>VLOOKUP($B35, '[13]Div 2 forecast'!$D$290:$AF$366,N$51,FALSE)</f>
        <v>236088.82688873549</v>
      </c>
      <c r="O35" s="596">
        <f>VLOOKUP($B35, '[13]Div 2 forecast'!$D$290:$AF$366,O$51,FALSE)</f>
        <v>475499.21606570622</v>
      </c>
      <c r="P35" s="211">
        <f t="shared" si="1"/>
        <v>6987407.5789019205</v>
      </c>
      <c r="Q35" s="211"/>
    </row>
    <row r="36" spans="1:18">
      <c r="A36" s="459">
        <f t="shared" si="2"/>
        <v>22</v>
      </c>
      <c r="B36" s="364">
        <v>9310</v>
      </c>
      <c r="C36" s="211" t="s">
        <v>185</v>
      </c>
      <c r="D36" s="596">
        <f>'[11]Div 002'!C79</f>
        <v>428689.95000000013</v>
      </c>
      <c r="E36" s="596">
        <f>'[11]Div 002'!D79</f>
        <v>449036.42000000004</v>
      </c>
      <c r="F36" s="596">
        <f>'[11]Div 002'!E79</f>
        <v>438477.07000000007</v>
      </c>
      <c r="G36" s="596">
        <f>'[11]Div 002'!F79</f>
        <v>474772.79000000004</v>
      </c>
      <c r="H36" s="596">
        <f>'[11]Div 002'!G79</f>
        <v>453249.64</v>
      </c>
      <c r="I36" s="596">
        <f>'[11]Div 002'!H79</f>
        <v>212237.21999999994</v>
      </c>
      <c r="J36" s="596">
        <f>VLOOKUP($B36, '[13]Div 2 forecast'!$D$290:$AF$366,J$51,FALSE)</f>
        <v>436383.90940761549</v>
      </c>
      <c r="K36" s="596">
        <f>VLOOKUP($B36, '[13]Div 2 forecast'!$D$290:$AF$366,K$51,FALSE)</f>
        <v>436006.92762932001</v>
      </c>
      <c r="L36" s="596">
        <f>VLOOKUP($B36, '[13]Div 2 forecast'!$D$290:$AF$366,L$51,FALSE)</f>
        <v>520140.70334291004</v>
      </c>
      <c r="M36" s="596">
        <f>VLOOKUP($B36, '[13]Div 2 forecast'!$D$290:$AF$366,M$51,FALSE)</f>
        <v>516849.59033918037</v>
      </c>
      <c r="N36" s="596">
        <f>VLOOKUP($B36, '[13]Div 2 forecast'!$D$290:$AF$366,N$51,FALSE)</f>
        <v>516228.91780010139</v>
      </c>
      <c r="O36" s="596">
        <f>VLOOKUP($B36, '[13]Div 2 forecast'!$D$290:$AF$366,O$51,FALSE)</f>
        <v>485351.08633891132</v>
      </c>
      <c r="P36" s="211">
        <f t="shared" si="1"/>
        <v>5367424.2248580381</v>
      </c>
      <c r="Q36" s="211"/>
    </row>
    <row r="37" spans="1:18">
      <c r="A37" s="459">
        <f t="shared" si="2"/>
        <v>23</v>
      </c>
      <c r="B37" s="364">
        <v>9320</v>
      </c>
      <c r="C37" s="211" t="s">
        <v>186</v>
      </c>
      <c r="D37" s="596">
        <f>'[11]Div 002'!C80</f>
        <v>16630.04</v>
      </c>
      <c r="E37" s="596">
        <f>'[11]Div 002'!D80</f>
        <v>4065.24</v>
      </c>
      <c r="F37" s="596">
        <f>'[11]Div 002'!E80</f>
        <v>41241.620000000003</v>
      </c>
      <c r="G37" s="596">
        <f>'[11]Div 002'!F80</f>
        <v>22521.310000000005</v>
      </c>
      <c r="H37" s="596">
        <f>'[11]Div 002'!G80</f>
        <v>33625.659999999996</v>
      </c>
      <c r="I37" s="596">
        <f>'[11]Div 002'!H80</f>
        <v>28692.5</v>
      </c>
      <c r="J37" s="596">
        <f>VLOOKUP($B37, '[13]Div 2 forecast'!$D$290:$AF$366,J$51,FALSE)</f>
        <v>30132.423225189512</v>
      </c>
      <c r="K37" s="596">
        <f>VLOOKUP($B37, '[13]Div 2 forecast'!$D$290:$AF$366,K$51,FALSE)</f>
        <v>29950.384377867791</v>
      </c>
      <c r="L37" s="596">
        <f>VLOOKUP($B37, '[13]Div 2 forecast'!$D$290:$AF$366,L$51,FALSE)</f>
        <v>21278.608306535567</v>
      </c>
      <c r="M37" s="596">
        <f>VLOOKUP($B37, '[13]Div 2 forecast'!$D$290:$AF$366,M$51,FALSE)</f>
        <v>38736.636357422547</v>
      </c>
      <c r="N37" s="596">
        <f>VLOOKUP($B37, '[13]Div 2 forecast'!$D$290:$AF$366,N$51,FALSE)</f>
        <v>31516.567761880207</v>
      </c>
      <c r="O37" s="596">
        <f>VLOOKUP($B37, '[13]Div 2 forecast'!$D$290:$AF$366,O$51,FALSE)</f>
        <v>33730.41225034363</v>
      </c>
      <c r="P37" s="211">
        <f t="shared" si="1"/>
        <v>332121.40227923932</v>
      </c>
      <c r="Q37" s="211"/>
    </row>
    <row r="38" spans="1:18" ht="15.75" thickBot="1">
      <c r="A38" s="459">
        <f t="shared" si="2"/>
        <v>24</v>
      </c>
      <c r="B38" s="217" t="s">
        <v>741</v>
      </c>
      <c r="C38" s="879"/>
      <c r="D38" s="650">
        <f t="shared" ref="D38:O38" si="4">SUM(D14:D37)</f>
        <v>26362.759999993395</v>
      </c>
      <c r="E38" s="650">
        <f t="shared" si="4"/>
        <v>46356.530000002014</v>
      </c>
      <c r="F38" s="650">
        <f t="shared" si="4"/>
        <v>-1907659.9400000132</v>
      </c>
      <c r="G38" s="650">
        <f t="shared" si="4"/>
        <v>-2208352.3199999975</v>
      </c>
      <c r="H38" s="650">
        <f t="shared" si="4"/>
        <v>2474788.5799999973</v>
      </c>
      <c r="I38" s="650">
        <f t="shared" si="4"/>
        <v>-859293.80000000447</v>
      </c>
      <c r="J38" s="650">
        <f t="shared" si="4"/>
        <v>1.6407284419983625E-9</v>
      </c>
      <c r="K38" s="650">
        <f t="shared" si="4"/>
        <v>1.0986695997416973E-9</v>
      </c>
      <c r="L38" s="650">
        <f t="shared" si="4"/>
        <v>1.7935235518962145E-9</v>
      </c>
      <c r="M38" s="650">
        <f t="shared" si="4"/>
        <v>-6.6211214289069176E-10</v>
      </c>
      <c r="N38" s="650">
        <f t="shared" si="4"/>
        <v>8.5128704085946083E-10</v>
      </c>
      <c r="O38" s="650">
        <f t="shared" si="4"/>
        <v>-8.9494278654456139E-10</v>
      </c>
      <c r="P38" s="650">
        <f>SUM(P14:P37)</f>
        <v>-2427798.1900000274</v>
      </c>
      <c r="Q38" s="217"/>
    </row>
    <row r="39" spans="1:18" ht="15.75" thickTop="1">
      <c r="A39" s="459">
        <f t="shared" si="2"/>
        <v>25</v>
      </c>
      <c r="B39" s="217"/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</row>
    <row r="40" spans="1:18">
      <c r="A40" s="459">
        <f t="shared" si="2"/>
        <v>26</v>
      </c>
      <c r="B40" s="364">
        <f>B29</f>
        <v>9220</v>
      </c>
      <c r="C40" s="364" t="str">
        <f>C29</f>
        <v>A&amp;G-Administrative expense transferred-Credit</v>
      </c>
      <c r="D40" s="365">
        <f>D29</f>
        <v>-9503163.1400000062</v>
      </c>
      <c r="E40" s="365">
        <f t="shared" ref="E40:I40" si="5">E29</f>
        <v>-10347930.919999998</v>
      </c>
      <c r="F40" s="365">
        <f t="shared" si="5"/>
        <v>-8779190.9300000053</v>
      </c>
      <c r="G40" s="365">
        <f t="shared" si="5"/>
        <v>-8550668.129999999</v>
      </c>
      <c r="H40" s="365">
        <f t="shared" si="5"/>
        <v>-11459070.680000009</v>
      </c>
      <c r="I40" s="365">
        <f t="shared" si="5"/>
        <v>-3001889.7900000028</v>
      </c>
      <c r="J40" s="365">
        <f t="shared" ref="J40:K40" si="6">-(J38-J29)</f>
        <v>-9254552.0800000001</v>
      </c>
      <c r="K40" s="365">
        <f t="shared" si="6"/>
        <v>-7991396.0199999996</v>
      </c>
      <c r="L40" s="365">
        <f>L29</f>
        <v>-20713014.309999995</v>
      </c>
      <c r="M40" s="365">
        <f>M29</f>
        <v>-8551321.3532726411</v>
      </c>
      <c r="N40" s="365">
        <f>N29</f>
        <v>-8530737.4914911203</v>
      </c>
      <c r="O40" s="365">
        <f>O29</f>
        <v>-8603953.6960281041</v>
      </c>
      <c r="P40" s="211">
        <f t="shared" ref="P40" si="7">SUM(D40:O40)</f>
        <v>-115286888.54079187</v>
      </c>
      <c r="Q40" s="217"/>
    </row>
    <row r="41" spans="1:18">
      <c r="A41" s="459">
        <f t="shared" si="2"/>
        <v>27</v>
      </c>
      <c r="B41" s="217"/>
      <c r="C41" s="366" t="s">
        <v>196</v>
      </c>
      <c r="D41" s="385">
        <f>D42/D40</f>
        <v>5.8185640070996365E-2</v>
      </c>
      <c r="E41" s="385">
        <f t="shared" ref="E41:I41" si="8">E42/E40</f>
        <v>5.5680180362085385E-2</v>
      </c>
      <c r="F41" s="385">
        <f t="shared" si="8"/>
        <v>5.7991083012019613E-2</v>
      </c>
      <c r="G41" s="385">
        <f t="shared" si="8"/>
        <v>5.8175113621208932E-2</v>
      </c>
      <c r="H41" s="385">
        <f t="shared" si="8"/>
        <v>5.62968488470829E-2</v>
      </c>
      <c r="I41" s="385">
        <f t="shared" si="8"/>
        <v>7.1022474146194364E-2</v>
      </c>
      <c r="J41" s="385">
        <f>Allocation!$I$14</f>
        <v>5.2010158342223917E-2</v>
      </c>
      <c r="K41" s="385">
        <f>Allocation!$I$14</f>
        <v>5.2010158342223917E-2</v>
      </c>
      <c r="L41" s="385">
        <f>Allocation!$I$14</f>
        <v>5.2010158342223917E-2</v>
      </c>
      <c r="M41" s="385">
        <f>Allocation!$I$14</f>
        <v>5.2010158342223917E-2</v>
      </c>
      <c r="N41" s="385">
        <f>Allocation!$I$14</f>
        <v>5.2010158342223917E-2</v>
      </c>
      <c r="O41" s="385">
        <f>Allocation!$I$14</f>
        <v>5.2010158342223917E-2</v>
      </c>
      <c r="P41" s="385">
        <f t="shared" ref="P41" si="9">P42/P40</f>
        <v>5.4682450751083987E-2</v>
      </c>
      <c r="Q41" s="217"/>
      <c r="R41" s="690"/>
    </row>
    <row r="42" spans="1:18">
      <c r="A42" s="459">
        <f t="shared" si="2"/>
        <v>28</v>
      </c>
      <c r="B42" s="217"/>
      <c r="C42" s="217" t="s">
        <v>211</v>
      </c>
      <c r="D42" s="217">
        <f>-'[15]div 9 monthly 9220'!C12</f>
        <v>-552947.63</v>
      </c>
      <c r="E42" s="217">
        <f>-'[15]div 9 monthly 9220'!D12</f>
        <v>-576174.66</v>
      </c>
      <c r="F42" s="217">
        <f>-'[15]div 9 monthly 9220'!E12</f>
        <v>-509114.79</v>
      </c>
      <c r="G42" s="217">
        <f>-'[15]div 9 monthly 9220'!F12</f>
        <v>-497436.09</v>
      </c>
      <c r="H42" s="217">
        <f>-'[15]div 9 monthly 9220'!G12</f>
        <v>-645109.56999999995</v>
      </c>
      <c r="I42" s="217">
        <f>-'[15]div 9 monthly 9220'!H12</f>
        <v>-213201.64</v>
      </c>
      <c r="J42" s="217">
        <f t="shared" ref="J42:O42" si="10">J40*J41</f>
        <v>-481330.71906715771</v>
      </c>
      <c r="K42" s="217">
        <f t="shared" si="10"/>
        <v>-415633.77237561799</v>
      </c>
      <c r="L42" s="217">
        <f t="shared" si="10"/>
        <v>-1077287.1540078495</v>
      </c>
      <c r="M42" s="217">
        <f t="shared" si="10"/>
        <v>-444755.57761895057</v>
      </c>
      <c r="N42" s="217">
        <f t="shared" si="10"/>
        <v>-443685.00770839921</v>
      </c>
      <c r="O42" s="217">
        <f t="shared" si="10"/>
        <v>-447492.99409958441</v>
      </c>
      <c r="P42" s="211">
        <f>SUM(D42:O42)</f>
        <v>-6304169.6048775604</v>
      </c>
      <c r="Q42" s="217"/>
      <c r="R42" s="690"/>
    </row>
    <row r="43" spans="1:18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20"/>
      <c r="P43" s="220"/>
      <c r="Q43" s="217"/>
    </row>
    <row r="44" spans="1:18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20"/>
      <c r="P44" s="220"/>
      <c r="Q44" s="217"/>
    </row>
    <row r="45" spans="1:18">
      <c r="A45" s="217"/>
      <c r="B45" s="217" t="s">
        <v>568</v>
      </c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20"/>
      <c r="P45" s="220"/>
      <c r="Q45" s="217"/>
    </row>
    <row r="46" spans="1:18">
      <c r="A46" s="217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670"/>
      <c r="Q46" s="217"/>
    </row>
    <row r="47" spans="1:18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20"/>
      <c r="Q47" s="217"/>
    </row>
    <row r="48" spans="1:18">
      <c r="A48" s="217"/>
      <c r="B48" s="217" t="s">
        <v>961</v>
      </c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20"/>
      <c r="Q48" s="217"/>
    </row>
    <row r="49" spans="1:17">
      <c r="A49" s="217"/>
      <c r="B49" s="217" t="s">
        <v>1502</v>
      </c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20"/>
      <c r="Q49" s="760"/>
    </row>
    <row r="50" spans="1:17">
      <c r="A50" s="217"/>
      <c r="B50" s="81" t="s">
        <v>1646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630"/>
      <c r="P50" s="220"/>
      <c r="Q50" s="880"/>
    </row>
    <row r="51" spans="1:17">
      <c r="A51" s="217"/>
      <c r="B51" s="217"/>
      <c r="C51" s="386" t="s">
        <v>1359</v>
      </c>
      <c r="D51" s="881">
        <v>3</v>
      </c>
      <c r="E51" s="764">
        <v>4</v>
      </c>
      <c r="F51" s="764">
        <v>5</v>
      </c>
      <c r="G51" s="881">
        <v>6</v>
      </c>
      <c r="H51" s="881">
        <v>7</v>
      </c>
      <c r="I51" s="881">
        <v>8</v>
      </c>
      <c r="J51" s="764">
        <v>9</v>
      </c>
      <c r="K51" s="764">
        <v>10</v>
      </c>
      <c r="L51" s="881">
        <v>11</v>
      </c>
      <c r="M51" s="881">
        <v>12</v>
      </c>
      <c r="N51" s="881">
        <v>13</v>
      </c>
      <c r="O51" s="881">
        <v>14</v>
      </c>
      <c r="P51" s="220"/>
      <c r="Q51" s="880"/>
    </row>
    <row r="52" spans="1:17">
      <c r="A52" s="217"/>
      <c r="B52" s="217"/>
      <c r="C52" s="217"/>
      <c r="D52" s="882"/>
      <c r="E52" s="882"/>
      <c r="F52" s="882"/>
      <c r="G52" s="882"/>
      <c r="H52" s="882"/>
      <c r="I52" s="882"/>
      <c r="J52" s="882"/>
      <c r="K52" s="883"/>
      <c r="L52" s="883"/>
      <c r="M52" s="883"/>
      <c r="N52" s="883"/>
      <c r="O52" s="170"/>
      <c r="P52" s="220"/>
      <c r="Q52" s="880"/>
    </row>
    <row r="53" spans="1:17">
      <c r="A53" s="217"/>
      <c r="B53" s="670"/>
      <c r="C53" s="670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20"/>
      <c r="P53" s="220"/>
      <c r="Q53" s="880"/>
    </row>
    <row r="54" spans="1:17">
      <c r="A54" s="217"/>
      <c r="B54" s="217"/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880"/>
    </row>
    <row r="55" spans="1:17">
      <c r="A55" s="217"/>
      <c r="B55" s="217"/>
      <c r="C55" s="217"/>
      <c r="D55" s="217"/>
      <c r="E55" s="217"/>
      <c r="F55" s="217"/>
      <c r="G55" s="217"/>
      <c r="H55" s="217"/>
      <c r="I55" s="217"/>
      <c r="J55" s="217"/>
      <c r="L55" s="217"/>
      <c r="M55" s="217"/>
      <c r="N55" s="217"/>
      <c r="O55" s="217"/>
      <c r="P55" s="217"/>
      <c r="Q55" s="217"/>
    </row>
    <row r="56" spans="1:17">
      <c r="A56" s="217"/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</row>
    <row r="57" spans="1:17">
      <c r="A57" s="217"/>
      <c r="B57" s="217"/>
      <c r="C57" s="670"/>
      <c r="D57" s="217"/>
      <c r="E57" s="217"/>
      <c r="F57" s="217"/>
      <c r="G57" s="217"/>
      <c r="H57" s="217"/>
      <c r="I57" s="217"/>
      <c r="J57" s="217"/>
      <c r="K57" s="217"/>
      <c r="L57" s="217"/>
      <c r="M57" s="690"/>
      <c r="N57" s="217"/>
      <c r="O57" s="217"/>
      <c r="P57" s="217"/>
      <c r="Q57" s="217"/>
    </row>
    <row r="58" spans="1:17">
      <c r="A58" s="217"/>
      <c r="B58" s="217"/>
      <c r="C58" s="670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</row>
    <row r="59" spans="1:17">
      <c r="O59" s="386"/>
    </row>
    <row r="60" spans="1:17">
      <c r="O60" s="170"/>
    </row>
    <row r="61" spans="1:17">
      <c r="O61" s="170"/>
    </row>
    <row r="63" spans="1:17">
      <c r="C63" s="670"/>
    </row>
  </sheetData>
  <mergeCells count="4">
    <mergeCell ref="A1:P1"/>
    <mergeCell ref="A2:P2"/>
    <mergeCell ref="A3:P3"/>
    <mergeCell ref="A4:P4"/>
  </mergeCells>
  <phoneticPr fontId="22" type="noConversion"/>
  <printOptions horizontalCentered="1"/>
  <pageMargins left="0.5" right="0.5" top="0.75" bottom="0.65" header="0.5" footer="0.25"/>
  <pageSetup scale="49" fitToHeight="2" orientation="landscape" verticalDpi="300" r:id="rId1"/>
  <headerFooter alignWithMargins="0">
    <oddFooter>&amp;RSchedule &amp;A
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Q52"/>
  <sheetViews>
    <sheetView view="pageBreakPreview" topLeftCell="A7" zoomScale="70" zoomScaleNormal="70" zoomScaleSheetLayoutView="70" workbookViewId="0">
      <selection activeCell="C45" sqref="C45:C53"/>
    </sheetView>
  </sheetViews>
  <sheetFormatPr defaultColWidth="7.109375" defaultRowHeight="15"/>
  <cols>
    <col min="1" max="1" width="4.6640625" style="80" customWidth="1"/>
    <col min="2" max="2" width="7.21875" style="80" customWidth="1"/>
    <col min="3" max="3" width="54.21875" style="80" customWidth="1"/>
    <col min="4" max="4" width="13.109375" style="80" bestFit="1" customWidth="1"/>
    <col min="5" max="6" width="11.109375" style="80" customWidth="1"/>
    <col min="7" max="8" width="13.109375" style="80" bestFit="1" customWidth="1"/>
    <col min="9" max="9" width="11.109375" style="80" customWidth="1"/>
    <col min="10" max="10" width="10.88671875" style="80" customWidth="1"/>
    <col min="11" max="14" width="13.109375" style="80" bestFit="1" customWidth="1"/>
    <col min="15" max="15" width="12.44140625" style="80" customWidth="1"/>
    <col min="16" max="16" width="12.44140625" style="80" bestFit="1" customWidth="1"/>
    <col min="17" max="17" width="12.44140625" style="80" customWidth="1"/>
    <col min="18" max="18" width="12.5546875" style="80" customWidth="1"/>
    <col min="19" max="19" width="11.33203125" style="80" bestFit="1" customWidth="1"/>
    <col min="20" max="16384" width="7.109375" style="80"/>
  </cols>
  <sheetData>
    <row r="1" spans="1:17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1190"/>
      <c r="Q1" s="81"/>
    </row>
    <row r="2" spans="1:17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81"/>
    </row>
    <row r="3" spans="1:17" ht="15.75">
      <c r="A3" s="1190" t="s">
        <v>188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81"/>
    </row>
    <row r="4" spans="1:17">
      <c r="A4" s="1190" t="str">
        <f>'Table of Contents'!A3:C3</f>
        <v>Base Period: Twelve Months Ended December 31, 2017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96"/>
    </row>
    <row r="5" spans="1:17">
      <c r="A5" s="81"/>
      <c r="B5" s="150"/>
      <c r="C5" s="150"/>
      <c r="D5" s="150"/>
      <c r="E5" s="150"/>
      <c r="F5" s="150"/>
      <c r="G5" s="873"/>
      <c r="H5" s="202"/>
      <c r="I5" s="202"/>
      <c r="J5" s="202"/>
      <c r="K5" s="202"/>
      <c r="L5" s="202"/>
      <c r="M5" s="202"/>
      <c r="N5" s="202"/>
      <c r="O5" s="202"/>
      <c r="P5" s="196"/>
      <c r="Q5" s="196"/>
    </row>
    <row r="6" spans="1:17" ht="15.75">
      <c r="A6" s="232" t="str">
        <f>'C.2.2 B 09'!A6</f>
        <v>Data:___X____Base Period________Forecasted Period</v>
      </c>
      <c r="B6" s="196"/>
      <c r="C6" s="232"/>
      <c r="D6" s="874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504" t="s">
        <v>1454</v>
      </c>
      <c r="Q6" s="196"/>
    </row>
    <row r="7" spans="1:17">
      <c r="A7" s="232" t="str">
        <f>'C.2.2 B 09'!A7</f>
        <v>Type of Filing:___X____Original________Updated ________Revised</v>
      </c>
      <c r="B7" s="196"/>
      <c r="C7" s="232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505" t="s">
        <v>38</v>
      </c>
      <c r="Q7" s="196"/>
    </row>
    <row r="8" spans="1:17">
      <c r="A8" s="312" t="str">
        <f>'C.2.2 B 09'!A8</f>
        <v>Workpaper Reference No(s).____________________</v>
      </c>
      <c r="B8" s="236"/>
      <c r="C8" s="876"/>
      <c r="D8" s="235"/>
      <c r="E8" s="235"/>
      <c r="F8" s="235"/>
      <c r="G8" s="235"/>
      <c r="H8" s="235"/>
      <c r="I8" s="235"/>
      <c r="J8" s="235"/>
      <c r="K8" s="235"/>
      <c r="L8" s="235"/>
      <c r="M8" s="236"/>
      <c r="N8" s="236"/>
      <c r="O8" s="236"/>
      <c r="P8" s="506" t="str">
        <f>C.1!J9</f>
        <v>Witness: Waller, Martin</v>
      </c>
      <c r="Q8" s="196"/>
    </row>
    <row r="9" spans="1:17">
      <c r="A9" s="864" t="s">
        <v>94</v>
      </c>
      <c r="B9" s="865" t="s">
        <v>101</v>
      </c>
      <c r="C9" s="866"/>
      <c r="D9" s="294" t="str">
        <f>'C.2.2 B 09'!D9</f>
        <v>actual</v>
      </c>
      <c r="E9" s="294" t="str">
        <f>'C.2.2 B 09'!F9</f>
        <v>actual</v>
      </c>
      <c r="F9" s="294" t="str">
        <f>'C.2.2 B 09'!F9</f>
        <v>actual</v>
      </c>
      <c r="G9" s="294" t="str">
        <f>'C.2.2 B 09'!G9</f>
        <v>actual</v>
      </c>
      <c r="H9" s="294" t="str">
        <f>'C.2.2 B 09'!H9</f>
        <v>actual</v>
      </c>
      <c r="I9" s="294" t="str">
        <f>'C.2.2 B 09'!I9</f>
        <v>actual</v>
      </c>
      <c r="J9" s="294" t="str">
        <f>'C.2.2 B 09'!J9</f>
        <v>Forecasted</v>
      </c>
      <c r="K9" s="294" t="str">
        <f>'C.2.2 B 09'!K9</f>
        <v>Forecasted</v>
      </c>
      <c r="L9" s="294" t="str">
        <f>'C.2.2 B 09'!L9</f>
        <v>Forecasted</v>
      </c>
      <c r="M9" s="294" t="str">
        <f>'C.2.2 B 09'!M9</f>
        <v>Budgeted</v>
      </c>
      <c r="N9" s="294" t="str">
        <f>'C.2.2 B 09'!N9</f>
        <v>Budgeted</v>
      </c>
      <c r="O9" s="294" t="str">
        <f>'C.2.2 B 09'!O9</f>
        <v>Budgeted</v>
      </c>
      <c r="P9" s="877"/>
      <c r="Q9" s="459"/>
    </row>
    <row r="10" spans="1:17">
      <c r="A10" s="867" t="s">
        <v>100</v>
      </c>
      <c r="B10" s="868" t="s">
        <v>100</v>
      </c>
      <c r="C10" s="869" t="s">
        <v>960</v>
      </c>
      <c r="D10" s="208">
        <f>'C.2.2 B 09'!D10</f>
        <v>42736</v>
      </c>
      <c r="E10" s="208">
        <f>'C.2.2 B 09'!F10</f>
        <v>42795</v>
      </c>
      <c r="F10" s="208">
        <f>'C.2.2 B 09'!F10</f>
        <v>42795</v>
      </c>
      <c r="G10" s="208">
        <f>'C.2.2 B 09'!G10</f>
        <v>42826</v>
      </c>
      <c r="H10" s="208">
        <f>'C.2.2 B 09'!H10</f>
        <v>42856</v>
      </c>
      <c r="I10" s="208">
        <f>'C.2.2 B 09'!I10</f>
        <v>42887</v>
      </c>
      <c r="J10" s="208">
        <f>'C.2.2 B 09'!J10</f>
        <v>42917</v>
      </c>
      <c r="K10" s="208">
        <f>'C.2.2 B 09'!K10</f>
        <v>42948</v>
      </c>
      <c r="L10" s="208">
        <f>'C.2.2 B 09'!L10</f>
        <v>42979</v>
      </c>
      <c r="M10" s="208">
        <f>'C.2.2 B 09'!M10</f>
        <v>43009</v>
      </c>
      <c r="N10" s="208">
        <f>'C.2.2 B 09'!N10</f>
        <v>43040</v>
      </c>
      <c r="O10" s="208">
        <f>'C.2.2 B 09'!O10</f>
        <v>43070</v>
      </c>
      <c r="P10" s="208" t="str">
        <f>'C.2.2 B 09'!P10</f>
        <v>Total</v>
      </c>
      <c r="Q10" s="884"/>
    </row>
    <row r="11" spans="1:17">
      <c r="A11" s="196"/>
      <c r="B11" s="196"/>
      <c r="C11" s="196"/>
      <c r="D11" s="210" t="s">
        <v>147</v>
      </c>
      <c r="E11" s="210" t="s">
        <v>147</v>
      </c>
      <c r="F11" s="210" t="s">
        <v>147</v>
      </c>
      <c r="G11" s="210" t="s">
        <v>147</v>
      </c>
      <c r="H11" s="210" t="s">
        <v>147</v>
      </c>
      <c r="I11" s="210" t="s">
        <v>147</v>
      </c>
      <c r="J11" s="210" t="s">
        <v>147</v>
      </c>
      <c r="K11" s="210" t="s">
        <v>147</v>
      </c>
      <c r="L11" s="210" t="s">
        <v>147</v>
      </c>
      <c r="M11" s="210" t="s">
        <v>147</v>
      </c>
      <c r="N11" s="210" t="s">
        <v>147</v>
      </c>
      <c r="O11" s="210" t="s">
        <v>147</v>
      </c>
      <c r="P11" s="210" t="s">
        <v>147</v>
      </c>
      <c r="Q11" s="210"/>
    </row>
    <row r="12" spans="1:17">
      <c r="A12" s="459">
        <v>1</v>
      </c>
      <c r="B12" s="832">
        <v>4030</v>
      </c>
      <c r="C12" s="196" t="s">
        <v>92</v>
      </c>
      <c r="D12" s="596">
        <f>'[11]Div 012'!C28</f>
        <v>-1.4551915228366852E-11</v>
      </c>
      <c r="E12" s="596">
        <f>'[11]Div 012'!D28</f>
        <v>-2.9103830456733704E-11</v>
      </c>
      <c r="F12" s="596">
        <f>'[11]Div 012'!E28</f>
        <v>-1.1641532182693481E-10</v>
      </c>
      <c r="G12" s="596">
        <f>'[11]Div 012'!F28</f>
        <v>0</v>
      </c>
      <c r="H12" s="596">
        <f>'[11]Div 012'!G28</f>
        <v>3.637978807091713E-11</v>
      </c>
      <c r="I12" s="596">
        <f>'[11]Div 012'!H28</f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211">
        <f t="shared" ref="P12:P25" si="0">SUM(D12:O12)</f>
        <v>-1.2369127944111824E-10</v>
      </c>
      <c r="Q12" s="670"/>
    </row>
    <row r="13" spans="1:17">
      <c r="A13" s="871">
        <f>A12+1</f>
        <v>2</v>
      </c>
      <c r="B13" s="364">
        <v>4081</v>
      </c>
      <c r="C13" s="211" t="s">
        <v>869</v>
      </c>
      <c r="D13" s="596">
        <f>'[11]Div 012'!C29</f>
        <v>-9.9999999678459517E-3</v>
      </c>
      <c r="E13" s="596">
        <f>'[11]Div 012'!D29</f>
        <v>1.5546675058430992E-11</v>
      </c>
      <c r="F13" s="596">
        <f>'[11]Div 012'!E29</f>
        <v>1.2732925824820995E-11</v>
      </c>
      <c r="G13" s="596">
        <f>'[11]Div 012'!F29</f>
        <v>2.9540814239226165E-11</v>
      </c>
      <c r="H13" s="596">
        <f>'[11]Div 012'!G29</f>
        <v>6.0196292395175988E-12</v>
      </c>
      <c r="I13" s="596">
        <f>'[11]Div 012'!H29</f>
        <v>1.0000000012951205E-2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211">
        <f t="shared" si="0"/>
        <v>1.0894529722804691E-10</v>
      </c>
      <c r="Q13" s="211"/>
    </row>
    <row r="14" spans="1:17">
      <c r="A14" s="871">
        <f t="shared" ref="A14:A35" si="1">A13+1</f>
        <v>3</v>
      </c>
      <c r="B14" s="364">
        <v>8700</v>
      </c>
      <c r="C14" s="211" t="s">
        <v>921</v>
      </c>
      <c r="D14" s="596">
        <f>0</f>
        <v>0</v>
      </c>
      <c r="E14" s="596">
        <f>0</f>
        <v>0</v>
      </c>
      <c r="F14" s="596">
        <f>0</f>
        <v>0</v>
      </c>
      <c r="G14" s="596">
        <f>0</f>
        <v>0</v>
      </c>
      <c r="H14" s="596">
        <f>0</f>
        <v>0</v>
      </c>
      <c r="I14" s="596">
        <f>0</f>
        <v>0</v>
      </c>
      <c r="J14" s="96">
        <f>VLOOKUP($B14,'[13]Div 12 forecast'!$D$169:$AF$245,9,FALSE)</f>
        <v>0</v>
      </c>
      <c r="K14" s="96">
        <f>VLOOKUP($B14,'[13]Div 12 forecast'!$D$169:$AF$245,10,FALSE)</f>
        <v>0</v>
      </c>
      <c r="L14" s="96">
        <f>VLOOKUP($B14,'[13]Div 12 forecast'!$D$169:$AF$245,11,FALSE)</f>
        <v>0</v>
      </c>
      <c r="M14" s="96">
        <f>VLOOKUP($B14,'[13]Div 12 forecast'!$D$169:$AF$245,12,FALSE)</f>
        <v>0</v>
      </c>
      <c r="N14" s="96">
        <f>VLOOKUP($B14,'[13]Div 12 forecast'!$D$169:$AF$245,13,FALSE)</f>
        <v>0</v>
      </c>
      <c r="O14" s="96">
        <f>VLOOKUP($B14,'[13]Div 12 forecast'!$D$169:$AF$245,14,FALSE)</f>
        <v>0</v>
      </c>
      <c r="P14" s="211">
        <f t="shared" si="0"/>
        <v>0</v>
      </c>
      <c r="Q14" s="211"/>
    </row>
    <row r="15" spans="1:17">
      <c r="A15" s="871">
        <f t="shared" si="1"/>
        <v>4</v>
      </c>
      <c r="B15" s="364">
        <v>8740</v>
      </c>
      <c r="C15" s="211" t="s">
        <v>923</v>
      </c>
      <c r="D15" s="596">
        <f>'[11]Div 012'!C32</f>
        <v>2021.33</v>
      </c>
      <c r="E15" s="596">
        <f>'[11]Div 012'!D32</f>
        <v>1302.98</v>
      </c>
      <c r="F15" s="596">
        <f>'[11]Div 012'!E32</f>
        <v>1296.21</v>
      </c>
      <c r="G15" s="596">
        <f>'[11]Div 012'!F32</f>
        <v>1673.07</v>
      </c>
      <c r="H15" s="596">
        <f>'[11]Div 012'!G32</f>
        <v>1951.15</v>
      </c>
      <c r="I15" s="596">
        <f>'[11]Div 012'!H32</f>
        <v>1635.9399999999998</v>
      </c>
      <c r="J15" s="96">
        <f>VLOOKUP($B15,'[13]Div 12 forecast'!$D$169:$AF$245,9,FALSE)</f>
        <v>2108.5062218842036</v>
      </c>
      <c r="K15" s="96">
        <f>VLOOKUP($B15,'[13]Div 12 forecast'!$D$169:$AF$245,10,FALSE)</f>
        <v>2108.5062218842036</v>
      </c>
      <c r="L15" s="96">
        <f>VLOOKUP($B15,'[13]Div 12 forecast'!$D$169:$AF$245,11,FALSE)</f>
        <v>2104.5090536910579</v>
      </c>
      <c r="M15" s="96">
        <f>VLOOKUP($B15,'[13]Div 12 forecast'!$D$169:$AF$245,12,FALSE)</f>
        <v>1699.7957741350851</v>
      </c>
      <c r="N15" s="96">
        <f>VLOOKUP($B15,'[13]Div 12 forecast'!$D$169:$AF$245,13,FALSE)</f>
        <v>1699.7957741350851</v>
      </c>
      <c r="O15" s="96">
        <f>VLOOKUP($B15,'[13]Div 12 forecast'!$D$169:$AF$245,14,FALSE)</f>
        <v>1699.7957741350851</v>
      </c>
      <c r="P15" s="211">
        <f t="shared" si="0"/>
        <v>21301.588819864715</v>
      </c>
      <c r="Q15" s="211"/>
    </row>
    <row r="16" spans="1:17">
      <c r="A16" s="871">
        <f t="shared" si="1"/>
        <v>5</v>
      </c>
      <c r="B16" s="364">
        <v>8800</v>
      </c>
      <c r="C16" s="211" t="s">
        <v>929</v>
      </c>
      <c r="D16" s="596">
        <f>0</f>
        <v>0</v>
      </c>
      <c r="E16" s="596">
        <f>0</f>
        <v>0</v>
      </c>
      <c r="F16" s="596">
        <f>0</f>
        <v>0</v>
      </c>
      <c r="G16" s="596">
        <f>0</f>
        <v>0</v>
      </c>
      <c r="H16" s="596">
        <f>0</f>
        <v>0</v>
      </c>
      <c r="I16" s="596">
        <f>0</f>
        <v>0</v>
      </c>
      <c r="J16" s="96">
        <f>VLOOKUP($B16,'[13]Div 12 forecast'!$D$169:$AF$245,9,FALSE)</f>
        <v>0</v>
      </c>
      <c r="K16" s="96">
        <f>VLOOKUP($B16,'[13]Div 12 forecast'!$D$169:$AF$245,10,FALSE)</f>
        <v>0</v>
      </c>
      <c r="L16" s="96">
        <f>VLOOKUP($B16,'[13]Div 12 forecast'!$D$169:$AF$245,11,FALSE)</f>
        <v>0</v>
      </c>
      <c r="M16" s="96">
        <f>VLOOKUP($B16,'[13]Div 12 forecast'!$D$169:$AF$245,12,FALSE)</f>
        <v>0</v>
      </c>
      <c r="N16" s="96">
        <f>VLOOKUP($B16,'[13]Div 12 forecast'!$D$169:$AF$245,13,FALSE)</f>
        <v>0</v>
      </c>
      <c r="O16" s="96">
        <f>VLOOKUP($B16,'[13]Div 12 forecast'!$D$169:$AF$245,14,FALSE)</f>
        <v>0</v>
      </c>
      <c r="P16" s="211">
        <f t="shared" si="0"/>
        <v>0</v>
      </c>
      <c r="Q16" s="211"/>
    </row>
    <row r="17" spans="1:17">
      <c r="A17" s="871">
        <f t="shared" si="1"/>
        <v>6</v>
      </c>
      <c r="B17" s="364">
        <v>9010</v>
      </c>
      <c r="C17" s="211" t="s">
        <v>182</v>
      </c>
      <c r="D17" s="596">
        <f>'[11]Div 012'!C33</f>
        <v>345788.8</v>
      </c>
      <c r="E17" s="596">
        <f>'[11]Div 012'!D33</f>
        <v>325501.09999999998</v>
      </c>
      <c r="F17" s="596">
        <f>'[11]Div 012'!E33</f>
        <v>371262.11</v>
      </c>
      <c r="G17" s="596">
        <f>'[11]Div 012'!F33</f>
        <v>315776.92000000004</v>
      </c>
      <c r="H17" s="596">
        <f>'[11]Div 012'!G33</f>
        <v>363030.96000000008</v>
      </c>
      <c r="I17" s="596">
        <f>'[11]Div 012'!H33</f>
        <v>355088.25</v>
      </c>
      <c r="J17" s="96">
        <f>VLOOKUP($B17,'[13]Div 12 forecast'!$D$169:$AF$245,9,FALSE)</f>
        <v>408249.24118259293</v>
      </c>
      <c r="K17" s="96">
        <f>VLOOKUP($B17,'[13]Div 12 forecast'!$D$169:$AF$245,10,FALSE)</f>
        <v>439921.88623749086</v>
      </c>
      <c r="L17" s="96">
        <f>VLOOKUP($B17,'[13]Div 12 forecast'!$D$169:$AF$245,11,FALSE)</f>
        <v>403566.09011453734</v>
      </c>
      <c r="M17" s="96">
        <f>VLOOKUP($B17,'[13]Div 12 forecast'!$D$169:$AF$245,12,FALSE)</f>
        <v>414715.10003821598</v>
      </c>
      <c r="N17" s="96">
        <f>VLOOKUP($B17,'[13]Div 12 forecast'!$D$169:$AF$245,13,FALSE)</f>
        <v>409418.25585608825</v>
      </c>
      <c r="O17" s="96">
        <f>VLOOKUP($B17,'[13]Div 12 forecast'!$D$169:$AF$245,14,FALSE)</f>
        <v>393911.68921853218</v>
      </c>
      <c r="P17" s="211">
        <f t="shared" si="0"/>
        <v>4546230.402647458</v>
      </c>
      <c r="Q17" s="211"/>
    </row>
    <row r="18" spans="1:17">
      <c r="A18" s="871">
        <f t="shared" si="1"/>
        <v>7</v>
      </c>
      <c r="B18" s="364">
        <v>9020</v>
      </c>
      <c r="C18" s="211" t="s">
        <v>940</v>
      </c>
      <c r="D18" s="596">
        <f>'[11]Div 012'!C34</f>
        <v>2827.18</v>
      </c>
      <c r="E18" s="596">
        <f>'[11]Div 012'!D34</f>
        <v>2492.65</v>
      </c>
      <c r="F18" s="596">
        <f>'[11]Div 012'!E34</f>
        <v>3252.47</v>
      </c>
      <c r="G18" s="596">
        <f>'[11]Div 012'!F34</f>
        <v>2426.96</v>
      </c>
      <c r="H18" s="596">
        <f>'[11]Div 012'!G34</f>
        <v>2434.3700000000003</v>
      </c>
      <c r="I18" s="596">
        <f>'[11]Div 012'!H34</f>
        <v>2598.9900000000002</v>
      </c>
      <c r="J18" s="96">
        <f>VLOOKUP($B18,'[13]Div 12 forecast'!$D$169:$AF$245,9,FALSE)</f>
        <v>3129.6704196327341</v>
      </c>
      <c r="K18" s="96">
        <f>VLOOKUP($B18,'[13]Div 12 forecast'!$D$169:$AF$245,10,FALSE)</f>
        <v>3419.9887260877772</v>
      </c>
      <c r="L18" s="96">
        <f>VLOOKUP($B18,'[13]Div 12 forecast'!$D$169:$AF$245,11,FALSE)</f>
        <v>3129.6704196327341</v>
      </c>
      <c r="M18" s="96">
        <f>VLOOKUP($B18,'[13]Div 12 forecast'!$D$169:$AF$245,12,FALSE)</f>
        <v>3206.8122757935935</v>
      </c>
      <c r="N18" s="96">
        <f>VLOOKUP($B18,'[13]Div 12 forecast'!$D$169:$AF$245,13,FALSE)</f>
        <v>3206.8122757935935</v>
      </c>
      <c r="O18" s="96">
        <f>VLOOKUP($B18,'[13]Div 12 forecast'!$D$169:$AF$245,14,FALSE)</f>
        <v>3061.9902347822399</v>
      </c>
      <c r="P18" s="211">
        <f t="shared" si="0"/>
        <v>35187.564351722671</v>
      </c>
      <c r="Q18" s="211"/>
    </row>
    <row r="19" spans="1:17">
      <c r="A19" s="871">
        <f t="shared" si="1"/>
        <v>8</v>
      </c>
      <c r="B19" s="364">
        <v>9030</v>
      </c>
      <c r="C19" s="211" t="s">
        <v>945</v>
      </c>
      <c r="D19" s="596">
        <f>'[11]Div 012'!C35</f>
        <v>1596481.55</v>
      </c>
      <c r="E19" s="596">
        <f>'[11]Div 012'!D35</f>
        <v>1399178.37</v>
      </c>
      <c r="F19" s="596">
        <f>'[11]Div 012'!E35</f>
        <v>1619284.2600000002</v>
      </c>
      <c r="G19" s="596">
        <f>'[11]Div 012'!F35</f>
        <v>1395506.2899999998</v>
      </c>
      <c r="H19" s="596">
        <f>'[11]Div 012'!G35</f>
        <v>1567812.4299999997</v>
      </c>
      <c r="I19" s="596">
        <f>'[11]Div 012'!H35</f>
        <v>1532666.09</v>
      </c>
      <c r="J19" s="96">
        <f>VLOOKUP($B19,'[13]Div 12 forecast'!$D$169:$AF$245,9,FALSE)</f>
        <v>1809832.3744862846</v>
      </c>
      <c r="K19" s="96">
        <f>VLOOKUP($B19,'[13]Div 12 forecast'!$D$169:$AF$245,10,FALSE)</f>
        <v>1919968.318625456</v>
      </c>
      <c r="L19" s="96">
        <f>VLOOKUP($B19,'[13]Div 12 forecast'!$D$169:$AF$245,11,FALSE)</f>
        <v>1758653.9188195765</v>
      </c>
      <c r="M19" s="96">
        <f>VLOOKUP($B19,'[13]Div 12 forecast'!$D$169:$AF$245,12,FALSE)</f>
        <v>1850067.2927439839</v>
      </c>
      <c r="N19" s="96">
        <f>VLOOKUP($B19,'[13]Div 12 forecast'!$D$169:$AF$245,13,FALSE)</f>
        <v>1798551.2873285485</v>
      </c>
      <c r="O19" s="96">
        <f>VLOOKUP($B19,'[13]Div 12 forecast'!$D$169:$AF$245,14,FALSE)</f>
        <v>1719696.3008250946</v>
      </c>
      <c r="P19" s="211">
        <f t="shared" si="0"/>
        <v>19967698.482828941</v>
      </c>
      <c r="Q19" s="211"/>
    </row>
    <row r="20" spans="1:17">
      <c r="A20" s="871">
        <f t="shared" si="1"/>
        <v>9</v>
      </c>
      <c r="B20" s="364">
        <v>9200</v>
      </c>
      <c r="C20" s="211" t="s">
        <v>183</v>
      </c>
      <c r="D20" s="596">
        <f>'[11]Div 012'!C36</f>
        <v>445375.62000000005</v>
      </c>
      <c r="E20" s="596">
        <f>'[11]Div 012'!D36</f>
        <v>369782.82000000007</v>
      </c>
      <c r="F20" s="596">
        <f>'[11]Div 012'!E36</f>
        <v>424768.47000000009</v>
      </c>
      <c r="G20" s="596">
        <f>'[11]Div 012'!F36</f>
        <v>278911.63</v>
      </c>
      <c r="H20" s="596">
        <f>'[11]Div 012'!G36</f>
        <v>332812.16000000003</v>
      </c>
      <c r="I20" s="596">
        <f>'[11]Div 012'!H36</f>
        <v>307847.19</v>
      </c>
      <c r="J20" s="96">
        <f>VLOOKUP($B20,'[13]Div 12 forecast'!$D$169:$AF$245,9,FALSE)</f>
        <v>421547.86102285853</v>
      </c>
      <c r="K20" s="96">
        <f>VLOOKUP($B20,'[13]Div 12 forecast'!$D$169:$AF$245,10,FALSE)</f>
        <v>460651.99810201593</v>
      </c>
      <c r="L20" s="96">
        <f>VLOOKUP($B20,'[13]Div 12 forecast'!$D$169:$AF$245,11,FALSE)</f>
        <v>421547.86102285853</v>
      </c>
      <c r="M20" s="96">
        <f>VLOOKUP($B20,'[13]Div 12 forecast'!$D$169:$AF$245,12,FALSE)</f>
        <v>431938.40702282987</v>
      </c>
      <c r="N20" s="96">
        <f>VLOOKUP($B20,'[13]Div 12 forecast'!$D$169:$AF$245,13,FALSE)</f>
        <v>431938.40702282987</v>
      </c>
      <c r="O20" s="96">
        <f>VLOOKUP($B20,'[13]Div 12 forecast'!$D$169:$AF$245,14,FALSE)</f>
        <v>412431.7454797065</v>
      </c>
      <c r="P20" s="211">
        <f t="shared" si="0"/>
        <v>4739554.1696730992</v>
      </c>
      <c r="Q20" s="211"/>
    </row>
    <row r="21" spans="1:17">
      <c r="A21" s="871">
        <f t="shared" si="1"/>
        <v>10</v>
      </c>
      <c r="B21" s="364">
        <v>9210</v>
      </c>
      <c r="C21" s="211" t="s">
        <v>952</v>
      </c>
      <c r="D21" s="596">
        <f>'[11]Div 012'!C37</f>
        <v>744503.11999999988</v>
      </c>
      <c r="E21" s="596">
        <f>'[11]Div 012'!D37</f>
        <v>642804.87</v>
      </c>
      <c r="F21" s="596">
        <f>'[11]Div 012'!E37</f>
        <v>706185.25</v>
      </c>
      <c r="G21" s="596">
        <f>'[11]Div 012'!F37</f>
        <v>673818.10999999952</v>
      </c>
      <c r="H21" s="596">
        <f>'[11]Div 012'!G37</f>
        <v>750436.9099999998</v>
      </c>
      <c r="I21" s="596">
        <f>'[11]Div 012'!H37</f>
        <v>967833.5399999998</v>
      </c>
      <c r="J21" s="96">
        <f>VLOOKUP($B21,'[13]Div 12 forecast'!$D$169:$AF$245,9,FALSE)</f>
        <v>189091.6804483103</v>
      </c>
      <c r="K21" s="96">
        <f>VLOOKUP($B21,'[13]Div 12 forecast'!$D$169:$AF$245,10,FALSE)</f>
        <v>187377.3056777684</v>
      </c>
      <c r="L21" s="96">
        <f>VLOOKUP($B21,'[13]Div 12 forecast'!$D$169:$AF$245,11,FALSE)</f>
        <v>168380.20103660104</v>
      </c>
      <c r="M21" s="96">
        <f>VLOOKUP($B21,'[13]Div 12 forecast'!$D$169:$AF$245,12,FALSE)</f>
        <v>206587.02536539073</v>
      </c>
      <c r="N21" s="96">
        <f>VLOOKUP($B21,'[13]Div 12 forecast'!$D$169:$AF$245,13,FALSE)</f>
        <v>197708.2494321322</v>
      </c>
      <c r="O21" s="96">
        <f>VLOOKUP($B21,'[13]Div 12 forecast'!$D$169:$AF$245,14,FALSE)</f>
        <v>202317.90444773136</v>
      </c>
      <c r="P21" s="211">
        <f t="shared" si="0"/>
        <v>5637044.1664079344</v>
      </c>
      <c r="Q21" s="211"/>
    </row>
    <row r="22" spans="1:17">
      <c r="A22" s="871">
        <f t="shared" si="1"/>
        <v>11</v>
      </c>
      <c r="B22" s="364">
        <v>9220</v>
      </c>
      <c r="C22" s="211" t="s">
        <v>953</v>
      </c>
      <c r="D22" s="596">
        <f>'[11]Div 012'!C38</f>
        <v>-4104410.0699999975</v>
      </c>
      <c r="E22" s="596">
        <f>'[11]Div 012'!D38</f>
        <v>-3692373.38</v>
      </c>
      <c r="F22" s="596">
        <f>'[11]Div 012'!E38</f>
        <v>-4255879.66</v>
      </c>
      <c r="G22" s="596">
        <f>'[11]Div 012'!F38</f>
        <v>-3697685.17</v>
      </c>
      <c r="H22" s="596">
        <f>'[11]Div 012'!G38</f>
        <v>-4192143.9400000009</v>
      </c>
      <c r="I22" s="596">
        <f>'[11]Div 012'!H38</f>
        <v>-4117575.1800000025</v>
      </c>
      <c r="J22" s="96">
        <f t="shared" ref="J22:O22" si="2">-(SUM(J12:J21)+SUM(J23:J28))</f>
        <v>-3924136.8900000006</v>
      </c>
      <c r="K22" s="96">
        <f t="shared" si="2"/>
        <v>-4180992.8900000006</v>
      </c>
      <c r="L22" s="96">
        <f t="shared" si="2"/>
        <v>-3839066.290000001</v>
      </c>
      <c r="M22" s="96">
        <f t="shared" si="2"/>
        <v>-3962203.4759000009</v>
      </c>
      <c r="N22" s="96">
        <f t="shared" si="2"/>
        <v>-3907270.1835000012</v>
      </c>
      <c r="O22" s="96">
        <f t="shared" si="2"/>
        <v>-3760952.8256000006</v>
      </c>
      <c r="P22" s="211">
        <f t="shared" si="0"/>
        <v>-47634689.955000006</v>
      </c>
      <c r="Q22" s="670"/>
    </row>
    <row r="23" spans="1:17">
      <c r="A23" s="871">
        <f t="shared" si="1"/>
        <v>12</v>
      </c>
      <c r="B23" s="364">
        <v>9230</v>
      </c>
      <c r="C23" s="211" t="s">
        <v>954</v>
      </c>
      <c r="D23" s="596">
        <f>'[11]Div 012'!C39</f>
        <v>1419.9699999999993</v>
      </c>
      <c r="E23" s="596">
        <f>'[11]Div 012'!D39</f>
        <v>69053.959999999992</v>
      </c>
      <c r="F23" s="596">
        <f>'[11]Div 012'!E39</f>
        <v>109043.51</v>
      </c>
      <c r="G23" s="596">
        <f>'[11]Div 012'!F39</f>
        <v>110711.93000000001</v>
      </c>
      <c r="H23" s="596">
        <f>'[11]Div 012'!G39</f>
        <v>79952.899999999994</v>
      </c>
      <c r="I23" s="596">
        <f>'[11]Div 012'!H39</f>
        <v>53126</v>
      </c>
      <c r="J23" s="96">
        <f>VLOOKUP($B23,'[13]Div 12 forecast'!$D$169:$AF$245,9,FALSE)</f>
        <v>32097.622490204551</v>
      </c>
      <c r="K23" s="96">
        <f>VLOOKUP($B23,'[13]Div 12 forecast'!$D$169:$AF$245,10,FALSE)</f>
        <v>33982.839720064127</v>
      </c>
      <c r="L23" s="96">
        <f>VLOOKUP($B23,'[13]Div 12 forecast'!$D$169:$AF$245,11,FALSE)</f>
        <v>25102.908918406512</v>
      </c>
      <c r="M23" s="96">
        <f>VLOOKUP($B23,'[13]Div 12 forecast'!$D$169:$AF$245,12,FALSE)</f>
        <v>36385.509937096562</v>
      </c>
      <c r="N23" s="96">
        <f>VLOOKUP($B23,'[13]Div 12 forecast'!$D$169:$AF$245,13,FALSE)</f>
        <v>37067.551094822382</v>
      </c>
      <c r="O23" s="96">
        <f>VLOOKUP($B23,'[13]Div 12 forecast'!$D$169:$AF$245,14,FALSE)</f>
        <v>36457.316934983966</v>
      </c>
      <c r="P23" s="211">
        <f t="shared" si="0"/>
        <v>624402.019095578</v>
      </c>
      <c r="Q23" s="211"/>
    </row>
    <row r="24" spans="1:17">
      <c r="A24" s="871">
        <f t="shared" si="1"/>
        <v>13</v>
      </c>
      <c r="B24" s="364">
        <v>9240</v>
      </c>
      <c r="C24" s="211" t="s">
        <v>955</v>
      </c>
      <c r="D24" s="596">
        <f>'[11]Div 012'!C40</f>
        <v>9998.56</v>
      </c>
      <c r="E24" s="596">
        <f>'[11]Div 012'!D40</f>
        <v>9998.56</v>
      </c>
      <c r="F24" s="596">
        <f>'[11]Div 012'!E40</f>
        <v>8105.89</v>
      </c>
      <c r="G24" s="596">
        <f>'[11]Div 012'!F40</f>
        <v>8105.89</v>
      </c>
      <c r="H24" s="596">
        <f>'[11]Div 012'!G40</f>
        <v>8105.89</v>
      </c>
      <c r="I24" s="596">
        <f>'[11]Div 012'!H40</f>
        <v>8105.89</v>
      </c>
      <c r="J24" s="96">
        <f>VLOOKUP($B24,'[13]Div 12 forecast'!$D$169:$AF$245,9,FALSE)</f>
        <v>0</v>
      </c>
      <c r="K24" s="96">
        <f>VLOOKUP($B24,'[13]Div 12 forecast'!$D$169:$AF$245,10,FALSE)</f>
        <v>0</v>
      </c>
      <c r="L24" s="96">
        <f>VLOOKUP($B24,'[13]Div 12 forecast'!$D$169:$AF$245,11,FALSE)</f>
        <v>0</v>
      </c>
      <c r="M24" s="96">
        <f>VLOOKUP($B24,'[13]Div 12 forecast'!$D$169:$AF$245,12,FALSE)</f>
        <v>0</v>
      </c>
      <c r="N24" s="96">
        <f>VLOOKUP($B24,'[13]Div 12 forecast'!$D$169:$AF$245,13,FALSE)</f>
        <v>0</v>
      </c>
      <c r="O24" s="96">
        <f>VLOOKUP($B24,'[13]Div 12 forecast'!$D$169:$AF$245,14,FALSE)</f>
        <v>0</v>
      </c>
      <c r="P24" s="211">
        <f t="shared" si="0"/>
        <v>52420.68</v>
      </c>
      <c r="Q24" s="211"/>
    </row>
    <row r="25" spans="1:17">
      <c r="A25" s="871">
        <f t="shared" si="1"/>
        <v>14</v>
      </c>
      <c r="B25" s="364">
        <v>9250</v>
      </c>
      <c r="C25" s="80" t="s">
        <v>956</v>
      </c>
      <c r="D25" s="596">
        <f>'[11]Div 012'!C41</f>
        <v>0</v>
      </c>
      <c r="E25" s="596">
        <f>'[11]Div 012'!D41</f>
        <v>0</v>
      </c>
      <c r="F25" s="596">
        <f>'[11]Div 012'!E41</f>
        <v>0</v>
      </c>
      <c r="G25" s="596">
        <f>'[11]Div 012'!F41</f>
        <v>17.690000000000001</v>
      </c>
      <c r="H25" s="596">
        <f>'[11]Div 012'!G41</f>
        <v>17.28</v>
      </c>
      <c r="I25" s="596">
        <f>'[11]Div 012'!H41</f>
        <v>17.28</v>
      </c>
      <c r="J25" s="96">
        <f>VLOOKUP($B25,'[13]Div 12 forecast'!$D$169:$AF$245,9,FALSE)</f>
        <v>0</v>
      </c>
      <c r="K25" s="96">
        <f>VLOOKUP($B25,'[13]Div 12 forecast'!$D$169:$AF$245,10,FALSE)</f>
        <v>0</v>
      </c>
      <c r="L25" s="96">
        <f>VLOOKUP($B25,'[13]Div 12 forecast'!$D$169:$AF$245,11,FALSE)</f>
        <v>0</v>
      </c>
      <c r="M25" s="96">
        <f>VLOOKUP($B25,'[13]Div 12 forecast'!$D$169:$AF$245,12,FALSE)</f>
        <v>0</v>
      </c>
      <c r="N25" s="96">
        <f>VLOOKUP($B25,'[13]Div 12 forecast'!$D$169:$AF$245,13,FALSE)</f>
        <v>0</v>
      </c>
      <c r="O25" s="96">
        <f>VLOOKUP($B25,'[13]Div 12 forecast'!$D$169:$AF$245,14,FALSE)</f>
        <v>0</v>
      </c>
      <c r="P25" s="211">
        <f t="shared" si="0"/>
        <v>52.25</v>
      </c>
      <c r="Q25" s="211"/>
    </row>
    <row r="26" spans="1:17">
      <c r="A26" s="871">
        <f t="shared" si="1"/>
        <v>15</v>
      </c>
      <c r="B26" s="364">
        <v>9260</v>
      </c>
      <c r="C26" s="211" t="s">
        <v>957</v>
      </c>
      <c r="D26" s="596">
        <f>'[11]Div 012'!C42</f>
        <v>801817.73</v>
      </c>
      <c r="E26" s="596">
        <f>'[11]Div 012'!D42</f>
        <v>713976.82</v>
      </c>
      <c r="F26" s="596">
        <f>'[11]Div 012'!E42</f>
        <v>858462.23</v>
      </c>
      <c r="G26" s="596">
        <f>'[11]Div 012'!F42</f>
        <v>672241.46000000008</v>
      </c>
      <c r="H26" s="596">
        <f>'[11]Div 012'!G42</f>
        <v>835509.42000000027</v>
      </c>
      <c r="I26" s="596">
        <f>'[11]Div 012'!H42</f>
        <v>734230.03000000014</v>
      </c>
      <c r="J26" s="96">
        <f>VLOOKUP($B26,'[13]Div 12 forecast'!$D$169:$AF$245,9,FALSE)</f>
        <v>925073.20376203989</v>
      </c>
      <c r="K26" s="96">
        <f>VLOOKUP($B26,'[13]Div 12 forecast'!$D$169:$AF$245,10,FALSE)</f>
        <v>1004151.5709340967</v>
      </c>
      <c r="L26" s="96">
        <f>VLOOKUP($B26,'[13]Div 12 forecast'!$D$169:$AF$245,11,FALSE)</f>
        <v>927170.27475365496</v>
      </c>
      <c r="M26" s="96">
        <f>VLOOKUP($B26,'[13]Div 12 forecast'!$D$169:$AF$245,12,FALSE)</f>
        <v>882489.88069282833</v>
      </c>
      <c r="N26" s="96">
        <f>VLOOKUP($B26,'[13]Div 12 forecast'!$D$169:$AF$245,13,FALSE)</f>
        <v>893033.15406569128</v>
      </c>
      <c r="O26" s="96">
        <f>VLOOKUP($B26,'[13]Div 12 forecast'!$D$169:$AF$245,14,FALSE)</f>
        <v>850375.73900060658</v>
      </c>
      <c r="P26" s="211">
        <f>SUM(D26:O26)</f>
        <v>10098531.513208918</v>
      </c>
      <c r="Q26" s="211"/>
    </row>
    <row r="27" spans="1:17">
      <c r="A27" s="871">
        <f t="shared" si="1"/>
        <v>16</v>
      </c>
      <c r="B27" s="364">
        <v>9310</v>
      </c>
      <c r="C27" s="211" t="s">
        <v>185</v>
      </c>
      <c r="D27" s="596">
        <f>'[11]Div 012'!C43</f>
        <v>153533.72000000003</v>
      </c>
      <c r="E27" s="596">
        <f>'[11]Div 012'!D43</f>
        <v>154542.82</v>
      </c>
      <c r="F27" s="596">
        <f>'[11]Div 012'!E43</f>
        <v>153235.66</v>
      </c>
      <c r="G27" s="596">
        <f>'[11]Div 012'!F43</f>
        <v>153107.31</v>
      </c>
      <c r="H27" s="596">
        <f>'[11]Div 012'!G43</f>
        <v>153617.66</v>
      </c>
      <c r="I27" s="596">
        <f>'[11]Div 012'!H43</f>
        <v>154426.03</v>
      </c>
      <c r="J27" s="96">
        <f>VLOOKUP($B27,'[13]Div 12 forecast'!$D$169:$AF$245,9,FALSE)</f>
        <v>133002.55921508768</v>
      </c>
      <c r="K27" s="96">
        <f>VLOOKUP($B27,'[13]Div 12 forecast'!$D$169:$AF$245,10,FALSE)</f>
        <v>129406.30500403115</v>
      </c>
      <c r="L27" s="96">
        <f>VLOOKUP($B27,'[13]Div 12 forecast'!$D$169:$AF$245,11,FALSE)</f>
        <v>129406.30500403115</v>
      </c>
      <c r="M27" s="96">
        <f>VLOOKUP($B27,'[13]Div 12 forecast'!$D$169:$AF$245,12,FALSE)</f>
        <v>135098.72117732372</v>
      </c>
      <c r="N27" s="96">
        <f>VLOOKUP($B27,'[13]Div 12 forecast'!$D$169:$AF$245,13,FALSE)</f>
        <v>134643.15597206212</v>
      </c>
      <c r="O27" s="96">
        <f>VLOOKUP($B27,'[13]Div 12 forecast'!$D$169:$AF$245,14,FALSE)</f>
        <v>140991.97614756582</v>
      </c>
      <c r="P27" s="211">
        <f>SUM(D27:O27)</f>
        <v>1725012.2225201016</v>
      </c>
      <c r="Q27" s="211"/>
    </row>
    <row r="28" spans="1:17">
      <c r="A28" s="871">
        <f t="shared" si="1"/>
        <v>17</v>
      </c>
      <c r="B28" s="364">
        <v>9320</v>
      </c>
      <c r="C28" s="211" t="s">
        <v>186</v>
      </c>
      <c r="D28" s="596">
        <f>'[11]Div 012'!C44</f>
        <v>642.48</v>
      </c>
      <c r="E28" s="596">
        <f>'[11]Div 012'!D44</f>
        <v>3738.4300000000003</v>
      </c>
      <c r="F28" s="596">
        <f>'[11]Div 012'!E44</f>
        <v>983.61000000000013</v>
      </c>
      <c r="G28" s="596">
        <f>'[11]Div 012'!F44</f>
        <v>323.14</v>
      </c>
      <c r="H28" s="596">
        <f>'[11]Div 012'!G44</f>
        <v>5.41</v>
      </c>
      <c r="I28" s="596">
        <f>'[11]Div 012'!H44</f>
        <v>0</v>
      </c>
      <c r="J28" s="96">
        <f>VLOOKUP($B28,'[13]Div 12 forecast'!$D$169:$AF$245,9,FALSE)</f>
        <v>4.170751105494154</v>
      </c>
      <c r="K28" s="96">
        <f>VLOOKUP($B28,'[13]Div 12 forecast'!$D$169:$AF$245,10,FALSE)</f>
        <v>4.170751105494154</v>
      </c>
      <c r="L28" s="96">
        <f>VLOOKUP($B28,'[13]Div 12 forecast'!$D$169:$AF$245,11,FALSE)</f>
        <v>4.5508570114880023</v>
      </c>
      <c r="M28" s="96">
        <f>VLOOKUP($B28,'[13]Div 12 forecast'!$D$169:$AF$245,12,FALSE)</f>
        <v>14.930872403251541</v>
      </c>
      <c r="N28" s="96">
        <f>VLOOKUP($B28,'[13]Div 12 forecast'!$D$169:$AF$245,13,FALSE)</f>
        <v>3.5146778978883315</v>
      </c>
      <c r="O28" s="96">
        <f>VLOOKUP($B28,'[13]Div 12 forecast'!$D$169:$AF$245,14,FALSE)</f>
        <v>8.3675368620837762</v>
      </c>
      <c r="P28" s="211">
        <f>SUM(D28:O28)</f>
        <v>5732.7754463857</v>
      </c>
      <c r="Q28" s="211"/>
    </row>
    <row r="29" spans="1:17">
      <c r="A29" s="871">
        <f t="shared" si="1"/>
        <v>18</v>
      </c>
      <c r="B29" s="211"/>
      <c r="C29" s="8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217"/>
      <c r="Q29" s="217"/>
    </row>
    <row r="30" spans="1:17" ht="15.75" thickBot="1">
      <c r="A30" s="871">
        <f t="shared" si="1"/>
        <v>19</v>
      </c>
      <c r="B30" s="217" t="s">
        <v>741</v>
      </c>
      <c r="C30" s="879"/>
      <c r="D30" s="650">
        <f>SUM(D12:D28)</f>
        <v>-1.9999997613467713E-2</v>
      </c>
      <c r="E30" s="650">
        <f t="shared" ref="E30:P30" si="3">SUM(E12:E29)</f>
        <v>1.2369127944111824E-10</v>
      </c>
      <c r="F30" s="650">
        <f t="shared" si="3"/>
        <v>9.9999998778912413E-3</v>
      </c>
      <c r="G30" s="650">
        <f t="shared" si="3"/>
        <v>-85064.77000000079</v>
      </c>
      <c r="H30" s="650">
        <f t="shared" si="3"/>
        <v>-96457.400000001246</v>
      </c>
      <c r="I30" s="650">
        <f t="shared" si="3"/>
        <v>5.9999997465638444E-2</v>
      </c>
      <c r="J30" s="650">
        <f t="shared" si="3"/>
        <v>3.1507507713968153E-10</v>
      </c>
      <c r="K30" s="650">
        <f t="shared" si="3"/>
        <v>-1.6513812539642458E-10</v>
      </c>
      <c r="L30" s="650">
        <f t="shared" si="3"/>
        <v>3.6106584389017371E-10</v>
      </c>
      <c r="M30" s="650">
        <f t="shared" si="3"/>
        <v>2.8272495455894386E-10</v>
      </c>
      <c r="N30" s="650">
        <f t="shared" si="3"/>
        <v>-5.1359805297579442E-11</v>
      </c>
      <c r="O30" s="650">
        <f t="shared" si="3"/>
        <v>-5.9880989056182443E-12</v>
      </c>
      <c r="P30" s="650">
        <f t="shared" si="3"/>
        <v>-181522.12000000072</v>
      </c>
      <c r="Q30" s="651"/>
    </row>
    <row r="31" spans="1:17" ht="15.75" thickTop="1">
      <c r="A31" s="871">
        <f t="shared" si="1"/>
        <v>20</v>
      </c>
      <c r="B31" s="217"/>
      <c r="C31" s="879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</row>
    <row r="32" spans="1:17">
      <c r="A32" s="871">
        <f t="shared" si="1"/>
        <v>21</v>
      </c>
      <c r="B32" s="364">
        <f>B22</f>
        <v>9220</v>
      </c>
      <c r="C32" s="367" t="str">
        <f>C22</f>
        <v>A&amp;G-Administrative expense transferred-Credit</v>
      </c>
      <c r="D32" s="365">
        <f>D22</f>
        <v>-4104410.0699999975</v>
      </c>
      <c r="E32" s="365">
        <f t="shared" ref="E32:I32" si="4">E22</f>
        <v>-3692373.38</v>
      </c>
      <c r="F32" s="365">
        <f t="shared" si="4"/>
        <v>-4255879.66</v>
      </c>
      <c r="G32" s="365">
        <f t="shared" si="4"/>
        <v>-3697685.17</v>
      </c>
      <c r="H32" s="365">
        <f t="shared" si="4"/>
        <v>-4192143.9400000009</v>
      </c>
      <c r="I32" s="365">
        <f t="shared" si="4"/>
        <v>-4117575.1800000025</v>
      </c>
      <c r="J32" s="365">
        <f t="shared" ref="J32:K32" si="5">-(J30-J22)</f>
        <v>-3924136.8900000011</v>
      </c>
      <c r="K32" s="365">
        <f t="shared" si="5"/>
        <v>-4180992.8900000006</v>
      </c>
      <c r="L32" s="368">
        <f>L22</f>
        <v>-3839066.290000001</v>
      </c>
      <c r="M32" s="368">
        <f>M22</f>
        <v>-3962203.4759000009</v>
      </c>
      <c r="N32" s="368">
        <f>N22</f>
        <v>-3907270.1835000012</v>
      </c>
      <c r="O32" s="368">
        <f>O22</f>
        <v>-3760952.8256000006</v>
      </c>
      <c r="P32" s="211">
        <f t="shared" ref="P32" si="6">SUM(D32:O32)</f>
        <v>-47634689.955000006</v>
      </c>
      <c r="Q32" s="217"/>
    </row>
    <row r="33" spans="1:17">
      <c r="A33" s="871">
        <f t="shared" si="1"/>
        <v>22</v>
      </c>
      <c r="B33" s="217"/>
      <c r="C33" s="366" t="s">
        <v>196</v>
      </c>
      <c r="D33" s="385">
        <f>D34/D32</f>
        <v>4.7357553627676421E-2</v>
      </c>
      <c r="E33" s="385">
        <f t="shared" ref="E33:I33" si="7">E34/E32</f>
        <v>4.5989533702033139E-2</v>
      </c>
      <c r="F33" s="385">
        <f t="shared" si="7"/>
        <v>4.6503060662199266E-2</v>
      </c>
      <c r="G33" s="385">
        <f t="shared" si="7"/>
        <v>4.6696233470844679E-2</v>
      </c>
      <c r="H33" s="385">
        <f t="shared" si="7"/>
        <v>4.7647505156991336E-2</v>
      </c>
      <c r="I33" s="385">
        <f t="shared" si="7"/>
        <v>4.4969269996425393E-2</v>
      </c>
      <c r="J33" s="385">
        <f>Allocation!$I$15</f>
        <v>5.67090596975168E-2</v>
      </c>
      <c r="K33" s="385">
        <f>Allocation!$I$15</f>
        <v>5.67090596975168E-2</v>
      </c>
      <c r="L33" s="385">
        <f>Allocation!$I$15</f>
        <v>5.67090596975168E-2</v>
      </c>
      <c r="M33" s="385">
        <f>Allocation!$I$15</f>
        <v>5.67090596975168E-2</v>
      </c>
      <c r="N33" s="385">
        <f>Allocation!$I$15</f>
        <v>5.67090596975168E-2</v>
      </c>
      <c r="O33" s="385">
        <f>Allocation!$I$15</f>
        <v>5.67090596975168E-2</v>
      </c>
      <c r="P33" s="385">
        <f t="shared" ref="P33" si="8">P34/P32</f>
        <v>5.157100802248564E-2</v>
      </c>
      <c r="Q33" s="217"/>
    </row>
    <row r="34" spans="1:17">
      <c r="A34" s="871">
        <f t="shared" si="1"/>
        <v>23</v>
      </c>
      <c r="B34" s="217"/>
      <c r="C34" s="217" t="s">
        <v>211</v>
      </c>
      <c r="D34" s="217">
        <f>-'[15]div 9 monthly 9220'!C13</f>
        <v>-194374.82</v>
      </c>
      <c r="E34" s="217">
        <f>-'[15]div 9 monthly 9220'!D13</f>
        <v>-169810.53</v>
      </c>
      <c r="F34" s="217">
        <f>-'[15]div 9 monthly 9220'!E13</f>
        <v>-197911.43</v>
      </c>
      <c r="G34" s="217">
        <f>-'[15]div 9 monthly 9220'!F13</f>
        <v>-172667.97</v>
      </c>
      <c r="H34" s="217">
        <f>-'[15]div 9 monthly 9220'!G13</f>
        <v>-199745.2</v>
      </c>
      <c r="I34" s="217">
        <f>-'[15]div 9 monthly 9220'!H13</f>
        <v>-185164.35</v>
      </c>
      <c r="J34" s="217">
        <f t="shared" ref="J34:O34" si="9">J32*J33</f>
        <v>-222534.11315623799</v>
      </c>
      <c r="K34" s="217">
        <f t="shared" si="9"/>
        <v>-237100.17539390334</v>
      </c>
      <c r="L34" s="217">
        <f t="shared" si="9"/>
        <v>-217709.83942233439</v>
      </c>
      <c r="M34" s="217">
        <f t="shared" si="9"/>
        <v>-224692.83344852171</v>
      </c>
      <c r="N34" s="217">
        <f t="shared" si="9"/>
        <v>-221577.61809042899</v>
      </c>
      <c r="O34" s="217">
        <f t="shared" si="9"/>
        <v>-213280.09830649491</v>
      </c>
      <c r="P34" s="211">
        <f>SUM(D34:O34)</f>
        <v>-2456568.9778179214</v>
      </c>
      <c r="Q34" s="217"/>
    </row>
    <row r="35" spans="1:17">
      <c r="A35" s="871">
        <f t="shared" si="1"/>
        <v>24</v>
      </c>
      <c r="B35" s="217"/>
      <c r="C35" s="879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20"/>
      <c r="P35" s="885"/>
      <c r="Q35" s="217"/>
    </row>
    <row r="36" spans="1:17">
      <c r="A36" s="217"/>
      <c r="B36" s="217"/>
      <c r="C36" s="879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20"/>
      <c r="P36" s="220"/>
      <c r="Q36" s="217"/>
    </row>
    <row r="37" spans="1:17">
      <c r="A37" s="217"/>
      <c r="B37" s="217" t="s">
        <v>568</v>
      </c>
      <c r="C37" s="879"/>
      <c r="D37" s="651"/>
      <c r="E37" s="651"/>
      <c r="F37" s="651"/>
      <c r="G37" s="651"/>
      <c r="H37" s="651"/>
      <c r="I37" s="651"/>
      <c r="J37" s="217"/>
      <c r="K37" s="217"/>
      <c r="L37" s="217"/>
      <c r="M37" s="217"/>
      <c r="N37" s="217"/>
      <c r="O37" s="217"/>
      <c r="P37" s="651"/>
      <c r="Q37" s="217"/>
    </row>
    <row r="38" spans="1:17">
      <c r="A38" s="217"/>
      <c r="B38" s="217"/>
      <c r="C38" s="217"/>
      <c r="D38" s="220"/>
      <c r="E38" s="220"/>
      <c r="F38" s="220"/>
      <c r="G38" s="220"/>
      <c r="H38" s="220"/>
      <c r="I38" s="220"/>
      <c r="J38" s="217"/>
      <c r="K38" s="220"/>
      <c r="L38" s="220"/>
      <c r="M38" s="220"/>
      <c r="N38" s="220"/>
      <c r="O38" s="220"/>
      <c r="P38" s="220"/>
      <c r="Q38" s="220"/>
    </row>
    <row r="39" spans="1:17">
      <c r="A39" s="217"/>
      <c r="B39" s="217"/>
      <c r="C39" s="217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670"/>
      <c r="Q39" s="220"/>
    </row>
    <row r="40" spans="1:17">
      <c r="A40" s="217"/>
      <c r="B40" s="217" t="s">
        <v>961</v>
      </c>
      <c r="C40" s="217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</row>
    <row r="41" spans="1:17">
      <c r="A41" s="217"/>
      <c r="B41" s="217" t="s">
        <v>1665</v>
      </c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760"/>
      <c r="Q41" s="217"/>
    </row>
    <row r="42" spans="1:17">
      <c r="A42" s="217"/>
      <c r="B42" s="81" t="s">
        <v>1646</v>
      </c>
      <c r="C42" s="217"/>
      <c r="D42" s="760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</row>
    <row r="43" spans="1:17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20"/>
      <c r="P43" s="220"/>
      <c r="Q43" s="217"/>
    </row>
    <row r="44" spans="1:17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20"/>
      <c r="P44" s="220"/>
      <c r="Q44" s="217"/>
    </row>
    <row r="45" spans="1:17">
      <c r="A45" s="217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20"/>
      <c r="P45" s="220"/>
      <c r="Q45" s="217"/>
    </row>
    <row r="46" spans="1:17">
      <c r="A46" s="217"/>
      <c r="B46" s="217"/>
      <c r="C46" s="670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</row>
    <row r="47" spans="1:17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</row>
    <row r="48" spans="1:17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</row>
    <row r="49" spans="1:17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</row>
    <row r="50" spans="1:17">
      <c r="A50" s="217"/>
    </row>
    <row r="52" spans="1:17">
      <c r="C52" s="670"/>
    </row>
  </sheetData>
  <mergeCells count="4">
    <mergeCell ref="A1:P1"/>
    <mergeCell ref="A2:P2"/>
    <mergeCell ref="A3:P3"/>
    <mergeCell ref="A4:P4"/>
  </mergeCells>
  <phoneticPr fontId="22" type="noConversion"/>
  <printOptions horizontalCentered="1"/>
  <pageMargins left="0.5" right="0.5" top="0.75" bottom="0.63" header="0.5" footer="0.25"/>
  <pageSetup scale="47" fitToHeight="2" orientation="landscape" verticalDpi="300" r:id="rId1"/>
  <headerFooter alignWithMargins="0">
    <oddFooter>&amp;RSchedule &amp;A
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R74"/>
  <sheetViews>
    <sheetView view="pageBreakPreview" zoomScale="60" zoomScaleNormal="70" workbookViewId="0">
      <pane xSplit="3" ySplit="11" topLeftCell="D12" activePane="bottomRight" state="frozen"/>
      <selection activeCell="F55" sqref="F55"/>
      <selection pane="topRight" activeCell="F55" sqref="F55"/>
      <selection pane="bottomLeft" activeCell="F55" sqref="F55"/>
      <selection pane="bottomRight" activeCell="M74" sqref="M74"/>
    </sheetView>
  </sheetViews>
  <sheetFormatPr defaultColWidth="7.109375" defaultRowHeight="15"/>
  <cols>
    <col min="1" max="1" width="6.21875" style="80" customWidth="1"/>
    <col min="2" max="2" width="7.21875" style="80" customWidth="1"/>
    <col min="3" max="3" width="38.88671875" style="80" customWidth="1"/>
    <col min="4" max="5" width="11.109375" style="80" customWidth="1"/>
    <col min="6" max="6" width="11.77734375" style="80" bestFit="1" customWidth="1"/>
    <col min="7" max="7" width="11.33203125" style="80" bestFit="1" customWidth="1"/>
    <col min="8" max="8" width="11.109375" style="80" customWidth="1"/>
    <col min="9" max="9" width="12" style="80" bestFit="1" customWidth="1"/>
    <col min="10" max="13" width="11.33203125" style="80" bestFit="1" customWidth="1"/>
    <col min="14" max="14" width="12.44140625" style="80" customWidth="1"/>
    <col min="15" max="15" width="10.5546875" style="80" bestFit="1" customWidth="1"/>
    <col min="16" max="16" width="12.44140625" style="80" customWidth="1"/>
    <col min="17" max="17" width="12.5546875" style="80" customWidth="1"/>
    <col min="18" max="16384" width="7.109375" style="80"/>
  </cols>
  <sheetData>
    <row r="1" spans="1:18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1190"/>
      <c r="Q1" s="81"/>
      <c r="R1" s="81"/>
    </row>
    <row r="2" spans="1:18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81"/>
      <c r="R2" s="81"/>
    </row>
    <row r="3" spans="1:18" ht="15.75">
      <c r="A3" s="1190" t="s">
        <v>191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81"/>
      <c r="R3" s="81"/>
    </row>
    <row r="4" spans="1:18">
      <c r="A4" s="1190" t="str">
        <f>'Table of Contents'!A3:C3</f>
        <v>Base Period: Twelve Months Ended December 31, 2017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96"/>
      <c r="R4" s="196"/>
    </row>
    <row r="5" spans="1:18">
      <c r="A5" s="81"/>
      <c r="B5" s="150"/>
      <c r="C5" s="150"/>
      <c r="D5" s="150"/>
      <c r="E5" s="150"/>
      <c r="F5" s="150"/>
      <c r="G5" s="873"/>
      <c r="H5" s="202"/>
      <c r="I5" s="202"/>
      <c r="J5" s="202"/>
      <c r="K5" s="202"/>
      <c r="L5" s="202"/>
      <c r="M5" s="202"/>
      <c r="N5" s="202"/>
      <c r="O5" s="202"/>
      <c r="P5" s="196"/>
      <c r="Q5" s="196"/>
      <c r="R5" s="196"/>
    </row>
    <row r="6" spans="1:18" ht="15.75">
      <c r="A6" s="232" t="str">
        <f>'C.2.2 B 09'!A6</f>
        <v>Data:___X____Base Period________Forecasted Period</v>
      </c>
      <c r="B6" s="196"/>
      <c r="C6" s="232"/>
      <c r="D6" s="196"/>
      <c r="E6" s="196"/>
      <c r="F6" s="874"/>
      <c r="G6" s="196"/>
      <c r="H6" s="196"/>
      <c r="I6" s="196"/>
      <c r="J6" s="196"/>
      <c r="K6" s="196"/>
      <c r="L6" s="196"/>
      <c r="M6" s="196"/>
      <c r="N6" s="196"/>
      <c r="O6" s="196"/>
      <c r="P6" s="504" t="s">
        <v>1454</v>
      </c>
      <c r="Q6" s="196"/>
      <c r="R6" s="196"/>
    </row>
    <row r="7" spans="1:18">
      <c r="A7" s="232" t="str">
        <f>'C.2.2 B 09'!A7</f>
        <v>Type of Filing:___X____Original________Updated ________Revised</v>
      </c>
      <c r="B7" s="196"/>
      <c r="C7" s="232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505" t="s">
        <v>38</v>
      </c>
      <c r="Q7" s="196"/>
      <c r="R7" s="196"/>
    </row>
    <row r="8" spans="1:18">
      <c r="A8" s="312" t="str">
        <f>'C.2.2 B 09'!A8</f>
        <v>Workpaper Reference No(s).____________________</v>
      </c>
      <c r="B8" s="236"/>
      <c r="C8" s="876"/>
      <c r="D8" s="235"/>
      <c r="E8" s="235"/>
      <c r="F8" s="235"/>
      <c r="G8" s="235"/>
      <c r="H8" s="235"/>
      <c r="I8" s="235"/>
      <c r="J8" s="235"/>
      <c r="K8" s="235"/>
      <c r="L8" s="235"/>
      <c r="M8" s="236"/>
      <c r="N8" s="236"/>
      <c r="O8" s="236"/>
      <c r="P8" s="506" t="str">
        <f>C.1!J9</f>
        <v>Witness: Waller, Martin</v>
      </c>
      <c r="Q8" s="196"/>
      <c r="R8" s="196"/>
    </row>
    <row r="9" spans="1:18">
      <c r="A9" s="864" t="s">
        <v>94</v>
      </c>
      <c r="B9" s="865" t="s">
        <v>101</v>
      </c>
      <c r="C9" s="866"/>
      <c r="D9" s="294" t="str">
        <f>'C.2.2 B 09'!D9</f>
        <v>actual</v>
      </c>
      <c r="E9" s="294" t="str">
        <f>'C.2.2 B 09'!F9</f>
        <v>actual</v>
      </c>
      <c r="F9" s="294" t="str">
        <f>'C.2.2 B 09'!F9</f>
        <v>actual</v>
      </c>
      <c r="G9" s="294" t="str">
        <f>'C.2.2 B 09'!G9</f>
        <v>actual</v>
      </c>
      <c r="H9" s="294" t="str">
        <f>'C.2.2 B 09'!H9</f>
        <v>actual</v>
      </c>
      <c r="I9" s="294" t="str">
        <f>'C.2.2 B 09'!I9</f>
        <v>actual</v>
      </c>
      <c r="J9" s="294" t="str">
        <f>'C.2.2 B 09'!J9</f>
        <v>Forecasted</v>
      </c>
      <c r="K9" s="294" t="str">
        <f>'C.2.2 B 09'!K9</f>
        <v>Forecasted</v>
      </c>
      <c r="L9" s="294" t="str">
        <f>'C.2.2 B 09'!L9</f>
        <v>Forecasted</v>
      </c>
      <c r="M9" s="294" t="str">
        <f>'C.2.2 B 09'!M9</f>
        <v>Budgeted</v>
      </c>
      <c r="N9" s="294" t="str">
        <f>'C.2.2 B 09'!N9</f>
        <v>Budgeted</v>
      </c>
      <c r="O9" s="294" t="str">
        <f>'C.2.2 B 09'!O9</f>
        <v>Budgeted</v>
      </c>
      <c r="P9" s="877"/>
      <c r="Q9" s="459"/>
      <c r="R9" s="459"/>
    </row>
    <row r="10" spans="1:18">
      <c r="A10" s="867" t="s">
        <v>100</v>
      </c>
      <c r="B10" s="868" t="s">
        <v>100</v>
      </c>
      <c r="C10" s="869" t="s">
        <v>960</v>
      </c>
      <c r="D10" s="208">
        <f>'C.2.2 B 09'!D10</f>
        <v>42736</v>
      </c>
      <c r="E10" s="208">
        <f>'C.2.2 B 09'!E10</f>
        <v>42767</v>
      </c>
      <c r="F10" s="208">
        <f>'C.2.2 B 09'!F10</f>
        <v>42795</v>
      </c>
      <c r="G10" s="208">
        <f>'C.2.2 B 09'!G10</f>
        <v>42826</v>
      </c>
      <c r="H10" s="208">
        <f>'C.2.2 B 09'!H10</f>
        <v>42856</v>
      </c>
      <c r="I10" s="208">
        <f>'C.2.2 B 09'!I10</f>
        <v>42887</v>
      </c>
      <c r="J10" s="208">
        <f>'C.2.2 B 09'!J10</f>
        <v>42917</v>
      </c>
      <c r="K10" s="208">
        <f>'C.2.2 B 09'!K10</f>
        <v>42948</v>
      </c>
      <c r="L10" s="208">
        <f>'C.2.2 B 09'!L10</f>
        <v>42979</v>
      </c>
      <c r="M10" s="208">
        <f>'C.2.2 B 09'!M10</f>
        <v>43009</v>
      </c>
      <c r="N10" s="208">
        <f>'C.2.2 B 09'!N10</f>
        <v>43040</v>
      </c>
      <c r="O10" s="208">
        <f>'C.2.2 B 09'!O10</f>
        <v>43070</v>
      </c>
      <c r="P10" s="208" t="str">
        <f>'C.2.2 B 09'!P10</f>
        <v>Total</v>
      </c>
      <c r="Q10" s="884"/>
      <c r="R10" s="459"/>
    </row>
    <row r="11" spans="1:18">
      <c r="A11" s="196"/>
      <c r="B11" s="196"/>
      <c r="C11" s="196"/>
      <c r="D11" s="210" t="s">
        <v>147</v>
      </c>
      <c r="E11" s="210" t="s">
        <v>147</v>
      </c>
      <c r="F11" s="210" t="s">
        <v>147</v>
      </c>
      <c r="G11" s="210" t="s">
        <v>147</v>
      </c>
      <c r="H11" s="210" t="s">
        <v>147</v>
      </c>
      <c r="I11" s="210" t="s">
        <v>147</v>
      </c>
      <c r="J11" s="210" t="s">
        <v>147</v>
      </c>
      <c r="K11" s="210" t="s">
        <v>147</v>
      </c>
      <c r="L11" s="210" t="s">
        <v>147</v>
      </c>
      <c r="M11" s="210" t="s">
        <v>147</v>
      </c>
      <c r="N11" s="210" t="s">
        <v>147</v>
      </c>
      <c r="O11" s="210" t="s">
        <v>147</v>
      </c>
      <c r="P11" s="210" t="s">
        <v>147</v>
      </c>
      <c r="Q11" s="210"/>
      <c r="R11" s="196"/>
    </row>
    <row r="12" spans="1:18">
      <c r="A12" s="196"/>
      <c r="B12" s="832" t="s">
        <v>740</v>
      </c>
      <c r="C12" s="103" t="s">
        <v>731</v>
      </c>
      <c r="D12" s="596">
        <f>SUM('[11]Div 091'!C60:C61)</f>
        <v>5426768.3300000001</v>
      </c>
      <c r="E12" s="596">
        <f>SUM('[11]Div 091'!D60:D61)</f>
        <v>3782311.2399999998</v>
      </c>
      <c r="F12" s="596">
        <f>SUM('[11]Div 091'!E60:E61)</f>
        <v>2891979.9100000006</v>
      </c>
      <c r="G12" s="596">
        <f>SUM('[11]Div 091'!F60:F61)</f>
        <v>1810941.75</v>
      </c>
      <c r="H12" s="596">
        <f>SUM('[11]Div 091'!G60:G61)</f>
        <v>761290.12</v>
      </c>
      <c r="I12" s="596">
        <f>SUM('[11]Div 091'!H60:H61)</f>
        <v>1666564.2499999998</v>
      </c>
      <c r="J12" s="596"/>
      <c r="K12" s="96"/>
      <c r="L12" s="96"/>
      <c r="M12" s="96"/>
      <c r="N12" s="96"/>
      <c r="O12" s="96"/>
      <c r="P12" s="211">
        <f t="shared" ref="P12:P15" si="0">SUM(D12:O12)</f>
        <v>16339855.6</v>
      </c>
      <c r="Q12" s="210"/>
      <c r="R12" s="196"/>
    </row>
    <row r="13" spans="1:18">
      <c r="A13" s="196"/>
      <c r="B13" s="196"/>
      <c r="C13" s="196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1">
        <f t="shared" si="0"/>
        <v>0</v>
      </c>
      <c r="Q13" s="210"/>
      <c r="R13" s="196"/>
    </row>
    <row r="14" spans="1:18">
      <c r="A14" s="459">
        <v>1</v>
      </c>
      <c r="B14" s="832">
        <v>4030</v>
      </c>
      <c r="C14" s="196" t="s">
        <v>92</v>
      </c>
      <c r="D14" s="596">
        <f>'[11]Div 091'!C55</f>
        <v>-9.0949470177292824E-13</v>
      </c>
      <c r="E14" s="596">
        <f>'[11]Div 091'!D55</f>
        <v>1.4210854715202004E-13</v>
      </c>
      <c r="F14" s="596">
        <f>'[11]Div 091'!E55</f>
        <v>0</v>
      </c>
      <c r="G14" s="596">
        <f>'[11]Div 091'!F55</f>
        <v>-1.7053025658242404E-13</v>
      </c>
      <c r="H14" s="596">
        <f>'[11]Div 091'!G55</f>
        <v>-3.1263880373444408E-13</v>
      </c>
      <c r="I14" s="596">
        <f>'[11]Div 091'!H55</f>
        <v>-4.1211478674085811E-13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211">
        <f t="shared" si="0"/>
        <v>-1.6626700016786344E-12</v>
      </c>
      <c r="Q14" s="670"/>
      <c r="R14" s="211"/>
    </row>
    <row r="15" spans="1:18">
      <c r="A15" s="459">
        <f>A14+1</f>
        <v>2</v>
      </c>
      <c r="B15" s="832" t="s">
        <v>1409</v>
      </c>
      <c r="C15" s="196" t="s">
        <v>868</v>
      </c>
      <c r="D15" s="596">
        <f>'[11]Div 091'!C56</f>
        <v>0</v>
      </c>
      <c r="E15" s="596">
        <f>'[11]Div 091'!D56</f>
        <v>0</v>
      </c>
      <c r="F15" s="596">
        <f>'[11]Div 091'!E56</f>
        <v>0</v>
      </c>
      <c r="G15" s="596">
        <f>'[11]Div 091'!F56</f>
        <v>0</v>
      </c>
      <c r="H15" s="596">
        <f>'[11]Div 091'!G56</f>
        <v>0</v>
      </c>
      <c r="I15" s="596">
        <f>'[11]Div 091'!H56</f>
        <v>0</v>
      </c>
      <c r="J15" s="96"/>
      <c r="K15" s="96"/>
      <c r="L15" s="96"/>
      <c r="M15" s="96"/>
      <c r="N15" s="96"/>
      <c r="O15" s="96"/>
      <c r="P15" s="211">
        <f t="shared" si="0"/>
        <v>0</v>
      </c>
      <c r="Q15" s="670"/>
      <c r="R15" s="211"/>
    </row>
    <row r="16" spans="1:18">
      <c r="A16" s="459">
        <f t="shared" ref="A16:A56" si="1">A15+1</f>
        <v>3</v>
      </c>
      <c r="B16" s="364">
        <v>4081</v>
      </c>
      <c r="C16" s="196" t="s">
        <v>869</v>
      </c>
      <c r="D16" s="596">
        <f>'[11]Div 091'!C59</f>
        <v>-1.000000002568413E-2</v>
      </c>
      <c r="E16" s="596">
        <f>'[11]Div 091'!D59</f>
        <v>1.9999999990268691E-2</v>
      </c>
      <c r="F16" s="596">
        <f>'[11]Div 091'!E59</f>
        <v>-5.9117155615240335E-12</v>
      </c>
      <c r="G16" s="596">
        <f>'[11]Div 091'!F59</f>
        <v>240932.20000000007</v>
      </c>
      <c r="H16" s="596">
        <f>'[11]Div 091'!G59</f>
        <v>-240932.21</v>
      </c>
      <c r="I16" s="596">
        <f>'[11]Div 091'!H59</f>
        <v>-2.9786034749790247E-12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211">
        <f t="shared" ref="P16:P50" si="2">SUM(D16:O16)</f>
        <v>2.6125226981754679E-11</v>
      </c>
      <c r="Q16" s="211"/>
      <c r="R16" s="211"/>
    </row>
    <row r="17" spans="1:18">
      <c r="A17" s="459">
        <f t="shared" si="1"/>
        <v>4</v>
      </c>
      <c r="B17" s="364">
        <v>8170</v>
      </c>
      <c r="C17" s="196" t="s">
        <v>894</v>
      </c>
      <c r="D17" s="596">
        <f>'[11]Div 091'!C66</f>
        <v>38.979999999999997</v>
      </c>
      <c r="E17" s="596">
        <f>'[11]Div 091'!D66</f>
        <v>41.37</v>
      </c>
      <c r="F17" s="596">
        <f>'[11]Div 091'!E66</f>
        <v>41.85</v>
      </c>
      <c r="G17" s="596">
        <f>'[11]Div 091'!F66</f>
        <v>39.78</v>
      </c>
      <c r="H17" s="596">
        <f>'[11]Div 091'!G66</f>
        <v>40.81</v>
      </c>
      <c r="I17" s="596">
        <f>'[11]Div 091'!H66</f>
        <v>46.65</v>
      </c>
      <c r="J17" s="96">
        <f>VLOOKUP($B17,'[13]Div 91 forecast'!$D$281:$AF$360,9,FALSE)</f>
        <v>47.535253756182058</v>
      </c>
      <c r="K17" s="96">
        <f>VLOOKUP($B17,'[13]Div 91 forecast'!$D$281:$AF$360,10,FALSE)</f>
        <v>47.076993715176023</v>
      </c>
      <c r="L17" s="96">
        <f>VLOOKUP($B17,'[13]Div 91 forecast'!$D$281:$AF$360,11,FALSE)</f>
        <v>47.159209184374923</v>
      </c>
      <c r="M17" s="96">
        <f>VLOOKUP($B17,'[13]Div 91 forecast'!$D$281:$AF$360,12,FALSE)</f>
        <v>40.749447604237574</v>
      </c>
      <c r="N17" s="96">
        <f>VLOOKUP($B17,'[13]Div 91 forecast'!$D$281:$AF$360,13,FALSE)</f>
        <v>41.422094957848472</v>
      </c>
      <c r="O17" s="96">
        <f>VLOOKUP($B17,'[13]Div 91 forecast'!$D$281:$AF$360,14,FALSE)</f>
        <v>40.995310145974692</v>
      </c>
      <c r="P17" s="211">
        <f t="shared" si="2"/>
        <v>514.37830936379362</v>
      </c>
      <c r="Q17" s="211"/>
      <c r="R17" s="211"/>
    </row>
    <row r="18" spans="1:18">
      <c r="A18" s="459">
        <f t="shared" si="1"/>
        <v>5</v>
      </c>
      <c r="B18" s="364">
        <v>8180</v>
      </c>
      <c r="C18" s="196" t="s">
        <v>895</v>
      </c>
      <c r="D18" s="596">
        <f>'[11]Div 091'!C67</f>
        <v>40.56</v>
      </c>
      <c r="E18" s="596">
        <f>'[11]Div 091'!D67</f>
        <v>43.050000000000011</v>
      </c>
      <c r="F18" s="596">
        <f>'[11]Div 091'!E67</f>
        <v>43.849999999999994</v>
      </c>
      <c r="G18" s="596">
        <f>'[11]Div 091'!F67</f>
        <v>41.389999999999986</v>
      </c>
      <c r="H18" s="596">
        <f>'[11]Div 091'!G67</f>
        <v>42.460000000000036</v>
      </c>
      <c r="I18" s="596">
        <f>'[11]Div 091'!H67</f>
        <v>48.539999999999964</v>
      </c>
      <c r="J18" s="96">
        <f>VLOOKUP($B18,'[13]Div 91 forecast'!$D$281:$AF$360,9,FALSE)</f>
        <v>49.519065460807838</v>
      </c>
      <c r="K18" s="96">
        <f>VLOOKUP($B18,'[13]Div 91 forecast'!$D$281:$AF$360,10,FALSE)</f>
        <v>49.041680632170028</v>
      </c>
      <c r="L18" s="96">
        <f>VLOOKUP($B18,'[13]Div 91 forecast'!$D$281:$AF$360,11,FALSE)</f>
        <v>49.127327239255237</v>
      </c>
      <c r="M18" s="96">
        <f>VLOOKUP($B18,'[13]Div 91 forecast'!$D$281:$AF$360,12,FALSE)</f>
        <v>42.450063983166842</v>
      </c>
      <c r="N18" s="96">
        <f>VLOOKUP($B18,'[13]Div 91 forecast'!$D$281:$AF$360,13,FALSE)</f>
        <v>43.150783253675939</v>
      </c>
      <c r="O18" s="96">
        <f>VLOOKUP($B18,'[13]Div 91 forecast'!$D$281:$AF$360,14,FALSE)</f>
        <v>42.706187225110341</v>
      </c>
      <c r="P18" s="211">
        <f t="shared" si="2"/>
        <v>535.84510779418633</v>
      </c>
      <c r="Q18" s="211"/>
      <c r="R18" s="211"/>
    </row>
    <row r="19" spans="1:18">
      <c r="A19" s="459">
        <f t="shared" si="1"/>
        <v>6</v>
      </c>
      <c r="B19" s="364">
        <v>8190</v>
      </c>
      <c r="C19" s="196" t="s">
        <v>896</v>
      </c>
      <c r="D19" s="596">
        <f>'[11]Div 091'!C68</f>
        <v>128.16</v>
      </c>
      <c r="E19" s="596">
        <f>'[11]Div 091'!D68</f>
        <v>845.37</v>
      </c>
      <c r="F19" s="596">
        <f>'[11]Div 091'!E68</f>
        <v>139.44999999999999</v>
      </c>
      <c r="G19" s="596">
        <f>'[11]Div 091'!F68</f>
        <v>9.6199999999999992</v>
      </c>
      <c r="H19" s="596">
        <f>'[11]Div 091'!G68</f>
        <v>12.11</v>
      </c>
      <c r="I19" s="596">
        <f>'[11]Div 091'!H68</f>
        <v>1762.6</v>
      </c>
      <c r="J19" s="96">
        <f>VLOOKUP($B19,'[13]Div 91 forecast'!$D$281:$AF$360,9,FALSE)</f>
        <v>552.13424494998333</v>
      </c>
      <c r="K19" s="96">
        <f>VLOOKUP($B19,'[13]Div 91 forecast'!$D$281:$AF$360,10,FALSE)</f>
        <v>546.8114362608909</v>
      </c>
      <c r="L19" s="96">
        <f>VLOOKUP($B19,'[13]Div 91 forecast'!$D$281:$AF$360,11,FALSE)</f>
        <v>547.7663901618879</v>
      </c>
      <c r="M19" s="96">
        <f>VLOOKUP($B19,'[13]Div 91 forecast'!$D$281:$AF$360,12,FALSE)</f>
        <v>473.3153545471198</v>
      </c>
      <c r="N19" s="96">
        <f>VLOOKUP($B19,'[13]Div 91 forecast'!$D$281:$AF$360,13,FALSE)</f>
        <v>481.1283272222737</v>
      </c>
      <c r="O19" s="96">
        <f>VLOOKUP($B19,'[13]Div 91 forecast'!$D$281:$AF$360,14,FALSE)</f>
        <v>476.17111144577422</v>
      </c>
      <c r="P19" s="211">
        <f t="shared" si="2"/>
        <v>5974.6368645879284</v>
      </c>
      <c r="Q19" s="211"/>
      <c r="R19" s="211"/>
    </row>
    <row r="20" spans="1:18">
      <c r="A20" s="459">
        <f t="shared" si="1"/>
        <v>7</v>
      </c>
      <c r="B20" s="364">
        <v>8210</v>
      </c>
      <c r="C20" s="196" t="s">
        <v>898</v>
      </c>
      <c r="D20" s="596">
        <f>'[11]Div 091'!C69</f>
        <v>541.9799999999999</v>
      </c>
      <c r="E20" s="596">
        <f>'[11]Div 091'!D69</f>
        <v>411.51</v>
      </c>
      <c r="F20" s="596">
        <f>'[11]Div 091'!E69</f>
        <v>340.43</v>
      </c>
      <c r="G20" s="596">
        <f>'[11]Div 091'!F69</f>
        <v>175.55</v>
      </c>
      <c r="H20" s="596">
        <f>'[11]Div 091'!G69</f>
        <v>119.37</v>
      </c>
      <c r="I20" s="596">
        <f>'[11]Div 091'!H69</f>
        <v>128.78</v>
      </c>
      <c r="J20" s="96">
        <f>VLOOKUP($B20,'[13]Div 91 forecast'!$D$281:$AF$360,9,FALSE)</f>
        <v>327.32321422664131</v>
      </c>
      <c r="K20" s="96">
        <f>VLOOKUP($B20,'[13]Div 91 forecast'!$D$281:$AF$360,10,FALSE)</f>
        <v>324.16767938205834</v>
      </c>
      <c r="L20" s="96">
        <f>VLOOKUP($B20,'[13]Div 91 forecast'!$D$281:$AF$360,11,FALSE)</f>
        <v>324.73380724529363</v>
      </c>
      <c r="M20" s="96">
        <f>VLOOKUP($B20,'[13]Div 91 forecast'!$D$281:$AF$360,12,FALSE)</f>
        <v>280.59680161157206</v>
      </c>
      <c r="N20" s="96">
        <f>VLOOKUP($B20,'[13]Div 91 forecast'!$D$281:$AF$360,13,FALSE)</f>
        <v>285.22858700088068</v>
      </c>
      <c r="O20" s="96">
        <f>VLOOKUP($B20,'[13]Div 91 forecast'!$D$281:$AF$360,14,FALSE)</f>
        <v>282.28978757588612</v>
      </c>
      <c r="P20" s="211">
        <f t="shared" si="2"/>
        <v>3541.9598770423318</v>
      </c>
      <c r="Q20" s="211"/>
      <c r="R20" s="211"/>
    </row>
    <row r="21" spans="1:18">
      <c r="A21" s="459">
        <f t="shared" si="1"/>
        <v>8</v>
      </c>
      <c r="B21" s="364">
        <v>8240</v>
      </c>
      <c r="C21" s="196" t="s">
        <v>899</v>
      </c>
      <c r="D21" s="596">
        <f>0</f>
        <v>0</v>
      </c>
      <c r="E21" s="596">
        <f>0</f>
        <v>0</v>
      </c>
      <c r="F21" s="596">
        <f>0</f>
        <v>0</v>
      </c>
      <c r="G21" s="596">
        <f>0</f>
        <v>0</v>
      </c>
      <c r="H21" s="596">
        <f>0</f>
        <v>0</v>
      </c>
      <c r="I21" s="596">
        <f>0</f>
        <v>0</v>
      </c>
      <c r="J21" s="96">
        <f>VLOOKUP($B21,'[13]Div 91 forecast'!$D$281:$AF$360,9,FALSE)</f>
        <v>0</v>
      </c>
      <c r="K21" s="96">
        <f>VLOOKUP($B21,'[13]Div 91 forecast'!$D$281:$AF$360,10,FALSE)</f>
        <v>0</v>
      </c>
      <c r="L21" s="96">
        <f>VLOOKUP($B21,'[13]Div 91 forecast'!$D$281:$AF$360,11,FALSE)</f>
        <v>0</v>
      </c>
      <c r="M21" s="96">
        <f>VLOOKUP($B21,'[13]Div 91 forecast'!$D$281:$AF$360,12,FALSE)</f>
        <v>0</v>
      </c>
      <c r="N21" s="96">
        <f>VLOOKUP($B21,'[13]Div 91 forecast'!$D$281:$AF$360,13,FALSE)</f>
        <v>0</v>
      </c>
      <c r="O21" s="96">
        <f>VLOOKUP($B21,'[13]Div 91 forecast'!$D$281:$AF$360,14,FALSE)</f>
        <v>0</v>
      </c>
      <c r="P21" s="211">
        <f t="shared" si="2"/>
        <v>0</v>
      </c>
      <c r="Q21" s="211"/>
      <c r="R21" s="211"/>
    </row>
    <row r="22" spans="1:18">
      <c r="A22" s="459">
        <f t="shared" si="1"/>
        <v>9</v>
      </c>
      <c r="B22" s="364">
        <v>8250</v>
      </c>
      <c r="C22" s="196" t="s">
        <v>911</v>
      </c>
      <c r="D22" s="596">
        <f>'[11]Div 091'!C70</f>
        <v>2034.2600000000002</v>
      </c>
      <c r="E22" s="596">
        <f>'[11]Div 091'!D70</f>
        <v>-180.12</v>
      </c>
      <c r="F22" s="596">
        <f>'[11]Div 091'!E70</f>
        <v>1203.19</v>
      </c>
      <c r="G22" s="596">
        <f>'[11]Div 091'!F70</f>
        <v>2816.67</v>
      </c>
      <c r="H22" s="596">
        <f>'[11]Div 091'!G70</f>
        <v>1847.3300000000004</v>
      </c>
      <c r="I22" s="596">
        <f>'[11]Div 091'!H70</f>
        <v>708.87</v>
      </c>
      <c r="J22" s="96">
        <f>VLOOKUP($B22,'[13]Div 91 forecast'!$D$281:$AF$360,9,FALSE)</f>
        <v>1606.5254017614097</v>
      </c>
      <c r="K22" s="96">
        <f>VLOOKUP($B22,'[13]Div 91 forecast'!$D$281:$AF$360,10,FALSE)</f>
        <v>1591.0378143749076</v>
      </c>
      <c r="L22" s="96">
        <f>VLOOKUP($B22,'[13]Div 91 forecast'!$D$281:$AF$360,11,FALSE)</f>
        <v>1593.8164098224725</v>
      </c>
      <c r="M22" s="96">
        <f>VLOOKUP($B22,'[13]Div 91 forecast'!$D$281:$AF$360,12,FALSE)</f>
        <v>1377.1888758548896</v>
      </c>
      <c r="N22" s="96">
        <f>VLOOKUP($B22,'[13]Div 91 forecast'!$D$281:$AF$360,13,FALSE)</f>
        <v>1399.9220049456953</v>
      </c>
      <c r="O22" s="96">
        <f>VLOOKUP($B22,'[13]Div 91 forecast'!$D$281:$AF$360,14,FALSE)</f>
        <v>1385.4981702717923</v>
      </c>
      <c r="P22" s="211">
        <f t="shared" si="2"/>
        <v>17384.188677031168</v>
      </c>
      <c r="Q22" s="211"/>
      <c r="R22" s="211"/>
    </row>
    <row r="23" spans="1:18">
      <c r="A23" s="459"/>
      <c r="B23" s="364">
        <v>8500</v>
      </c>
      <c r="C23" s="196" t="s">
        <v>916</v>
      </c>
      <c r="D23" s="596">
        <f>'[11]Div 091'!C71</f>
        <v>4.38</v>
      </c>
      <c r="E23" s="596">
        <f>'[11]Div 091'!D71</f>
        <v>29.66</v>
      </c>
      <c r="F23" s="596">
        <f>'[11]Div 091'!E71</f>
        <v>0</v>
      </c>
      <c r="G23" s="596">
        <f>'[11]Div 091'!F71</f>
        <v>0</v>
      </c>
      <c r="H23" s="596">
        <f>'[11]Div 091'!G71</f>
        <v>8377.74</v>
      </c>
      <c r="I23" s="596">
        <f>'[11]Div 091'!H71</f>
        <v>0</v>
      </c>
      <c r="J23" s="96">
        <f>VLOOKUP($B23,'[13]Div 91 forecast'!$D$281:$AF$360,9,FALSE)</f>
        <v>6320.0316370470173</v>
      </c>
      <c r="K23" s="96">
        <f>VLOOKUP($B23,'[13]Div 91 forecast'!$D$281:$AF$360,10,FALSE)</f>
        <v>6417.1027489923435</v>
      </c>
      <c r="L23" s="96">
        <f>VLOOKUP($B23,'[13]Div 91 forecast'!$D$281:$AF$360,11,FALSE)</f>
        <v>6659.2576150724317</v>
      </c>
      <c r="M23" s="96">
        <f>VLOOKUP($B23,'[13]Div 91 forecast'!$D$281:$AF$360,12,FALSE)</f>
        <v>6696.4044167520033</v>
      </c>
      <c r="N23" s="96">
        <f>VLOOKUP($B23,'[13]Div 91 forecast'!$D$281:$AF$360,13,FALSE)</f>
        <v>6860.1139119980571</v>
      </c>
      <c r="O23" s="96">
        <f>VLOOKUP($B23,'[13]Div 91 forecast'!$D$281:$AF$360,14,FALSE)</f>
        <v>6987.1158933009101</v>
      </c>
      <c r="P23" s="211">
        <f t="shared" si="2"/>
        <v>48351.806223162755</v>
      </c>
      <c r="Q23" s="211"/>
      <c r="R23" s="211"/>
    </row>
    <row r="24" spans="1:18">
      <c r="A24" s="459">
        <f>A22+1</f>
        <v>10</v>
      </c>
      <c r="B24" s="364">
        <v>8560</v>
      </c>
      <c r="C24" s="196" t="s">
        <v>917</v>
      </c>
      <c r="D24" s="596">
        <f>'[11]Div 091'!C72</f>
        <v>52.150000000000034</v>
      </c>
      <c r="E24" s="596">
        <f>'[11]Div 091'!D72</f>
        <v>55.350000000000023</v>
      </c>
      <c r="F24" s="596">
        <f>'[11]Div 091'!E72</f>
        <v>-5.5900000000000318</v>
      </c>
      <c r="G24" s="596">
        <f>'[11]Div 091'!F72</f>
        <v>115.19</v>
      </c>
      <c r="H24" s="596">
        <f>'[11]Div 091'!G72</f>
        <v>188.96999999999997</v>
      </c>
      <c r="I24" s="596">
        <f>'[11]Div 091'!H72</f>
        <v>62.399999999999977</v>
      </c>
      <c r="J24" s="96">
        <f>VLOOKUP($B24,'[13]Div 91 forecast'!$D$281:$AF$360,9,FALSE)</f>
        <v>71.357679008849502</v>
      </c>
      <c r="K24" s="96">
        <f>VLOOKUP($B24,'[13]Div 91 forecast'!$D$281:$AF$360,10,FALSE)</f>
        <v>89.142879193792652</v>
      </c>
      <c r="L24" s="96">
        <f>VLOOKUP($B24,'[13]Div 91 forecast'!$D$281:$AF$360,11,FALSE)</f>
        <v>99.581167574902651</v>
      </c>
      <c r="M24" s="96">
        <f>VLOOKUP($B24,'[13]Div 91 forecast'!$D$281:$AF$360,12,FALSE)</f>
        <v>78.863754640246754</v>
      </c>
      <c r="N24" s="96">
        <f>VLOOKUP($B24,'[13]Div 91 forecast'!$D$281:$AF$360,13,FALSE)</f>
        <v>84.160059462032748</v>
      </c>
      <c r="O24" s="96">
        <f>VLOOKUP($B24,'[13]Div 91 forecast'!$D$281:$AF$360,14,FALSE)</f>
        <v>65.919388769020557</v>
      </c>
      <c r="P24" s="211">
        <f t="shared" si="2"/>
        <v>957.49492864884485</v>
      </c>
      <c r="Q24" s="211"/>
      <c r="R24" s="211"/>
    </row>
    <row r="25" spans="1:18">
      <c r="A25" s="459">
        <f t="shared" si="1"/>
        <v>11</v>
      </c>
      <c r="B25" s="364">
        <v>8570</v>
      </c>
      <c r="C25" s="196" t="s">
        <v>918</v>
      </c>
      <c r="D25" s="596">
        <f>'[11]Div 091'!C73</f>
        <v>77.97</v>
      </c>
      <c r="E25" s="596">
        <f>'[11]Div 091'!D73</f>
        <v>82.74</v>
      </c>
      <c r="F25" s="596">
        <f>'[11]Div 091'!E73</f>
        <v>83.69</v>
      </c>
      <c r="G25" s="596">
        <f>'[11]Div 091'!F73</f>
        <v>79.56</v>
      </c>
      <c r="H25" s="596">
        <f>'[11]Div 091'!G73</f>
        <v>81.62</v>
      </c>
      <c r="I25" s="596">
        <f>'[11]Div 091'!H73</f>
        <v>93.29</v>
      </c>
      <c r="J25" s="96">
        <f>VLOOKUP($B25,'[13]Div 91 forecast'!$D$281:$AF$360,9,FALSE)</f>
        <v>95.068601833493204</v>
      </c>
      <c r="K25" s="96">
        <f>VLOOKUP($B25,'[13]Div 91 forecast'!$D$281:$AF$360,10,FALSE)</f>
        <v>94.152100123035055</v>
      </c>
      <c r="L25" s="96">
        <f>VLOOKUP($B25,'[13]Div 91 forecast'!$D$281:$AF$360,11,FALSE)</f>
        <v>94.316527765431047</v>
      </c>
      <c r="M25" s="96">
        <f>VLOOKUP($B25,'[13]Div 91 forecast'!$D$281:$AF$360,12,FALSE)</f>
        <v>81.497261571223532</v>
      </c>
      <c r="N25" s="96">
        <f>VLOOKUP($B25,'[13]Div 91 forecast'!$D$281:$AF$360,13,FALSE)</f>
        <v>82.842529312146681</v>
      </c>
      <c r="O25" s="96">
        <f>VLOOKUP($B25,'[13]Div 91 forecast'!$D$281:$AF$360,14,FALSE)</f>
        <v>81.988976798117363</v>
      </c>
      <c r="P25" s="211">
        <f t="shared" si="2"/>
        <v>1028.7359974034468</v>
      </c>
      <c r="Q25" s="211"/>
      <c r="R25" s="886"/>
    </row>
    <row r="26" spans="1:18">
      <c r="A26" s="459">
        <f t="shared" si="1"/>
        <v>12</v>
      </c>
      <c r="B26" s="364">
        <v>8650</v>
      </c>
      <c r="C26" s="658" t="s">
        <v>1428</v>
      </c>
      <c r="D26" s="596">
        <f>'[11]Div 091'!C74</f>
        <v>0</v>
      </c>
      <c r="E26" s="596">
        <f>'[11]Div 091'!D74</f>
        <v>0</v>
      </c>
      <c r="F26" s="596">
        <f>'[11]Div 091'!E74</f>
        <v>0</v>
      </c>
      <c r="G26" s="596">
        <f>'[11]Div 091'!F74</f>
        <v>5332.5</v>
      </c>
      <c r="H26" s="596">
        <f>'[11]Div 091'!G74</f>
        <v>0</v>
      </c>
      <c r="I26" s="596">
        <f>'[11]Div 091'!H74</f>
        <v>0</v>
      </c>
      <c r="J26" s="96">
        <f>VLOOKUP($B26,'[13]Div 91 forecast'!$D$281:$AF$360,9,FALSE)</f>
        <v>4023.9077890941535</v>
      </c>
      <c r="K26" s="96">
        <f>VLOOKUP($B26,'[13]Div 91 forecast'!$D$281:$AF$360,10,FALSE)</f>
        <v>4084.5749080028245</v>
      </c>
      <c r="L26" s="96">
        <f>VLOOKUP($B26,'[13]Div 91 forecast'!$D$281:$AF$360,11,FALSE)</f>
        <v>4239.1592945024722</v>
      </c>
      <c r="M26" s="96">
        <f>VLOOKUP($B26,'[13]Div 91 forecast'!$D$281:$AF$360,12,FALSE)</f>
        <v>4264.3130924060515</v>
      </c>
      <c r="N26" s="96">
        <f>VLOOKUP($B26,'[13]Div 91 forecast'!$D$281:$AF$360,13,FALSE)</f>
        <v>4363.3947468683791</v>
      </c>
      <c r="O26" s="96">
        <f>VLOOKUP($B26,'[13]Div 91 forecast'!$D$281:$AF$360,14,FALSE)</f>
        <v>4449.1890820726312</v>
      </c>
      <c r="P26" s="211">
        <f t="shared" si="2"/>
        <v>30757.038912946511</v>
      </c>
      <c r="Q26" s="211"/>
      <c r="R26" s="886"/>
    </row>
    <row r="27" spans="1:18">
      <c r="A27" s="459">
        <f t="shared" si="1"/>
        <v>13</v>
      </c>
      <c r="B27" s="364">
        <v>8700</v>
      </c>
      <c r="C27" s="196" t="s">
        <v>921</v>
      </c>
      <c r="D27" s="596">
        <f>'[11]Div 091'!C75</f>
        <v>284070.41000000009</v>
      </c>
      <c r="E27" s="596">
        <f>'[11]Div 091'!D75</f>
        <v>213573.84000000005</v>
      </c>
      <c r="F27" s="596">
        <f>'[11]Div 091'!E75</f>
        <v>232792.85000000003</v>
      </c>
      <c r="G27" s="596">
        <f>'[11]Div 091'!F75</f>
        <v>266021.45999999985</v>
      </c>
      <c r="H27" s="596">
        <f>'[11]Div 091'!G75</f>
        <v>223520.58</v>
      </c>
      <c r="I27" s="596">
        <f>'[11]Div 091'!H75</f>
        <v>229136.60999999993</v>
      </c>
      <c r="J27" s="96">
        <f>VLOOKUP($B27,'[13]Div 91 forecast'!$D$281:$AF$360,9,FALSE)</f>
        <v>277585.56687904592</v>
      </c>
      <c r="K27" s="96">
        <f>VLOOKUP($B27,'[13]Div 91 forecast'!$D$281:$AF$360,10,FALSE)</f>
        <v>309507.96918270743</v>
      </c>
      <c r="L27" s="96">
        <f>VLOOKUP($B27,'[13]Div 91 forecast'!$D$281:$AF$360,11,FALSE)</f>
        <v>315310.28808785614</v>
      </c>
      <c r="M27" s="96">
        <f>VLOOKUP($B27,'[13]Div 91 forecast'!$D$281:$AF$360,12,FALSE)</f>
        <v>259992.46693498504</v>
      </c>
      <c r="N27" s="96">
        <f>VLOOKUP($B27,'[13]Div 91 forecast'!$D$281:$AF$360,13,FALSE)</f>
        <v>304990.55807713856</v>
      </c>
      <c r="O27" s="96">
        <f>VLOOKUP($B27,'[13]Div 91 forecast'!$D$281:$AF$360,14,FALSE)</f>
        <v>263558.44228247023</v>
      </c>
      <c r="P27" s="211">
        <f t="shared" si="2"/>
        <v>3180061.0414442029</v>
      </c>
      <c r="Q27" s="211"/>
      <c r="R27" s="886"/>
    </row>
    <row r="28" spans="1:18">
      <c r="A28" s="459">
        <f t="shared" si="1"/>
        <v>14</v>
      </c>
      <c r="B28" s="364">
        <v>8711</v>
      </c>
      <c r="C28" s="196" t="s">
        <v>190</v>
      </c>
      <c r="D28" s="596">
        <f>'[11]Div 091'!C76</f>
        <v>11656.150000000001</v>
      </c>
      <c r="E28" s="596">
        <f>'[11]Div 091'!D76</f>
        <v>3070.17</v>
      </c>
      <c r="F28" s="596">
        <f>'[11]Div 091'!E76</f>
        <v>19229.599999999999</v>
      </c>
      <c r="G28" s="596">
        <f>'[11]Div 091'!F76</f>
        <v>4460.67</v>
      </c>
      <c r="H28" s="596">
        <f>'[11]Div 091'!G76</f>
        <v>0</v>
      </c>
      <c r="I28" s="596">
        <f>'[11]Div 091'!H76</f>
        <v>6557.9699999999993</v>
      </c>
      <c r="J28" s="96">
        <f>VLOOKUP($B28,'[13]Div 91 forecast'!$D$281:$AF$360,9,FALSE)</f>
        <v>2573.9898582355681</v>
      </c>
      <c r="K28" s="96">
        <f>VLOOKUP($B28,'[13]Div 91 forecast'!$D$281:$AF$360,10,FALSE)</f>
        <v>8731.7947727328283</v>
      </c>
      <c r="L28" s="96">
        <f>VLOOKUP($B28,'[13]Div 91 forecast'!$D$281:$AF$360,11,FALSE)</f>
        <v>12188.447569604032</v>
      </c>
      <c r="M28" s="96">
        <f>VLOOKUP($B28,'[13]Div 91 forecast'!$D$281:$AF$360,12,FALSE)</f>
        <v>8127.9410753636785</v>
      </c>
      <c r="N28" s="96">
        <f>VLOOKUP($B28,'[13]Div 91 forecast'!$D$281:$AF$360,13,FALSE)</f>
        <v>9598.9980041400049</v>
      </c>
      <c r="O28" s="96">
        <f>VLOOKUP($B28,'[13]Div 91 forecast'!$D$281:$AF$360,14,FALSE)</f>
        <v>3685.4852452222749</v>
      </c>
      <c r="P28" s="211">
        <f t="shared" si="2"/>
        <v>89881.216525298383</v>
      </c>
      <c r="Q28" s="211"/>
      <c r="R28" s="886"/>
    </row>
    <row r="29" spans="1:18">
      <c r="A29" s="459">
        <f t="shared" si="1"/>
        <v>15</v>
      </c>
      <c r="B29" s="364">
        <v>8740</v>
      </c>
      <c r="C29" s="196" t="s">
        <v>923</v>
      </c>
      <c r="D29" s="596">
        <f>'[11]Div 091'!C77</f>
        <v>10200.090000000002</v>
      </c>
      <c r="E29" s="596">
        <f>'[11]Div 091'!D77</f>
        <v>9564.3299999999981</v>
      </c>
      <c r="F29" s="596">
        <f>'[11]Div 091'!E77</f>
        <v>4077.5199999999986</v>
      </c>
      <c r="G29" s="596">
        <f>'[11]Div 091'!F77</f>
        <v>7526.2899999999991</v>
      </c>
      <c r="H29" s="596">
        <f>'[11]Div 091'!G77</f>
        <v>11353.000000000002</v>
      </c>
      <c r="I29" s="596">
        <f>'[11]Div 091'!H77</f>
        <v>9116.6899999999987</v>
      </c>
      <c r="J29" s="96">
        <f>VLOOKUP($B29,'[13]Div 91 forecast'!$D$281:$AF$360,9,FALSE)</f>
        <v>2306.8534449320514</v>
      </c>
      <c r="K29" s="96">
        <f>VLOOKUP($B29,'[13]Div 91 forecast'!$D$281:$AF$360,10,FALSE)</f>
        <v>2555.7007167880374</v>
      </c>
      <c r="L29" s="96">
        <f>VLOOKUP($B29,'[13]Div 91 forecast'!$D$281:$AF$360,11,FALSE)</f>
        <v>3556.0894908454443</v>
      </c>
      <c r="M29" s="96">
        <f>VLOOKUP($B29,'[13]Div 91 forecast'!$D$281:$AF$360,12,FALSE)</f>
        <v>1748.759481340657</v>
      </c>
      <c r="N29" s="96">
        <f>VLOOKUP($B29,'[13]Div 91 forecast'!$D$281:$AF$360,13,FALSE)</f>
        <v>2213.4161061606551</v>
      </c>
      <c r="O29" s="96">
        <f>VLOOKUP($B29,'[13]Div 91 forecast'!$D$281:$AF$360,14,FALSE)</f>
        <v>1844.6534552949045</v>
      </c>
      <c r="P29" s="211">
        <f t="shared" si="2"/>
        <v>66063.392695361748</v>
      </c>
      <c r="Q29" s="211"/>
      <c r="R29" s="886"/>
    </row>
    <row r="30" spans="1:18">
      <c r="A30" s="459">
        <f t="shared" si="1"/>
        <v>16</v>
      </c>
      <c r="B30" s="364">
        <v>8750</v>
      </c>
      <c r="C30" s="196" t="s">
        <v>924</v>
      </c>
      <c r="D30" s="596">
        <f>'[11]Div 091'!C78</f>
        <v>7224.27</v>
      </c>
      <c r="E30" s="596">
        <f>'[11]Div 091'!D78</f>
        <v>9359.5400000000009</v>
      </c>
      <c r="F30" s="596">
        <f>'[11]Div 091'!E78</f>
        <v>10704.849999999999</v>
      </c>
      <c r="G30" s="596">
        <f>'[11]Div 091'!F78</f>
        <v>9177.7899999999991</v>
      </c>
      <c r="H30" s="596">
        <f>'[11]Div 091'!G78</f>
        <v>17655.87</v>
      </c>
      <c r="I30" s="596">
        <f>'[11]Div 091'!H78</f>
        <v>10259</v>
      </c>
      <c r="J30" s="96">
        <f>VLOOKUP($B30,'[13]Div 91 forecast'!$D$281:$AF$360,9,FALSE)</f>
        <v>15439.551821733447</v>
      </c>
      <c r="K30" s="96">
        <f>VLOOKUP($B30,'[13]Div 91 forecast'!$D$281:$AF$360,10,FALSE)</f>
        <v>19027.780130014351</v>
      </c>
      <c r="L30" s="96">
        <f>VLOOKUP($B30,'[13]Div 91 forecast'!$D$281:$AF$360,11,FALSE)</f>
        <v>19050.116256029454</v>
      </c>
      <c r="M30" s="96">
        <f>VLOOKUP($B30,'[13]Div 91 forecast'!$D$281:$AF$360,12,FALSE)</f>
        <v>17435.631774128415</v>
      </c>
      <c r="N30" s="96">
        <f>VLOOKUP($B30,'[13]Div 91 forecast'!$D$281:$AF$360,13,FALSE)</f>
        <v>18735.165286343774</v>
      </c>
      <c r="O30" s="96">
        <f>VLOOKUP($B30,'[13]Div 91 forecast'!$D$281:$AF$360,14,FALSE)</f>
        <v>15285.677649070971</v>
      </c>
      <c r="P30" s="211">
        <f t="shared" si="2"/>
        <v>169355.2429173204</v>
      </c>
      <c r="Q30" s="211"/>
      <c r="R30" s="886"/>
    </row>
    <row r="31" spans="1:18">
      <c r="A31" s="459">
        <f t="shared" si="1"/>
        <v>17</v>
      </c>
      <c r="B31" s="364">
        <v>8760</v>
      </c>
      <c r="C31" s="80" t="s">
        <v>925</v>
      </c>
      <c r="D31" s="596">
        <f>'[11]Div 091'!C79</f>
        <v>5809.56</v>
      </c>
      <c r="E31" s="596">
        <f>'[11]Div 091'!D79</f>
        <v>-6411.82</v>
      </c>
      <c r="F31" s="596">
        <f>'[11]Div 091'!E79</f>
        <v>0</v>
      </c>
      <c r="G31" s="596">
        <f>'[11]Div 091'!F79</f>
        <v>0</v>
      </c>
      <c r="H31" s="596">
        <f>'[11]Div 091'!G79</f>
        <v>0</v>
      </c>
      <c r="I31" s="596">
        <f>'[11]Div 091'!H79</f>
        <v>0</v>
      </c>
      <c r="J31" s="96">
        <f>VLOOKUP($B31,'[13]Div 91 forecast'!$D$281:$AF$360,9,FALSE)</f>
        <v>-34.468622528401639</v>
      </c>
      <c r="K31" s="96">
        <f>VLOOKUP($B31,'[13]Div 91 forecast'!$D$281:$AF$360,10,FALSE)</f>
        <v>-116.92856405545864</v>
      </c>
      <c r="L31" s="96">
        <f>VLOOKUP($B31,'[13]Div 91 forecast'!$D$281:$AF$360,11,FALSE)</f>
        <v>-163.21703721547729</v>
      </c>
      <c r="M31" s="96">
        <f>VLOOKUP($B31,'[13]Div 91 forecast'!$D$281:$AF$360,12,FALSE)</f>
        <v>-108.84228310512705</v>
      </c>
      <c r="N31" s="96">
        <f>VLOOKUP($B31,'[13]Div 91 forecast'!$D$281:$AF$360,13,FALSE)</f>
        <v>-128.54139179957184</v>
      </c>
      <c r="O31" s="96">
        <f>VLOOKUP($B31,'[13]Div 91 forecast'!$D$281:$AF$360,14,FALSE)</f>
        <v>-49.352797310025153</v>
      </c>
      <c r="P31" s="211">
        <f t="shared" si="2"/>
        <v>-1203.6106960140607</v>
      </c>
      <c r="Q31" s="211"/>
      <c r="R31" s="886"/>
    </row>
    <row r="32" spans="1:18">
      <c r="A32" s="459">
        <f t="shared" si="1"/>
        <v>18</v>
      </c>
      <c r="B32" s="364">
        <v>8770</v>
      </c>
      <c r="C32" s="196" t="s">
        <v>926</v>
      </c>
      <c r="D32" s="596">
        <f>'[11]Div 091'!C80</f>
        <v>0</v>
      </c>
      <c r="E32" s="596">
        <f>'[11]Div 091'!D80</f>
        <v>0</v>
      </c>
      <c r="F32" s="596">
        <f>'[11]Div 091'!E80</f>
        <v>21.24</v>
      </c>
      <c r="G32" s="596">
        <f>'[11]Div 091'!F80</f>
        <v>154.77000000000001</v>
      </c>
      <c r="H32" s="596">
        <f>'[11]Div 091'!G80</f>
        <v>197.76</v>
      </c>
      <c r="I32" s="596">
        <f>'[11]Div 091'!H80</f>
        <v>-19.96</v>
      </c>
      <c r="J32" s="96">
        <f>VLOOKUP($B32,'[13]Div 91 forecast'!$D$281:$AF$360,9,FALSE)</f>
        <v>20.249299865131</v>
      </c>
      <c r="K32" s="96">
        <f>VLOOKUP($B32,'[13]Div 91 forecast'!$D$281:$AF$360,10,FALSE)</f>
        <v>68.692085226416935</v>
      </c>
      <c r="L32" s="96">
        <f>VLOOKUP($B32,'[13]Div 91 forecast'!$D$281:$AF$360,11,FALSE)</f>
        <v>95.885198979191841</v>
      </c>
      <c r="M32" s="96">
        <f>VLOOKUP($B32,'[13]Div 91 forecast'!$D$281:$AF$360,12,FALSE)</f>
        <v>63.941633489564374</v>
      </c>
      <c r="N32" s="96">
        <f>VLOOKUP($B32,'[13]Div 91 forecast'!$D$281:$AF$360,13,FALSE)</f>
        <v>75.514279269097329</v>
      </c>
      <c r="O32" s="96">
        <f>VLOOKUP($B32,'[13]Div 91 forecast'!$D$281:$AF$360,14,FALSE)</f>
        <v>28.993313878158961</v>
      </c>
      <c r="P32" s="211">
        <f t="shared" si="2"/>
        <v>707.08581070756043</v>
      </c>
      <c r="Q32" s="211"/>
      <c r="R32" s="886"/>
    </row>
    <row r="33" spans="1:18">
      <c r="A33" s="459">
        <f t="shared" si="1"/>
        <v>19</v>
      </c>
      <c r="B33" s="364">
        <v>8800</v>
      </c>
      <c r="C33" s="196" t="s">
        <v>929</v>
      </c>
      <c r="D33" s="596">
        <f>'[11]Div 091'!C81</f>
        <v>7.22</v>
      </c>
      <c r="E33" s="596">
        <f>'[11]Div 091'!D81</f>
        <v>0</v>
      </c>
      <c r="F33" s="596">
        <f>'[11]Div 091'!E81</f>
        <v>201.67</v>
      </c>
      <c r="G33" s="596">
        <f>'[11]Div 091'!F81</f>
        <v>0</v>
      </c>
      <c r="H33" s="596">
        <f>'[11]Div 091'!G81</f>
        <v>0</v>
      </c>
      <c r="I33" s="596">
        <f>'[11]Div 091'!H81</f>
        <v>0</v>
      </c>
      <c r="J33" s="96">
        <f>VLOOKUP($B33,'[13]Div 91 forecast'!$D$281:$AF$360,9,FALSE)</f>
        <v>43.722599860356887</v>
      </c>
      <c r="K33" s="96">
        <f>VLOOKUP($B33,'[13]Div 91 forecast'!$D$281:$AF$360,10,FALSE)</f>
        <v>51.526180305346564</v>
      </c>
      <c r="L33" s="96">
        <f>VLOOKUP($B33,'[13]Div 91 forecast'!$D$281:$AF$360,11,FALSE)</f>
        <v>50.725774603207604</v>
      </c>
      <c r="M33" s="96">
        <f>VLOOKUP($B33,'[13]Div 91 forecast'!$D$281:$AF$360,12,FALSE)</f>
        <v>42.221944945934013</v>
      </c>
      <c r="N33" s="96">
        <f>VLOOKUP($B33,'[13]Div 91 forecast'!$D$281:$AF$360,13,FALSE)</f>
        <v>75.016584643669106</v>
      </c>
      <c r="O33" s="96">
        <f>VLOOKUP($B33,'[13]Div 91 forecast'!$D$281:$AF$360,14,FALSE)</f>
        <v>45.726111016051902</v>
      </c>
      <c r="P33" s="211">
        <f t="shared" si="2"/>
        <v>517.8291953745661</v>
      </c>
      <c r="Q33" s="211"/>
      <c r="R33" s="886"/>
    </row>
    <row r="34" spans="1:18">
      <c r="A34" s="459">
        <f t="shared" si="1"/>
        <v>20</v>
      </c>
      <c r="B34" s="364">
        <v>8810</v>
      </c>
      <c r="C34" s="196" t="s">
        <v>930</v>
      </c>
      <c r="D34" s="596">
        <f>'[11]Div 091'!C82</f>
        <v>26101.8</v>
      </c>
      <c r="E34" s="596">
        <f>'[11]Div 091'!D82</f>
        <v>39903.569999999992</v>
      </c>
      <c r="F34" s="596">
        <f>'[11]Div 091'!E82</f>
        <v>7661.8200000000015</v>
      </c>
      <c r="G34" s="596">
        <f>'[11]Div 091'!F82</f>
        <v>22113.65</v>
      </c>
      <c r="H34" s="596">
        <f>'[11]Div 091'!G82</f>
        <v>23129.929999999997</v>
      </c>
      <c r="I34" s="596">
        <f>'[11]Div 091'!H82</f>
        <v>22121.93</v>
      </c>
      <c r="J34" s="96">
        <f>VLOOKUP($B34,'[13]Div 91 forecast'!$D$281:$AF$360,9,FALSE)</f>
        <v>26876.303649853653</v>
      </c>
      <c r="K34" s="96">
        <f>VLOOKUP($B34,'[13]Div 91 forecast'!$D$281:$AF$360,10,FALSE)</f>
        <v>26617.204664585886</v>
      </c>
      <c r="L34" s="96">
        <f>VLOOKUP($B34,'[13]Div 91 forecast'!$D$281:$AF$360,11,FALSE)</f>
        <v>26663.689068061231</v>
      </c>
      <c r="M34" s="96">
        <f>VLOOKUP($B34,'[13]Div 91 forecast'!$D$281:$AF$360,12,FALSE)</f>
        <v>23039.627241557715</v>
      </c>
      <c r="N34" s="96">
        <f>VLOOKUP($B34,'[13]Div 91 forecast'!$D$281:$AF$360,13,FALSE)</f>
        <v>23419.940232367524</v>
      </c>
      <c r="O34" s="96">
        <f>VLOOKUP($B34,'[13]Div 91 forecast'!$D$281:$AF$360,14,FALSE)</f>
        <v>23178.637256351038</v>
      </c>
      <c r="P34" s="211">
        <f t="shared" si="2"/>
        <v>290828.10211277707</v>
      </c>
      <c r="Q34" s="211"/>
      <c r="R34" s="886"/>
    </row>
    <row r="35" spans="1:18">
      <c r="A35" s="459">
        <f t="shared" si="1"/>
        <v>21</v>
      </c>
      <c r="B35" s="364">
        <v>9010</v>
      </c>
      <c r="C35" s="80" t="s">
        <v>182</v>
      </c>
      <c r="D35" s="596">
        <f>'[11]Div 091'!C83</f>
        <v>2224.7800000000002</v>
      </c>
      <c r="E35" s="596">
        <f>'[11]Div 091'!D83</f>
        <v>2129.21</v>
      </c>
      <c r="F35" s="596">
        <f>'[11]Div 091'!E83</f>
        <v>2392.91</v>
      </c>
      <c r="G35" s="596">
        <f>'[11]Div 091'!F83</f>
        <v>2130.86</v>
      </c>
      <c r="H35" s="596">
        <f>'[11]Div 091'!G83</f>
        <v>2375.35</v>
      </c>
      <c r="I35" s="596">
        <f>'[11]Div 091'!H83</f>
        <v>1986.12</v>
      </c>
      <c r="J35" s="96">
        <f>VLOOKUP($B35,'[13]Div 91 forecast'!$D$281:$AF$360,9,FALSE)</f>
        <v>2027.0635994460692</v>
      </c>
      <c r="K35" s="96">
        <f>VLOOKUP($B35,'[13]Div 91 forecast'!$D$281:$AF$360,10,FALSE)</f>
        <v>2227.4906203635287</v>
      </c>
      <c r="L35" s="96">
        <f>VLOOKUP($B35,'[13]Div 91 forecast'!$D$281:$AF$360,11,FALSE)</f>
        <v>2042.2348812632815</v>
      </c>
      <c r="M35" s="96">
        <f>VLOOKUP($B35,'[13]Div 91 forecast'!$D$281:$AF$360,12,FALSE)</f>
        <v>1876.7858203186709</v>
      </c>
      <c r="N35" s="96">
        <f>VLOOKUP($B35,'[13]Div 91 forecast'!$D$281:$AF$360,13,FALSE)</f>
        <v>1950.2287772661598</v>
      </c>
      <c r="O35" s="96">
        <f>VLOOKUP($B35,'[13]Div 91 forecast'!$D$281:$AF$360,14,FALSE)</f>
        <v>1803.4902502132636</v>
      </c>
      <c r="P35" s="211">
        <f t="shared" si="2"/>
        <v>25166.52394887097</v>
      </c>
      <c r="Q35" s="211"/>
      <c r="R35" s="886"/>
    </row>
    <row r="36" spans="1:18">
      <c r="A36" s="459"/>
      <c r="B36" s="364">
        <v>9020</v>
      </c>
      <c r="C36" s="80" t="s">
        <v>940</v>
      </c>
      <c r="D36" s="596">
        <f>'[11]Div 091'!C84</f>
        <v>0</v>
      </c>
      <c r="E36" s="596">
        <f>'[11]Div 091'!D84</f>
        <v>0</v>
      </c>
      <c r="F36" s="596">
        <f>'[11]Div 091'!E84</f>
        <v>0</v>
      </c>
      <c r="G36" s="596">
        <f>'[11]Div 091'!F84</f>
        <v>0</v>
      </c>
      <c r="H36" s="596">
        <f>'[11]Div 091'!G84</f>
        <v>-90</v>
      </c>
      <c r="I36" s="596">
        <f>'[11]Div 091'!H84</f>
        <v>0</v>
      </c>
      <c r="J36" s="96">
        <f>VLOOKUP($B36,'[13]Div 91 forecast'!$D$281:$AF$360,9,FALSE)</f>
        <v>-67.914055512137608</v>
      </c>
      <c r="K36" s="96">
        <f>VLOOKUP($B36,'[13]Div 91 forecast'!$D$281:$AF$360,10,FALSE)</f>
        <v>-68.937973130849372</v>
      </c>
      <c r="L36" s="96">
        <f>VLOOKUP($B36,'[13]Div 91 forecast'!$D$281:$AF$360,11,FALSE)</f>
        <v>-71.546992312278007</v>
      </c>
      <c r="M36" s="96">
        <f>VLOOKUP($B36,'[13]Div 91 forecast'!$D$281:$AF$360,12,FALSE)</f>
        <v>-71.971528985756137</v>
      </c>
      <c r="N36" s="96">
        <f>VLOOKUP($B36,'[13]Div 91 forecast'!$D$281:$AF$360,13,FALSE)</f>
        <v>-73.643793196090783</v>
      </c>
      <c r="O36" s="96">
        <f>VLOOKUP($B36,'[13]Div 91 forecast'!$D$281:$AF$360,14,FALSE)</f>
        <v>-75.091798853546521</v>
      </c>
      <c r="P36" s="211">
        <f t="shared" si="2"/>
        <v>-519.10614199065844</v>
      </c>
      <c r="Q36" s="211"/>
      <c r="R36" s="886"/>
    </row>
    <row r="37" spans="1:18">
      <c r="A37" s="459">
        <f>A35+1</f>
        <v>22</v>
      </c>
      <c r="B37" s="364">
        <v>9030</v>
      </c>
      <c r="C37" s="196" t="s">
        <v>945</v>
      </c>
      <c r="D37" s="596">
        <f>'[11]Div 091'!C85</f>
        <v>258815.49</v>
      </c>
      <c r="E37" s="596">
        <f>'[11]Div 091'!D85</f>
        <v>236243.71</v>
      </c>
      <c r="F37" s="596">
        <f>'[11]Div 091'!E85</f>
        <v>-219998.26999999996</v>
      </c>
      <c r="G37" s="596">
        <f>'[11]Div 091'!F85</f>
        <v>155498.62</v>
      </c>
      <c r="H37" s="596">
        <f>'[11]Div 091'!G85</f>
        <v>160887.69</v>
      </c>
      <c r="I37" s="596">
        <f>'[11]Div 091'!H85</f>
        <v>154332.61000000002</v>
      </c>
      <c r="J37" s="96">
        <f>VLOOKUP($B37,'[13]Div 91 forecast'!$D$281:$AF$360,9,FALSE)</f>
        <v>297001.53863653279</v>
      </c>
      <c r="K37" s="96">
        <f>VLOOKUP($B37,'[13]Div 91 forecast'!$D$281:$AF$360,10,FALSE)</f>
        <v>306785.26802791713</v>
      </c>
      <c r="L37" s="96">
        <f>VLOOKUP($B37,'[13]Div 91 forecast'!$D$281:$AF$360,11,FALSE)</f>
        <v>309333.1114503782</v>
      </c>
      <c r="M37" s="96">
        <f>VLOOKUP($B37,'[13]Div 91 forecast'!$D$281:$AF$360,12,FALSE)</f>
        <v>305777.71600617748</v>
      </c>
      <c r="N37" s="96">
        <f>VLOOKUP($B37,'[13]Div 91 forecast'!$D$281:$AF$360,13,FALSE)</f>
        <v>311450.9170103338</v>
      </c>
      <c r="O37" s="96">
        <f>VLOOKUP($B37,'[13]Div 91 forecast'!$D$281:$AF$360,14,FALSE)</f>
        <v>313593.40017580951</v>
      </c>
      <c r="P37" s="211">
        <f t="shared" si="2"/>
        <v>2589721.8013071488</v>
      </c>
      <c r="Q37" s="211"/>
      <c r="R37" s="886"/>
    </row>
    <row r="38" spans="1:18">
      <c r="A38" s="459">
        <f t="shared" si="1"/>
        <v>23</v>
      </c>
      <c r="B38" s="364">
        <v>9100</v>
      </c>
      <c r="C38" s="196" t="s">
        <v>948</v>
      </c>
      <c r="D38" s="596">
        <f>'[11]Div 091'!C86</f>
        <v>204.4</v>
      </c>
      <c r="E38" s="596">
        <f>'[11]Div 091'!D86</f>
        <v>150.75</v>
      </c>
      <c r="F38" s="596">
        <f>'[11]Div 091'!E86</f>
        <v>130.11000000000001</v>
      </c>
      <c r="G38" s="596">
        <f>'[11]Div 091'!F86</f>
        <v>108.7</v>
      </c>
      <c r="H38" s="596">
        <f>'[11]Div 091'!G86</f>
        <v>10.050000000000001</v>
      </c>
      <c r="I38" s="596">
        <f>'[11]Div 091'!H86</f>
        <v>0</v>
      </c>
      <c r="J38" s="96">
        <f>VLOOKUP($B38,'[13]Div 91 forecast'!$D$281:$AF$360,9,FALSE)</f>
        <v>53.684474199866678</v>
      </c>
      <c r="K38" s="96">
        <f>VLOOKUP($B38,'[13]Div 91 forecast'!$D$281:$AF$360,10,FALSE)</f>
        <v>187.51491475779758</v>
      </c>
      <c r="L38" s="96">
        <f>VLOOKUP($B38,'[13]Div 91 forecast'!$D$281:$AF$360,11,FALSE)</f>
        <v>149.8854460570829</v>
      </c>
      <c r="M38" s="96">
        <f>VLOOKUP($B38,'[13]Div 91 forecast'!$D$281:$AF$360,12,FALSE)</f>
        <v>103.84502342344136</v>
      </c>
      <c r="N38" s="96">
        <f>VLOOKUP($B38,'[13]Div 91 forecast'!$D$281:$AF$360,13,FALSE)</f>
        <v>102.59100089985874</v>
      </c>
      <c r="O38" s="96">
        <f>VLOOKUP($B38,'[13]Div 91 forecast'!$D$281:$AF$360,14,FALSE)</f>
        <v>93.093067977990714</v>
      </c>
      <c r="P38" s="211">
        <f t="shared" si="2"/>
        <v>1294.6239273160379</v>
      </c>
      <c r="Q38" s="211"/>
      <c r="R38" s="886"/>
    </row>
    <row r="39" spans="1:18">
      <c r="A39" s="459">
        <f t="shared" si="1"/>
        <v>24</v>
      </c>
      <c r="B39" s="364">
        <v>9110</v>
      </c>
      <c r="C39" s="196" t="s">
        <v>949</v>
      </c>
      <c r="D39" s="596">
        <f>'[11]Div 091'!C87</f>
        <v>9137.02</v>
      </c>
      <c r="E39" s="596">
        <f>'[11]Div 091'!D87</f>
        <v>9790.74</v>
      </c>
      <c r="F39" s="596">
        <f>'[11]Div 091'!E87</f>
        <v>8775.6</v>
      </c>
      <c r="G39" s="596">
        <f>'[11]Div 091'!F87</f>
        <v>15140.27</v>
      </c>
      <c r="H39" s="596">
        <f>'[11]Div 091'!G87</f>
        <v>7192.99</v>
      </c>
      <c r="I39" s="596">
        <f>'[11]Div 091'!H87</f>
        <v>12703.889999999998</v>
      </c>
      <c r="J39" s="96">
        <f>VLOOKUP($B39,'[13]Div 91 forecast'!$D$281:$AF$360,9,FALSE)</f>
        <v>10347.698747033826</v>
      </c>
      <c r="K39" s="96">
        <f>VLOOKUP($B39,'[13]Div 91 forecast'!$D$281:$AF$360,10,FALSE)</f>
        <v>11701.150244974573</v>
      </c>
      <c r="L39" s="96">
        <f>VLOOKUP($B39,'[13]Div 91 forecast'!$D$281:$AF$360,11,FALSE)</f>
        <v>10923.464012732249</v>
      </c>
      <c r="M39" s="96">
        <f>VLOOKUP($B39,'[13]Div 91 forecast'!$D$281:$AF$360,12,FALSE)</f>
        <v>9686.5078576716405</v>
      </c>
      <c r="N39" s="96">
        <f>VLOOKUP($B39,'[13]Div 91 forecast'!$D$281:$AF$360,13,FALSE)</f>
        <v>12085.522334394489</v>
      </c>
      <c r="O39" s="96">
        <f>VLOOKUP($B39,'[13]Div 91 forecast'!$D$281:$AF$360,14,FALSE)</f>
        <v>9618.3420813806097</v>
      </c>
      <c r="P39" s="211">
        <f t="shared" si="2"/>
        <v>127103.19527818738</v>
      </c>
      <c r="Q39" s="211"/>
      <c r="R39" s="886"/>
    </row>
    <row r="40" spans="1:18">
      <c r="A40" s="459">
        <f t="shared" si="1"/>
        <v>25</v>
      </c>
      <c r="B40" s="364">
        <v>9120</v>
      </c>
      <c r="C40" s="196" t="s">
        <v>950</v>
      </c>
      <c r="D40" s="596">
        <f>'[11]Div 091'!C88</f>
        <v>395</v>
      </c>
      <c r="E40" s="596">
        <f>'[11]Div 091'!D88</f>
        <v>0</v>
      </c>
      <c r="F40" s="596">
        <f>'[11]Div 091'!E88</f>
        <v>0</v>
      </c>
      <c r="G40" s="596">
        <f>'[11]Div 091'!F88</f>
        <v>0</v>
      </c>
      <c r="H40" s="596">
        <f>'[11]Div 091'!G88</f>
        <v>0</v>
      </c>
      <c r="I40" s="596">
        <f>'[11]Div 091'!H88</f>
        <v>0</v>
      </c>
      <c r="J40" s="96">
        <f>VLOOKUP($B40,'[13]Div 91 forecast'!$D$281:$AF$360,9,FALSE)</f>
        <v>35.107642769072257</v>
      </c>
      <c r="K40" s="96">
        <f>VLOOKUP($B40,'[13]Div 91 forecast'!$D$281:$AF$360,10,FALSE)</f>
        <v>122.62775670821682</v>
      </c>
      <c r="L40" s="96">
        <f>VLOOKUP($B40,'[13]Div 91 forecast'!$D$281:$AF$360,11,FALSE)</f>
        <v>98.019488406727945</v>
      </c>
      <c r="M40" s="96">
        <f>VLOOKUP($B40,'[13]Div 91 forecast'!$D$281:$AF$360,12,FALSE)</f>
        <v>67.910770106884542</v>
      </c>
      <c r="N40" s="96">
        <f>VLOOKUP($B40,'[13]Div 91 forecast'!$D$281:$AF$360,13,FALSE)</f>
        <v>67.090686173149791</v>
      </c>
      <c r="O40" s="96">
        <f>VLOOKUP($B40,'[13]Div 91 forecast'!$D$281:$AF$360,14,FALSE)</f>
        <v>60.87939247910851</v>
      </c>
      <c r="P40" s="211">
        <f t="shared" si="2"/>
        <v>846.63573664316004</v>
      </c>
      <c r="Q40" s="211"/>
      <c r="R40" s="886"/>
    </row>
    <row r="41" spans="1:18">
      <c r="A41" s="459">
        <f t="shared" si="1"/>
        <v>26</v>
      </c>
      <c r="B41" s="364">
        <v>9130</v>
      </c>
      <c r="C41" s="196" t="s">
        <v>951</v>
      </c>
      <c r="D41" s="596">
        <f>'[11]Div 091'!C89</f>
        <v>92.5</v>
      </c>
      <c r="E41" s="596">
        <f>'[11]Div 091'!D89</f>
        <v>0</v>
      </c>
      <c r="F41" s="596">
        <f>'[11]Div 091'!E89</f>
        <v>0</v>
      </c>
      <c r="G41" s="596">
        <f>'[11]Div 091'!F89</f>
        <v>206.34</v>
      </c>
      <c r="H41" s="596">
        <f>'[11]Div 091'!G89</f>
        <v>0</v>
      </c>
      <c r="I41" s="596">
        <f>'[11]Div 091'!H89</f>
        <v>0</v>
      </c>
      <c r="J41" s="96">
        <f>VLOOKUP($B41,'[13]Div 91 forecast'!$D$281:$AF$360,9,FALSE)</f>
        <v>26.560931557239378</v>
      </c>
      <c r="K41" s="96">
        <f>VLOOKUP($B41,'[13]Div 91 forecast'!$D$281:$AF$360,10,FALSE)</f>
        <v>92.774883075148125</v>
      </c>
      <c r="L41" s="96">
        <f>VLOOKUP($B41,'[13]Div 91 forecast'!$D$281:$AF$360,11,FALSE)</f>
        <v>74.157326368269821</v>
      </c>
      <c r="M41" s="96">
        <f>VLOOKUP($B41,'[13]Div 91 forecast'!$D$281:$AF$360,12,FALSE)</f>
        <v>51.378365920864248</v>
      </c>
      <c r="N41" s="96">
        <f>VLOOKUP($B41,'[13]Div 91 forecast'!$D$281:$AF$360,13,FALSE)</f>
        <v>50.757925711352108</v>
      </c>
      <c r="O41" s="96">
        <f>VLOOKUP($B41,'[13]Div 91 forecast'!$D$281:$AF$360,14,FALSE)</f>
        <v>46.05872822394123</v>
      </c>
      <c r="P41" s="211">
        <f t="shared" si="2"/>
        <v>640.52816085681491</v>
      </c>
      <c r="Q41" s="211"/>
      <c r="R41" s="886"/>
    </row>
    <row r="42" spans="1:18">
      <c r="A42" s="459">
        <f t="shared" si="1"/>
        <v>27</v>
      </c>
      <c r="B42" s="364">
        <v>9200</v>
      </c>
      <c r="C42" s="196" t="s">
        <v>183</v>
      </c>
      <c r="D42" s="596">
        <f>'[11]Div 091'!C90</f>
        <v>-4731.29</v>
      </c>
      <c r="E42" s="596">
        <f>'[11]Div 091'!D90</f>
        <v>-25367.87</v>
      </c>
      <c r="F42" s="596">
        <f>'[11]Div 091'!E90</f>
        <v>-6325.79</v>
      </c>
      <c r="G42" s="596">
        <f>'[11]Div 091'!F90</f>
        <v>-4895.53</v>
      </c>
      <c r="H42" s="596">
        <f>'[11]Div 091'!G90</f>
        <v>-26382.78</v>
      </c>
      <c r="I42" s="596">
        <f>'[11]Div 091'!H90</f>
        <v>-5662.56</v>
      </c>
      <c r="J42" s="96">
        <f>VLOOKUP($B42,'[13]Div 91 forecast'!$D$281:$AF$360,9,FALSE)</f>
        <v>270.62672350969581</v>
      </c>
      <c r="K42" s="96">
        <f>VLOOKUP($B42,'[13]Div 91 forecast'!$D$281:$AF$360,10,FALSE)</f>
        <v>-64.86095026265437</v>
      </c>
      <c r="L42" s="96">
        <f>VLOOKUP($B42,'[13]Div 91 forecast'!$D$281:$AF$360,11,FALSE)</f>
        <v>-69.334119246285709</v>
      </c>
      <c r="M42" s="96">
        <f>VLOOKUP($B42,'[13]Div 91 forecast'!$D$281:$AF$360,12,FALSE)</f>
        <v>9231.9994590432507</v>
      </c>
      <c r="N42" s="96">
        <f>VLOOKUP($B42,'[13]Div 91 forecast'!$D$281:$AF$360,13,FALSE)</f>
        <v>8908.3813391689655</v>
      </c>
      <c r="O42" s="96">
        <f>VLOOKUP($B42,'[13]Div 91 forecast'!$D$281:$AF$360,14,FALSE)</f>
        <v>8869.8966534767424</v>
      </c>
      <c r="P42" s="211">
        <f t="shared" si="2"/>
        <v>-46219.110894310288</v>
      </c>
      <c r="Q42" s="211"/>
      <c r="R42" s="886"/>
    </row>
    <row r="43" spans="1:18">
      <c r="A43" s="459">
        <f t="shared" si="1"/>
        <v>28</v>
      </c>
      <c r="B43" s="364">
        <v>9210</v>
      </c>
      <c r="C43" s="196" t="s">
        <v>952</v>
      </c>
      <c r="D43" s="596">
        <f>'[11]Div 091'!C91</f>
        <v>0</v>
      </c>
      <c r="E43" s="596">
        <f>'[11]Div 091'!D91</f>
        <v>1331.8400000000001</v>
      </c>
      <c r="F43" s="596">
        <f>'[11]Div 091'!E91</f>
        <v>7.58</v>
      </c>
      <c r="G43" s="596">
        <f>'[11]Div 091'!F91</f>
        <v>0</v>
      </c>
      <c r="H43" s="596">
        <f>'[11]Div 091'!G91</f>
        <v>9.56</v>
      </c>
      <c r="I43" s="596">
        <f>'[11]Div 091'!H91</f>
        <v>0</v>
      </c>
      <c r="J43" s="96">
        <f>VLOOKUP($B43,'[13]Div 91 forecast'!$D$281:$AF$360,9,FALSE)</f>
        <v>236.39356481530194</v>
      </c>
      <c r="K43" s="96">
        <f>VLOOKUP($B43,'[13]Div 91 forecast'!$D$281:$AF$360,10,FALSE)</f>
        <v>359.18360560210397</v>
      </c>
      <c r="L43" s="96">
        <f>VLOOKUP($B43,'[13]Div 91 forecast'!$D$281:$AF$360,11,FALSE)</f>
        <v>332.1151378826973</v>
      </c>
      <c r="M43" s="96">
        <f>VLOOKUP($B43,'[13]Div 91 forecast'!$D$281:$AF$360,12,FALSE)</f>
        <v>261.16839866612747</v>
      </c>
      <c r="N43" s="96">
        <f>VLOOKUP($B43,'[13]Div 91 forecast'!$D$281:$AF$360,13,FALSE)</f>
        <v>411.65701625794969</v>
      </c>
      <c r="O43" s="96">
        <f>VLOOKUP($B43,'[13]Div 91 forecast'!$D$281:$AF$360,14,FALSE)</f>
        <v>270.19209505575674</v>
      </c>
      <c r="P43" s="211">
        <f t="shared" si="2"/>
        <v>3219.6898182799368</v>
      </c>
      <c r="Q43" s="211"/>
      <c r="R43" s="211"/>
    </row>
    <row r="44" spans="1:18">
      <c r="A44" s="459">
        <f t="shared" si="1"/>
        <v>29</v>
      </c>
      <c r="B44" s="364">
        <v>9220</v>
      </c>
      <c r="C44" s="196" t="s">
        <v>953</v>
      </c>
      <c r="D44" s="596">
        <f>'[11]Div 091'!C92</f>
        <v>-831246.35</v>
      </c>
      <c r="E44" s="596">
        <f>'[11]Div 091'!D92</f>
        <v>-694191.90999999968</v>
      </c>
      <c r="F44" s="596">
        <f>'[11]Div 091'!E92</f>
        <v>-477225.28000000044</v>
      </c>
      <c r="G44" s="596">
        <f>'[11]Div 091'!F92</f>
        <v>-708629.43999999983</v>
      </c>
      <c r="H44" s="596">
        <f>'[11]Div 091'!G92</f>
        <v>-704519.55000000016</v>
      </c>
      <c r="I44" s="596">
        <f>'[11]Div 091'!H92</f>
        <v>-482659.37999999989</v>
      </c>
      <c r="J44" s="96">
        <f t="shared" ref="J44:O44" si="3">-(SUM(J14:J43,J45:J50))</f>
        <v>-1029942.3200000002</v>
      </c>
      <c r="K44" s="96">
        <f t="shared" si="3"/>
        <v>-915016.71999999986</v>
      </c>
      <c r="L44" s="96">
        <f t="shared" si="3"/>
        <v>-914981.66000000015</v>
      </c>
      <c r="M44" s="96">
        <f t="shared" si="3"/>
        <v>-873623.95509999979</v>
      </c>
      <c r="N44" s="96">
        <f t="shared" si="3"/>
        <v>-946536.62390000012</v>
      </c>
      <c r="O44" s="96">
        <f t="shared" si="3"/>
        <v>-904541.72340000002</v>
      </c>
      <c r="P44" s="211">
        <f t="shared" si="2"/>
        <v>-9483114.9124000017</v>
      </c>
      <c r="Q44" s="670"/>
      <c r="R44" s="211"/>
    </row>
    <row r="45" spans="1:18">
      <c r="A45" s="459">
        <f t="shared" si="1"/>
        <v>30</v>
      </c>
      <c r="B45" s="364">
        <v>9230</v>
      </c>
      <c r="C45" s="196" t="s">
        <v>954</v>
      </c>
      <c r="D45" s="596">
        <f>'[11]Div 091'!C93</f>
        <v>6769.3</v>
      </c>
      <c r="E45" s="596">
        <f>'[11]Div 091'!D93</f>
        <v>4064.37</v>
      </c>
      <c r="F45" s="596">
        <f>'[11]Div 091'!E93</f>
        <v>5669.0599999999995</v>
      </c>
      <c r="G45" s="596">
        <f>'[11]Div 091'!F93</f>
        <v>7466.16</v>
      </c>
      <c r="H45" s="596">
        <f>'[11]Div 091'!G93</f>
        <v>8921.7900000000009</v>
      </c>
      <c r="I45" s="596">
        <f>'[11]Div 091'!H93</f>
        <v>12968.37</v>
      </c>
      <c r="J45" s="96">
        <f>VLOOKUP($B45,'[13]Div 91 forecast'!$D$281:$AF$360,9,FALSE)</f>
        <v>34605.267415932161</v>
      </c>
      <c r="K45" s="96">
        <f>VLOOKUP($B45,'[13]Div 91 forecast'!$D$281:$AF$360,10,FALSE)</f>
        <v>35126.999518958641</v>
      </c>
      <c r="L45" s="96">
        <f>VLOOKUP($B45,'[13]Div 91 forecast'!$D$281:$AF$360,11,FALSE)</f>
        <v>36456.412197759702</v>
      </c>
      <c r="M45" s="96">
        <f>VLOOKUP($B45,'[13]Div 91 forecast'!$D$281:$AF$360,12,FALSE)</f>
        <v>36672.732737047118</v>
      </c>
      <c r="N45" s="96">
        <f>VLOOKUP($B45,'[13]Div 91 forecast'!$D$281:$AF$360,13,FALSE)</f>
        <v>37524.826604102083</v>
      </c>
      <c r="O45" s="96">
        <f>VLOOKUP($B45,'[13]Div 91 forecast'!$D$281:$AF$360,14,FALSE)</f>
        <v>38262.650646830371</v>
      </c>
      <c r="P45" s="211">
        <f t="shared" si="2"/>
        <v>264507.93912063009</v>
      </c>
      <c r="Q45" s="211"/>
      <c r="R45" s="211"/>
    </row>
    <row r="46" spans="1:18">
      <c r="A46" s="459">
        <f t="shared" si="1"/>
        <v>31</v>
      </c>
      <c r="B46" s="364">
        <v>9240</v>
      </c>
      <c r="C46" s="196" t="s">
        <v>955</v>
      </c>
      <c r="D46" s="596">
        <f>'[11]Div 091'!C94</f>
        <v>-1252.8800000000001</v>
      </c>
      <c r="E46" s="596">
        <f>'[11]Div 091'!D94</f>
        <v>-958.93999999999994</v>
      </c>
      <c r="F46" s="596">
        <f>'[11]Div 091'!E94</f>
        <v>-970.97</v>
      </c>
      <c r="G46" s="596">
        <f>'[11]Div 091'!F94</f>
        <v>-1169.99</v>
      </c>
      <c r="H46" s="596">
        <f>'[11]Div 091'!G94</f>
        <v>-1134.3499999999999</v>
      </c>
      <c r="I46" s="596">
        <f>'[11]Div 091'!H94</f>
        <v>-1172.28</v>
      </c>
      <c r="J46" s="96">
        <f>VLOOKUP($B46,'[13]Div 91 forecast'!$D$281:$AF$360,9,FALSE)</f>
        <v>-16584.03179757113</v>
      </c>
      <c r="K46" s="96">
        <f>VLOOKUP($B46,'[13]Div 91 forecast'!$D$281:$AF$360,10,FALSE)</f>
        <v>-16374.171145973101</v>
      </c>
      <c r="L46" s="96">
        <f>VLOOKUP($B46,'[13]Div 91 forecast'!$D$281:$AF$360,11,FALSE)</f>
        <v>-16514.841932087937</v>
      </c>
      <c r="M46" s="96">
        <f>VLOOKUP($B46,'[13]Div 91 forecast'!$D$281:$AF$360,12,FALSE)</f>
        <v>-15235.058526163692</v>
      </c>
      <c r="N46" s="96">
        <f>VLOOKUP($B46,'[13]Div 91 forecast'!$D$281:$AF$360,13,FALSE)</f>
        <v>-15471.953628513438</v>
      </c>
      <c r="O46" s="96">
        <f>VLOOKUP($B46,'[13]Div 91 forecast'!$D$281:$AF$360,14,FALSE)</f>
        <v>-15767.957953693192</v>
      </c>
      <c r="P46" s="211">
        <f t="shared" si="2"/>
        <v>-102607.42498400249</v>
      </c>
      <c r="Q46" s="211"/>
      <c r="R46" s="211"/>
    </row>
    <row r="47" spans="1:18">
      <c r="A47" s="459">
        <f t="shared" si="1"/>
        <v>32</v>
      </c>
      <c r="B47" s="364">
        <v>9250</v>
      </c>
      <c r="C47" s="196" t="s">
        <v>956</v>
      </c>
      <c r="D47" s="596">
        <f>'[11]Div 091'!C95</f>
        <v>21554.92</v>
      </c>
      <c r="E47" s="596">
        <f>'[11]Div 091'!D95</f>
        <v>27630.63</v>
      </c>
      <c r="F47" s="596">
        <f>'[11]Div 091'!E95</f>
        <v>21837.949999999997</v>
      </c>
      <c r="G47" s="596">
        <f>'[11]Div 091'!F95</f>
        <v>21426.63</v>
      </c>
      <c r="H47" s="596">
        <f>'[11]Div 091'!G95</f>
        <v>21366.97</v>
      </c>
      <c r="I47" s="596">
        <f>'[11]Div 091'!H95</f>
        <v>5987.1699999999983</v>
      </c>
      <c r="J47" s="96">
        <f>VLOOKUP($B47,'[13]Div 91 forecast'!$D$281:$AF$360,9,FALSE)</f>
        <v>58529.840846592459</v>
      </c>
      <c r="K47" s="96">
        <f>VLOOKUP($B47,'[13]Div 91 forecast'!$D$281:$AF$360,10,FALSE)</f>
        <v>59766.208232222314</v>
      </c>
      <c r="L47" s="96">
        <f>VLOOKUP($B47,'[13]Div 91 forecast'!$D$281:$AF$360,11,FALSE)</f>
        <v>58373.698811667135</v>
      </c>
      <c r="M47" s="96">
        <f>VLOOKUP($B47,'[13]Div 91 forecast'!$D$281:$AF$360,12,FALSE)</f>
        <v>50209.154273451823</v>
      </c>
      <c r="N47" s="96">
        <f>VLOOKUP($B47,'[13]Div 91 forecast'!$D$281:$AF$360,13,FALSE)</f>
        <v>50712.129979235004</v>
      </c>
      <c r="O47" s="96">
        <f>VLOOKUP($B47,'[13]Div 91 forecast'!$D$281:$AF$360,14,FALSE)</f>
        <v>50738.335097487332</v>
      </c>
      <c r="P47" s="211">
        <f t="shared" si="2"/>
        <v>448133.63724065607</v>
      </c>
      <c r="Q47" s="211"/>
      <c r="R47" s="211"/>
    </row>
    <row r="48" spans="1:18">
      <c r="A48" s="459">
        <f t="shared" si="1"/>
        <v>33</v>
      </c>
      <c r="B48" s="887">
        <v>9260</v>
      </c>
      <c r="C48" s="196" t="s">
        <v>957</v>
      </c>
      <c r="D48" s="596">
        <f>'[11]Div 091'!C96</f>
        <v>190049.16000000003</v>
      </c>
      <c r="E48" s="596">
        <f>'[11]Div 091'!D96</f>
        <v>168788.92</v>
      </c>
      <c r="F48" s="596">
        <f>'[11]Div 091'!E96</f>
        <v>389170.68000000028</v>
      </c>
      <c r="G48" s="596">
        <f>'[11]Div 091'!F96</f>
        <v>194652.47</v>
      </c>
      <c r="H48" s="596">
        <f>'[11]Div 091'!G96</f>
        <v>237294.73000000004</v>
      </c>
      <c r="I48" s="596">
        <f>'[11]Div 091'!H96</f>
        <v>21492.699999999946</v>
      </c>
      <c r="J48" s="96">
        <f>VLOOKUP($B48,'[13]Div 91 forecast'!$D$281:$AF$360,9,FALSE)</f>
        <v>285829.07863994618</v>
      </c>
      <c r="K48" s="96">
        <f>VLOOKUP($B48,'[13]Div 91 forecast'!$D$281:$AF$360,10,FALSE)</f>
        <v>114741.74414167361</v>
      </c>
      <c r="L48" s="96">
        <f>VLOOKUP($B48,'[13]Div 91 forecast'!$D$281:$AF$360,11,FALSE)</f>
        <v>110594.62454687276</v>
      </c>
      <c r="M48" s="96">
        <f>VLOOKUP($B48,'[13]Div 91 forecast'!$D$281:$AF$360,12,FALSE)</f>
        <v>145657.33497298477</v>
      </c>
      <c r="N48" s="96">
        <f>VLOOKUP($B48,'[13]Div 91 forecast'!$D$281:$AF$360,13,FALSE)</f>
        <v>160395.38571089462</v>
      </c>
      <c r="O48" s="96">
        <f>VLOOKUP($B48,'[13]Div 91 forecast'!$D$281:$AF$360,14,FALSE)</f>
        <v>168295.710101456</v>
      </c>
      <c r="P48" s="211">
        <f t="shared" si="2"/>
        <v>2186962.5381138283</v>
      </c>
      <c r="Q48" s="211"/>
      <c r="R48" s="211"/>
    </row>
    <row r="49" spans="1:18">
      <c r="A49" s="459">
        <f t="shared" si="1"/>
        <v>34</v>
      </c>
      <c r="B49" s="364">
        <v>9302</v>
      </c>
      <c r="C49" s="196" t="s">
        <v>864</v>
      </c>
      <c r="D49" s="596">
        <f>'[11]Div 091'!C97</f>
        <v>0</v>
      </c>
      <c r="E49" s="596">
        <f>'[11]Div 091'!D97</f>
        <v>0</v>
      </c>
      <c r="F49" s="596">
        <f>'[11]Div 091'!E97</f>
        <v>0</v>
      </c>
      <c r="G49" s="596">
        <f>'[11]Div 091'!F97</f>
        <v>0</v>
      </c>
      <c r="H49" s="596">
        <f>'[11]Div 091'!G97</f>
        <v>7500</v>
      </c>
      <c r="I49" s="596">
        <f>'[11]Div 091'!H97</f>
        <v>0</v>
      </c>
      <c r="J49" s="96">
        <f>VLOOKUP($B49,'[13]Div 91 forecast'!$D$281:$AF$360,9,FALSE)</f>
        <v>19726.232812612481</v>
      </c>
      <c r="K49" s="96">
        <f>VLOOKUP($B49,'[13]Div 91 forecast'!$D$281:$AF$360,10,FALSE)</f>
        <v>20726.88071413145</v>
      </c>
      <c r="L49" s="96">
        <f>VLOOKUP($B49,'[13]Div 91 forecast'!$D$281:$AF$360,11,FALSE)</f>
        <v>12852.717586926787</v>
      </c>
      <c r="M49" s="96">
        <f>VLOOKUP($B49,'[13]Div 91 forecast'!$D$281:$AF$360,12,FALSE)</f>
        <v>5657.3245986610036</v>
      </c>
      <c r="N49" s="96">
        <f>VLOOKUP($B49,'[13]Div 91 forecast'!$D$281:$AF$360,13,FALSE)</f>
        <v>5801.3027139874739</v>
      </c>
      <c r="O49" s="96">
        <f>VLOOKUP($B49,'[13]Div 91 forecast'!$D$281:$AF$360,14,FALSE)</f>
        <v>7342.588438557339</v>
      </c>
      <c r="P49" s="211">
        <f t="shared" si="2"/>
        <v>79607.046864876538</v>
      </c>
      <c r="Q49" s="211"/>
      <c r="R49" s="211"/>
    </row>
    <row r="50" spans="1:18">
      <c r="A50" s="459">
        <f t="shared" si="1"/>
        <v>35</v>
      </c>
      <c r="B50" s="364">
        <v>9310</v>
      </c>
      <c r="C50" s="196" t="s">
        <v>185</v>
      </c>
      <c r="D50" s="596">
        <f>0</f>
        <v>0</v>
      </c>
      <c r="E50" s="596">
        <f>0</f>
        <v>0</v>
      </c>
      <c r="F50" s="596">
        <f>0</f>
        <v>0</v>
      </c>
      <c r="G50" s="596">
        <f>0</f>
        <v>0</v>
      </c>
      <c r="H50" s="596">
        <f>0</f>
        <v>0</v>
      </c>
      <c r="I50" s="596">
        <f>0</f>
        <v>0</v>
      </c>
      <c r="J50" s="96">
        <f>VLOOKUP($B50,'[13]Div 91 forecast'!$D$281:$AF$360,9,FALSE)</f>
        <v>0</v>
      </c>
      <c r="K50" s="96">
        <f>VLOOKUP($B50,'[13]Div 91 forecast'!$D$281:$AF$360,10,FALSE)</f>
        <v>0</v>
      </c>
      <c r="L50" s="96">
        <f>VLOOKUP($B50,'[13]Div 91 forecast'!$D$281:$AF$360,11,FALSE)</f>
        <v>0</v>
      </c>
      <c r="M50" s="96">
        <f>VLOOKUP($B50,'[13]Div 91 forecast'!$D$281:$AF$360,12,FALSE)</f>
        <v>0</v>
      </c>
      <c r="N50" s="96">
        <f>VLOOKUP($B50,'[13]Div 91 forecast'!$D$281:$AF$360,13,FALSE)</f>
        <v>0</v>
      </c>
      <c r="O50" s="96">
        <f>VLOOKUP($B50,'[13]Div 91 forecast'!$D$281:$AF$360,14,FALSE)</f>
        <v>0</v>
      </c>
      <c r="P50" s="211">
        <f t="shared" si="2"/>
        <v>0</v>
      </c>
      <c r="Q50" s="211"/>
      <c r="R50" s="211"/>
    </row>
    <row r="51" spans="1:18">
      <c r="A51" s="459">
        <f t="shared" si="1"/>
        <v>36</v>
      </c>
      <c r="B51" s="211"/>
      <c r="C51" s="8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217"/>
      <c r="P51" s="217"/>
      <c r="Q51" s="217"/>
      <c r="R51" s="217"/>
    </row>
    <row r="52" spans="1:18" ht="15.75" thickBot="1">
      <c r="A52" s="459">
        <f t="shared" si="1"/>
        <v>37</v>
      </c>
      <c r="B52" s="217" t="s">
        <v>741</v>
      </c>
      <c r="C52" s="879"/>
      <c r="D52" s="650">
        <f t="shared" ref="D52:O52" si="4">SUM(D14:D51)</f>
        <v>-1.9999999785795808E-2</v>
      </c>
      <c r="E52" s="650">
        <f t="shared" si="4"/>
        <v>3.0000000348081812E-2</v>
      </c>
      <c r="F52" s="650">
        <f t="shared" si="4"/>
        <v>-1.1641532182693481E-10</v>
      </c>
      <c r="G52" s="650">
        <f t="shared" si="4"/>
        <v>240932.18000000005</v>
      </c>
      <c r="H52" s="650">
        <f t="shared" si="4"/>
        <v>-240932.21000000014</v>
      </c>
      <c r="I52" s="650">
        <f t="shared" si="4"/>
        <v>1.0000000052968971E-2</v>
      </c>
      <c r="J52" s="650">
        <f t="shared" si="4"/>
        <v>4.7293724492192268E-11</v>
      </c>
      <c r="K52" s="650">
        <f t="shared" si="4"/>
        <v>-1.0913936421275139E-11</v>
      </c>
      <c r="L52" s="650">
        <f t="shared" si="4"/>
        <v>-1.1095835361629725E-10</v>
      </c>
      <c r="M52" s="650">
        <f t="shared" si="4"/>
        <v>4.9112713895738125E-11</v>
      </c>
      <c r="N52" s="650">
        <f t="shared" si="4"/>
        <v>2.0190782379359007E-10</v>
      </c>
      <c r="O52" s="650">
        <f t="shared" si="4"/>
        <v>8.1854523159563541E-11</v>
      </c>
      <c r="P52" s="650">
        <f>SUM(P12:P51)</f>
        <v>16339855.589999992</v>
      </c>
      <c r="Q52" s="217"/>
      <c r="R52" s="217"/>
    </row>
    <row r="53" spans="1:18" ht="15.75" thickTop="1">
      <c r="A53" s="459">
        <f t="shared" si="1"/>
        <v>38</v>
      </c>
      <c r="B53" s="217"/>
      <c r="C53" s="879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</row>
    <row r="54" spans="1:18">
      <c r="A54" s="459">
        <f t="shared" si="1"/>
        <v>39</v>
      </c>
      <c r="B54" s="364">
        <f>B44</f>
        <v>9220</v>
      </c>
      <c r="C54" s="882" t="str">
        <f>C44</f>
        <v>A&amp;G-Administrative expense transferred-Credit</v>
      </c>
      <c r="D54" s="365">
        <f t="shared" ref="D54:K54" si="5">-(D52-D44)</f>
        <v>-831246.33000000019</v>
      </c>
      <c r="E54" s="365">
        <f t="shared" si="5"/>
        <v>-694191.94000000006</v>
      </c>
      <c r="F54" s="365">
        <f t="shared" si="5"/>
        <v>-477225.28000000032</v>
      </c>
      <c r="G54" s="365">
        <f t="shared" si="5"/>
        <v>-949561.61999999988</v>
      </c>
      <c r="H54" s="365">
        <f t="shared" si="5"/>
        <v>-463587.34</v>
      </c>
      <c r="I54" s="365">
        <f t="shared" si="5"/>
        <v>-482659.38999999996</v>
      </c>
      <c r="J54" s="365">
        <f t="shared" si="5"/>
        <v>-1029942.3200000002</v>
      </c>
      <c r="K54" s="365">
        <f t="shared" si="5"/>
        <v>-915016.71999999986</v>
      </c>
      <c r="L54" s="882">
        <f>L44</f>
        <v>-914981.66000000015</v>
      </c>
      <c r="M54" s="882">
        <f>M44</f>
        <v>-873623.95509999979</v>
      </c>
      <c r="N54" s="882">
        <f>N44</f>
        <v>-946536.62390000012</v>
      </c>
      <c r="O54" s="882">
        <f>O44</f>
        <v>-904541.72340000002</v>
      </c>
      <c r="P54" s="211">
        <f t="shared" ref="P54" si="6">SUM(D54:O54)</f>
        <v>-9483114.9024000019</v>
      </c>
      <c r="Q54" s="217"/>
      <c r="R54" s="217"/>
    </row>
    <row r="55" spans="1:18">
      <c r="A55" s="459">
        <f t="shared" si="1"/>
        <v>40</v>
      </c>
      <c r="B55" s="217"/>
      <c r="C55" s="366" t="s">
        <v>196</v>
      </c>
      <c r="D55" s="385">
        <f>D56/D54</f>
        <v>0.50250001103764252</v>
      </c>
      <c r="E55" s="385">
        <f t="shared" ref="E55:I55" si="7">E56/E54</f>
        <v>0.50249998581084065</v>
      </c>
      <c r="F55" s="385">
        <f t="shared" si="7"/>
        <v>0.50249999329457118</v>
      </c>
      <c r="G55" s="385">
        <f t="shared" si="7"/>
        <v>0.37500070822154763</v>
      </c>
      <c r="H55" s="385">
        <f t="shared" si="7"/>
        <v>0.76365560370997188</v>
      </c>
      <c r="I55" s="385">
        <f t="shared" si="7"/>
        <v>0.50249999280030588</v>
      </c>
      <c r="J55" s="385">
        <f>Allocation!$I$17</f>
        <v>0.5025136071712456</v>
      </c>
      <c r="K55" s="385">
        <f>Allocation!$I$17</f>
        <v>0.5025136071712456</v>
      </c>
      <c r="L55" s="385">
        <f>Allocation!$I$17</f>
        <v>0.5025136071712456</v>
      </c>
      <c r="M55" s="385">
        <f>Allocation!$I$17</f>
        <v>0.5025136071712456</v>
      </c>
      <c r="N55" s="385">
        <f>Allocation!$I$17</f>
        <v>0.5025136071712456</v>
      </c>
      <c r="O55" s="385">
        <f>Allocation!$I$17</f>
        <v>0.5025136071712456</v>
      </c>
      <c r="P55" s="385">
        <f t="shared" ref="P55" si="8">P56/P54</f>
        <v>0.50250801228757225</v>
      </c>
      <c r="Q55" s="217"/>
      <c r="R55" s="217"/>
    </row>
    <row r="56" spans="1:18">
      <c r="A56" s="459">
        <f t="shared" si="1"/>
        <v>41</v>
      </c>
      <c r="B56" s="217"/>
      <c r="C56" s="217" t="s">
        <v>211</v>
      </c>
      <c r="D56" s="217">
        <f>-'[15]div 9 monthly 9220'!C11</f>
        <v>-417701.29</v>
      </c>
      <c r="E56" s="217">
        <f>-'[15]div 9 monthly 9220'!D11</f>
        <v>-348831.44</v>
      </c>
      <c r="F56" s="217">
        <f>-'[15]div 9 monthly 9220'!E11</f>
        <v>-239805.7</v>
      </c>
      <c r="G56" s="217">
        <f>-'[15]div 9 monthly 9220'!F11</f>
        <v>-356086.28</v>
      </c>
      <c r="H56" s="217">
        <f>-'[15]div 9 monthly 9220'!G11</f>
        <v>-354021.07</v>
      </c>
      <c r="I56" s="217">
        <f>-'[15]div 9 monthly 9220'!H11</f>
        <v>-242536.34</v>
      </c>
      <c r="J56" s="217">
        <f t="shared" ref="J56:O56" si="9">J54*J55</f>
        <v>-517560.03040152142</v>
      </c>
      <c r="K56" s="217">
        <f t="shared" si="9"/>
        <v>-459808.35258920153</v>
      </c>
      <c r="L56" s="217">
        <f t="shared" si="9"/>
        <v>-459790.73446213431</v>
      </c>
      <c r="M56" s="217">
        <f t="shared" si="9"/>
        <v>-439007.92498851119</v>
      </c>
      <c r="N56" s="217">
        <f t="shared" si="9"/>
        <v>-475647.5331956817</v>
      </c>
      <c r="O56" s="217">
        <f t="shared" si="9"/>
        <v>-454544.5242626291</v>
      </c>
      <c r="P56" s="211">
        <f>SUM(D56:O56)</f>
        <v>-4765341.2198996795</v>
      </c>
      <c r="Q56" s="217"/>
      <c r="R56" s="217"/>
    </row>
    <row r="57" spans="1:18">
      <c r="A57" s="217"/>
      <c r="B57" s="217"/>
      <c r="C57" s="879"/>
      <c r="D57" s="649"/>
      <c r="E57" s="649"/>
      <c r="F57" s="649"/>
      <c r="G57" s="649"/>
      <c r="H57" s="649"/>
      <c r="I57" s="649"/>
      <c r="J57" s="220"/>
      <c r="K57" s="220"/>
      <c r="L57" s="220"/>
      <c r="M57" s="220"/>
      <c r="N57" s="220"/>
      <c r="O57" s="220"/>
      <c r="P57" s="220"/>
      <c r="Q57" s="217"/>
      <c r="R57" s="217"/>
    </row>
    <row r="58" spans="1:18">
      <c r="A58" s="217"/>
      <c r="B58" s="217"/>
      <c r="C58" s="879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20"/>
      <c r="O58" s="220"/>
      <c r="P58" s="217"/>
      <c r="Q58" s="217"/>
      <c r="R58" s="217"/>
    </row>
    <row r="59" spans="1:18">
      <c r="A59" s="217"/>
      <c r="B59" s="217" t="s">
        <v>568</v>
      </c>
      <c r="C59" s="879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20"/>
      <c r="O59" s="220"/>
      <c r="P59" s="217"/>
      <c r="Q59" s="217"/>
      <c r="R59" s="217"/>
    </row>
    <row r="60" spans="1:18">
      <c r="A60" s="217"/>
      <c r="B60" s="217"/>
      <c r="C60" s="879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20"/>
      <c r="O60" s="220"/>
      <c r="P60" s="217"/>
      <c r="Q60" s="217"/>
      <c r="R60" s="217"/>
    </row>
    <row r="61" spans="1:18">
      <c r="A61" s="217"/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Q61" s="217"/>
      <c r="R61" s="217"/>
    </row>
    <row r="62" spans="1:18">
      <c r="A62" s="217"/>
      <c r="B62" s="217" t="s">
        <v>961</v>
      </c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</row>
    <row r="63" spans="1:18">
      <c r="A63" s="217"/>
      <c r="B63" s="217" t="s">
        <v>1654</v>
      </c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103"/>
      <c r="Q63" s="760"/>
      <c r="R63" s="217"/>
    </row>
    <row r="64" spans="1:18">
      <c r="A64" s="217"/>
      <c r="B64" s="81" t="s">
        <v>1646</v>
      </c>
      <c r="C64" s="217"/>
      <c r="D64" s="217"/>
      <c r="E64" s="760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</row>
    <row r="65" spans="1:18">
      <c r="A65" s="217"/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386"/>
      <c r="P65" s="217"/>
      <c r="Q65" s="217"/>
      <c r="R65" s="217"/>
    </row>
    <row r="66" spans="1:18">
      <c r="A66" s="217"/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170"/>
      <c r="P66" s="217"/>
      <c r="Q66" s="217"/>
      <c r="R66" s="217"/>
    </row>
    <row r="67" spans="1:18">
      <c r="A67" s="217"/>
      <c r="B67" s="217"/>
      <c r="C67" s="670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170"/>
      <c r="P67" s="217"/>
      <c r="Q67" s="670"/>
      <c r="R67" s="217"/>
    </row>
    <row r="68" spans="1:18">
      <c r="A68" s="217"/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386"/>
      <c r="P68" s="217"/>
      <c r="Q68" s="217"/>
      <c r="R68" s="217"/>
    </row>
    <row r="69" spans="1:18">
      <c r="A69" s="217"/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170"/>
      <c r="P69" s="217"/>
      <c r="Q69" s="217"/>
      <c r="R69" s="217"/>
    </row>
    <row r="70" spans="1:18">
      <c r="A70" s="217"/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170"/>
      <c r="P70" s="217"/>
      <c r="Q70" s="217"/>
      <c r="R70" s="217"/>
    </row>
    <row r="71" spans="1:18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</row>
    <row r="72" spans="1:18">
      <c r="A72" s="217"/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</row>
    <row r="74" spans="1:18">
      <c r="C74" s="670"/>
    </row>
  </sheetData>
  <mergeCells count="4">
    <mergeCell ref="A1:P1"/>
    <mergeCell ref="A2:P2"/>
    <mergeCell ref="A3:P3"/>
    <mergeCell ref="A4:P4"/>
  </mergeCells>
  <phoneticPr fontId="22" type="noConversion"/>
  <printOptions horizontalCentered="1"/>
  <pageMargins left="0.5" right="0.5" top="0.75" bottom="0.59" header="0.5" footer="0.25"/>
  <pageSetup scale="50" fitToHeight="2" orientation="landscape" verticalDpi="300" r:id="rId1"/>
  <headerFooter alignWithMargins="0">
    <oddFooter>&amp;RSchedule &amp;A
Page &amp;P of &amp;N</oddFooter>
  </headerFooter>
  <rowBreaks count="1" manualBreakCount="1">
    <brk id="60" max="1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Y128"/>
  <sheetViews>
    <sheetView view="pageBreakPreview" zoomScale="60" zoomScaleNormal="75" workbookViewId="0">
      <pane xSplit="3" ySplit="10" topLeftCell="D11" activePane="bottomRight" state="frozen"/>
      <selection activeCell="H20" sqref="H20"/>
      <selection pane="topRight" activeCell="H20" sqref="H20"/>
      <selection pane="bottomLeft" activeCell="H20" sqref="H20"/>
      <selection pane="bottomRight" activeCell="I26" sqref="I26"/>
    </sheetView>
  </sheetViews>
  <sheetFormatPr defaultColWidth="7.109375" defaultRowHeight="15"/>
  <cols>
    <col min="1" max="1" width="4.6640625" style="80" customWidth="1"/>
    <col min="2" max="2" width="9.109375" style="80" customWidth="1"/>
    <col min="3" max="3" width="42" style="80" customWidth="1"/>
    <col min="4" max="4" width="12.44140625" style="80" bestFit="1" customWidth="1"/>
    <col min="5" max="6" width="11.109375" style="80" customWidth="1"/>
    <col min="7" max="7" width="11.77734375" style="80" bestFit="1" customWidth="1"/>
    <col min="8" max="8" width="11.33203125" style="80" bestFit="1" customWidth="1"/>
    <col min="9" max="9" width="15.21875" style="80" customWidth="1"/>
    <col min="10" max="10" width="12.5546875" style="80" customWidth="1"/>
    <col min="11" max="11" width="11.33203125" style="80" bestFit="1" customWidth="1"/>
    <col min="12" max="13" width="12.44140625" style="80" bestFit="1" customWidth="1"/>
    <col min="14" max="14" width="11.33203125" style="80" bestFit="1" customWidth="1"/>
    <col min="15" max="15" width="12.44140625" style="80" customWidth="1"/>
    <col min="16" max="16" width="13.44140625" style="80" bestFit="1" customWidth="1"/>
    <col min="17" max="17" width="12.44140625" style="80" customWidth="1"/>
    <col min="18" max="18" width="10" style="80" customWidth="1"/>
    <col min="19" max="19" width="13.109375" style="80" customWidth="1"/>
    <col min="20" max="20" width="11.21875" style="80" customWidth="1"/>
    <col min="21" max="16384" width="7.109375" style="80"/>
  </cols>
  <sheetData>
    <row r="1" spans="1:19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1190"/>
      <c r="Q1" s="81"/>
      <c r="R1" s="81"/>
      <c r="S1" s="81"/>
    </row>
    <row r="2" spans="1:19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R2" s="81"/>
      <c r="S2" s="81"/>
    </row>
    <row r="3" spans="1:19">
      <c r="A3" s="1190" t="s">
        <v>423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81"/>
      <c r="R3" s="81"/>
      <c r="S3" s="81"/>
    </row>
    <row r="4" spans="1:19">
      <c r="A4" s="1190" t="str">
        <f>'Table of Contents'!A4:C4</f>
        <v>Forecasted Test Period: Twelve Months Ended March 31, 2019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81"/>
      <c r="R4" s="81"/>
      <c r="S4" s="81"/>
    </row>
    <row r="5" spans="1:19">
      <c r="A5" s="854"/>
      <c r="B5" s="854"/>
      <c r="C5" s="854"/>
      <c r="D5" s="888"/>
      <c r="E5" s="889"/>
      <c r="F5" s="888"/>
      <c r="G5" s="890"/>
      <c r="H5" s="890"/>
      <c r="I5" s="890"/>
      <c r="J5" s="890"/>
      <c r="K5" s="890"/>
      <c r="L5" s="888"/>
      <c r="M5" s="891"/>
      <c r="N5" s="888"/>
      <c r="O5" s="889"/>
      <c r="P5" s="854"/>
      <c r="Q5" s="81"/>
      <c r="R5" s="81"/>
      <c r="S5" s="81"/>
    </row>
    <row r="6" spans="1:19">
      <c r="A6" s="88" t="str">
        <f>'C.2.1 F'!A6</f>
        <v>Data:________Base Period___X____Forecasted Period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170" t="s">
        <v>1454</v>
      </c>
      <c r="Q6" s="81"/>
      <c r="R6" s="81"/>
      <c r="S6" s="81"/>
    </row>
    <row r="7" spans="1:19">
      <c r="A7" s="88" t="str">
        <f>'C.2.1 F'!A7</f>
        <v>Type of Filing:___X____Original________Updated ________Revised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507" t="s">
        <v>38</v>
      </c>
      <c r="Q7" s="81"/>
      <c r="R7" s="81"/>
      <c r="S7" s="81"/>
    </row>
    <row r="8" spans="1:19">
      <c r="A8" s="390" t="str">
        <f>'C.2.1 F'!A8</f>
        <v>Workpaper Reference No(s).____________________</v>
      </c>
      <c r="B8" s="81"/>
      <c r="C8" s="81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508" t="str">
        <f>'C.2.2 B 09'!P8</f>
        <v>Witness: Waller, Martin</v>
      </c>
      <c r="Q8" s="81"/>
      <c r="R8" s="81"/>
      <c r="S8" s="81"/>
    </row>
    <row r="9" spans="1:19">
      <c r="A9" s="892" t="s">
        <v>94</v>
      </c>
      <c r="B9" s="893" t="s">
        <v>101</v>
      </c>
      <c r="C9" s="894"/>
      <c r="D9" s="895" t="s">
        <v>44</v>
      </c>
      <c r="E9" s="851" t="s">
        <v>44</v>
      </c>
      <c r="F9" s="851" t="s">
        <v>44</v>
      </c>
      <c r="G9" s="851" t="s">
        <v>44</v>
      </c>
      <c r="H9" s="851" t="s">
        <v>44</v>
      </c>
      <c r="I9" s="851" t="s">
        <v>44</v>
      </c>
      <c r="J9" s="851" t="s">
        <v>44</v>
      </c>
      <c r="K9" s="851" t="s">
        <v>44</v>
      </c>
      <c r="L9" s="851" t="s">
        <v>44</v>
      </c>
      <c r="M9" s="851" t="s">
        <v>44</v>
      </c>
      <c r="N9" s="851" t="s">
        <v>44</v>
      </c>
      <c r="O9" s="851" t="s">
        <v>44</v>
      </c>
      <c r="P9" s="896"/>
      <c r="Q9" s="854"/>
      <c r="R9" s="854"/>
      <c r="S9" s="854"/>
    </row>
    <row r="10" spans="1:19">
      <c r="A10" s="897" t="s">
        <v>100</v>
      </c>
      <c r="B10" s="519" t="s">
        <v>100</v>
      </c>
      <c r="C10" s="898" t="s">
        <v>960</v>
      </c>
      <c r="D10" s="612">
        <v>43191</v>
      </c>
      <c r="E10" s="612">
        <v>43221</v>
      </c>
      <c r="F10" s="612">
        <v>43252</v>
      </c>
      <c r="G10" s="612">
        <v>43282</v>
      </c>
      <c r="H10" s="612">
        <v>43313</v>
      </c>
      <c r="I10" s="612">
        <v>43344</v>
      </c>
      <c r="J10" s="612">
        <v>43374</v>
      </c>
      <c r="K10" s="612">
        <v>43405</v>
      </c>
      <c r="L10" s="612">
        <v>43435</v>
      </c>
      <c r="M10" s="612">
        <v>43466</v>
      </c>
      <c r="N10" s="612">
        <v>43497</v>
      </c>
      <c r="O10" s="612">
        <v>43525</v>
      </c>
      <c r="P10" s="899" t="s">
        <v>97</v>
      </c>
      <c r="Q10" s="76"/>
      <c r="R10" s="854"/>
      <c r="S10" s="854"/>
    </row>
    <row r="11" spans="1:19">
      <c r="A11" s="81"/>
      <c r="B11" s="81"/>
      <c r="C11" s="81"/>
      <c r="D11" s="852" t="s">
        <v>147</v>
      </c>
      <c r="E11" s="852" t="s">
        <v>147</v>
      </c>
      <c r="F11" s="852" t="s">
        <v>147</v>
      </c>
      <c r="G11" s="852" t="s">
        <v>147</v>
      </c>
      <c r="H11" s="852" t="s">
        <v>147</v>
      </c>
      <c r="I11" s="852" t="s">
        <v>147</v>
      </c>
      <c r="J11" s="852" t="s">
        <v>147</v>
      </c>
      <c r="K11" s="852" t="s">
        <v>147</v>
      </c>
      <c r="L11" s="852" t="s">
        <v>147</v>
      </c>
      <c r="M11" s="852" t="s">
        <v>147</v>
      </c>
      <c r="N11" s="852" t="s">
        <v>147</v>
      </c>
      <c r="O11" s="852" t="s">
        <v>147</v>
      </c>
      <c r="P11" s="852" t="s">
        <v>147</v>
      </c>
      <c r="Q11" s="852"/>
      <c r="R11" s="81"/>
      <c r="S11" s="81"/>
    </row>
    <row r="12" spans="1:19">
      <c r="A12" s="854">
        <v>1</v>
      </c>
      <c r="B12" s="706">
        <v>4091</v>
      </c>
      <c r="C12" s="836" t="s">
        <v>674</v>
      </c>
      <c r="D12" s="396">
        <f>E!$G$23/12</f>
        <v>598951.34094530495</v>
      </c>
      <c r="E12" s="396">
        <f>E!$G$23/12</f>
        <v>598951.34094530495</v>
      </c>
      <c r="F12" s="396">
        <f>E!$G$23/12</f>
        <v>598951.34094530495</v>
      </c>
      <c r="G12" s="396">
        <f>E!$G$23/12</f>
        <v>598951.34094530495</v>
      </c>
      <c r="H12" s="396">
        <f>E!$G$23/12</f>
        <v>598951.34094530495</v>
      </c>
      <c r="I12" s="396">
        <f>E!$G$23/12</f>
        <v>598951.34094530495</v>
      </c>
      <c r="J12" s="396">
        <f>E!$G$23/12</f>
        <v>598951.34094530495</v>
      </c>
      <c r="K12" s="396">
        <f>E!$G$23/12</f>
        <v>598951.34094530495</v>
      </c>
      <c r="L12" s="396">
        <f>E!$G$23/12</f>
        <v>598951.34094530495</v>
      </c>
      <c r="M12" s="396">
        <f>E!$G$23/12</f>
        <v>598951.34094530495</v>
      </c>
      <c r="N12" s="396">
        <f>E!$G$23/12</f>
        <v>598951.34094530495</v>
      </c>
      <c r="O12" s="396">
        <f>E!$G$23/12</f>
        <v>598951.34094530495</v>
      </c>
      <c r="P12" s="81">
        <f>SUM(D12:O12)</f>
        <v>7187416.0913436608</v>
      </c>
      <c r="Q12" s="670"/>
      <c r="S12" s="670"/>
    </row>
    <row r="13" spans="1:19">
      <c r="A13" s="854">
        <f>A12+1</f>
        <v>2</v>
      </c>
      <c r="B13" s="706"/>
      <c r="C13" s="83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81"/>
      <c r="Q13" s="81"/>
      <c r="S13" s="81"/>
    </row>
    <row r="14" spans="1:19">
      <c r="A14" s="854">
        <f t="shared" ref="A14:A77" si="0">A13+1</f>
        <v>3</v>
      </c>
      <c r="B14" s="706">
        <v>4030</v>
      </c>
      <c r="C14" s="81" t="s">
        <v>92</v>
      </c>
      <c r="D14" s="96">
        <f>'B.3.1 F'!$H$261/12</f>
        <v>1792660.9275789859</v>
      </c>
      <c r="E14" s="96">
        <f>'B.3.1 F'!$H$261/12</f>
        <v>1792660.9275789859</v>
      </c>
      <c r="F14" s="96">
        <f>'B.3.1 F'!$H$261/12</f>
        <v>1792660.9275789859</v>
      </c>
      <c r="G14" s="96">
        <f>'B.3.1 F'!$H$261/12</f>
        <v>1792660.9275789859</v>
      </c>
      <c r="H14" s="96">
        <f>'B.3.1 F'!$H$261/12</f>
        <v>1792660.9275789859</v>
      </c>
      <c r="I14" s="96">
        <f>'B.3.1 F'!$H$261/12</f>
        <v>1792660.9275789859</v>
      </c>
      <c r="J14" s="96">
        <f>'B.3.1 F'!$H$261/12</f>
        <v>1792660.9275789859</v>
      </c>
      <c r="K14" s="96">
        <f>'B.3.1 F'!$H$261/12</f>
        <v>1792660.9275789859</v>
      </c>
      <c r="L14" s="96">
        <f>'B.3.1 F'!$H$261/12</f>
        <v>1792660.9275789859</v>
      </c>
      <c r="M14" s="96">
        <f>'B.3.1 F'!$H$261/12</f>
        <v>1792660.9275789859</v>
      </c>
      <c r="N14" s="96">
        <f>'B.3.1 F'!$H$261/12</f>
        <v>1792660.9275789859</v>
      </c>
      <c r="O14" s="96">
        <f>'B.3.1 F'!$H$261/12</f>
        <v>1792660.9275789859</v>
      </c>
      <c r="P14" s="81">
        <f t="shared" ref="P14:P23" si="1">SUM(D14:O14)</f>
        <v>21511931.130947832</v>
      </c>
      <c r="Q14" s="670"/>
      <c r="S14" s="670"/>
    </row>
    <row r="15" spans="1:19">
      <c r="A15" s="854">
        <f t="shared" si="0"/>
        <v>4</v>
      </c>
      <c r="B15" s="706">
        <v>4060</v>
      </c>
      <c r="C15" s="81" t="s">
        <v>868</v>
      </c>
      <c r="D15" s="96">
        <f>'C.2.2 B 09'!O15</f>
        <v>0</v>
      </c>
      <c r="E15" s="96">
        <f>D15</f>
        <v>0</v>
      </c>
      <c r="F15" s="96">
        <f t="shared" ref="F15:O15" si="2">E15</f>
        <v>0</v>
      </c>
      <c r="G15" s="96">
        <f t="shared" si="2"/>
        <v>0</v>
      </c>
      <c r="H15" s="96">
        <f t="shared" si="2"/>
        <v>0</v>
      </c>
      <c r="I15" s="96">
        <f t="shared" si="2"/>
        <v>0</v>
      </c>
      <c r="J15" s="96">
        <f t="shared" si="2"/>
        <v>0</v>
      </c>
      <c r="K15" s="96">
        <f t="shared" si="2"/>
        <v>0</v>
      </c>
      <c r="L15" s="96">
        <f t="shared" si="2"/>
        <v>0</v>
      </c>
      <c r="M15" s="96">
        <f t="shared" si="2"/>
        <v>0</v>
      </c>
      <c r="N15" s="96">
        <f t="shared" si="2"/>
        <v>0</v>
      </c>
      <c r="O15" s="96">
        <f t="shared" si="2"/>
        <v>0</v>
      </c>
      <c r="P15" s="81">
        <f t="shared" si="1"/>
        <v>0</v>
      </c>
      <c r="Q15" s="81"/>
      <c r="S15" s="81"/>
    </row>
    <row r="16" spans="1:19">
      <c r="A16" s="854">
        <f t="shared" si="0"/>
        <v>5</v>
      </c>
      <c r="B16" s="706">
        <v>4081</v>
      </c>
      <c r="C16" s="211" t="s">
        <v>869</v>
      </c>
      <c r="D16" s="96">
        <f>'C.2.3 F'!C25</f>
        <v>550586.6739808697</v>
      </c>
      <c r="E16" s="96">
        <f>'C.2.3 F'!D25</f>
        <v>530194.97517883952</v>
      </c>
      <c r="F16" s="96">
        <f>'C.2.3 F'!E25</f>
        <v>568734.55479244981</v>
      </c>
      <c r="G16" s="96">
        <f>'C.2.3 F'!F25</f>
        <v>547943.42818013369</v>
      </c>
      <c r="H16" s="96">
        <f>'C.2.3 F'!G25</f>
        <v>504176.29818013369</v>
      </c>
      <c r="I16" s="96">
        <f>'C.2.3 F'!H25</f>
        <v>580631.68818013382</v>
      </c>
      <c r="J16" s="96">
        <f>'C.2.3 F'!I25</f>
        <v>523733.74818013376</v>
      </c>
      <c r="K16" s="96">
        <f>'C.2.3 F'!J25</f>
        <v>559394.31818013371</v>
      </c>
      <c r="L16" s="96">
        <f>'C.2.3 F'!K25</f>
        <v>502875.57818013371</v>
      </c>
      <c r="M16" s="96">
        <f>'C.2.3 F'!L25</f>
        <v>612476.13574697636</v>
      </c>
      <c r="N16" s="96">
        <f>'C.2.3 F'!M25</f>
        <v>528446.9708364351</v>
      </c>
      <c r="O16" s="96">
        <f>'C.2.3 F'!N25</f>
        <v>557250.8955244401</v>
      </c>
      <c r="P16" s="81">
        <f t="shared" si="1"/>
        <v>6566445.2651408128</v>
      </c>
      <c r="Q16" s="670"/>
      <c r="S16" s="670"/>
    </row>
    <row r="17" spans="1:19">
      <c r="A17" s="854">
        <f t="shared" si="0"/>
        <v>6</v>
      </c>
      <c r="B17" s="706">
        <v>4800</v>
      </c>
      <c r="C17" s="361" t="s">
        <v>870</v>
      </c>
      <c r="D17" s="96">
        <f>-'[6]Summary of Revenue'!T11</f>
        <v>-8441558.6012300886</v>
      </c>
      <c r="E17" s="96">
        <f>-'[6]Summary of Revenue'!U11</f>
        <v>-5661644.2309731487</v>
      </c>
      <c r="F17" s="96">
        <f>-'[6]Summary of Revenue'!V11</f>
        <v>-4284846.0528626004</v>
      </c>
      <c r="G17" s="96">
        <f>-'[6]Summary of Revenue'!W11</f>
        <v>-3943264.9044156806</v>
      </c>
      <c r="H17" s="96">
        <f>-'[6]Summary of Revenue'!X11</f>
        <v>-3962200.1912761992</v>
      </c>
      <c r="I17" s="96">
        <f>-'[6]Summary of Revenue'!Y11</f>
        <v>-3926560.0249840179</v>
      </c>
      <c r="J17" s="96">
        <f>-'[6]Summary of Revenue'!Z11</f>
        <v>-5042313.5464182133</v>
      </c>
      <c r="K17" s="96">
        <f>-'[6]Summary of Revenue'!AA11</f>
        <v>-8401387.8863512427</v>
      </c>
      <c r="L17" s="96">
        <f>-'[6]Summary of Revenue'!AB11</f>
        <v>-12512630.078639716</v>
      </c>
      <c r="M17" s="96">
        <f>-'[6]Summary of Revenue'!AC11</f>
        <v>-14998860.639884859</v>
      </c>
      <c r="N17" s="96">
        <f>-'[6]Summary of Revenue'!AD11</f>
        <v>-15393651.511947451</v>
      </c>
      <c r="O17" s="96">
        <f>-'[6]Summary of Revenue'!AE11</f>
        <v>-11809001.746209055</v>
      </c>
      <c r="P17" s="96">
        <f t="shared" si="1"/>
        <v>-98377919.415192276</v>
      </c>
    </row>
    <row r="18" spans="1:19">
      <c r="A18" s="854">
        <f t="shared" si="0"/>
        <v>7</v>
      </c>
      <c r="B18" s="706">
        <v>4805</v>
      </c>
      <c r="C18" s="361" t="s">
        <v>1332</v>
      </c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</row>
    <row r="19" spans="1:19">
      <c r="A19" s="854">
        <f t="shared" si="0"/>
        <v>8</v>
      </c>
      <c r="B19" s="706">
        <v>4811</v>
      </c>
      <c r="C19" s="361" t="s">
        <v>1406</v>
      </c>
      <c r="D19" s="96">
        <f>-'[6]Summary of Revenue'!T12</f>
        <v>-3482514.1213973574</v>
      </c>
      <c r="E19" s="96">
        <f>-'[6]Summary of Revenue'!U12</f>
        <v>-2514682.8433252801</v>
      </c>
      <c r="F19" s="96">
        <f>-'[6]Summary of Revenue'!V12</f>
        <v>-1993667.060705516</v>
      </c>
      <c r="G19" s="96">
        <f>-'[6]Summary of Revenue'!W12</f>
        <v>-1848367.0350045138</v>
      </c>
      <c r="H19" s="96">
        <f>-'[6]Summary of Revenue'!X12</f>
        <v>-1858090.3072460247</v>
      </c>
      <c r="I19" s="96">
        <f>-'[6]Summary of Revenue'!Y12</f>
        <v>-1838613.2123923136</v>
      </c>
      <c r="J19" s="96">
        <f>-'[6]Summary of Revenue'!Z12</f>
        <v>-2198265.0002901242</v>
      </c>
      <c r="K19" s="96">
        <f>-'[6]Summary of Revenue'!AA12</f>
        <v>-3461162.4368507904</v>
      </c>
      <c r="L19" s="96">
        <f>-'[6]Summary of Revenue'!AB12</f>
        <v>-4909965.3595049419</v>
      </c>
      <c r="M19" s="96">
        <f>-'[6]Summary of Revenue'!AC12</f>
        <v>-5849828.4347833237</v>
      </c>
      <c r="N19" s="96">
        <f>-'[6]Summary of Revenue'!AD12</f>
        <v>-5979381.7154239211</v>
      </c>
      <c r="O19" s="96">
        <f>-'[6]Summary of Revenue'!AE12</f>
        <v>-4702526.2102799257</v>
      </c>
      <c r="P19" s="96">
        <f t="shared" si="1"/>
        <v>-40637063.73720403</v>
      </c>
    </row>
    <row r="20" spans="1:19">
      <c r="A20" s="854">
        <f t="shared" si="0"/>
        <v>9</v>
      </c>
      <c r="B20" s="706">
        <v>4812</v>
      </c>
      <c r="C20" s="81" t="s">
        <v>1407</v>
      </c>
      <c r="D20" s="96">
        <f>-'[6]Summary of Revenue'!T13</f>
        <v>-333869.94577730913</v>
      </c>
      <c r="E20" s="96">
        <f>-'[6]Summary of Revenue'!U13</f>
        <v>-336503.9047936704</v>
      </c>
      <c r="F20" s="96">
        <f>-'[6]Summary of Revenue'!V13</f>
        <v>-257495.02753932757</v>
      </c>
      <c r="G20" s="96">
        <f>-'[6]Summary of Revenue'!W13</f>
        <v>-367460.01923376077</v>
      </c>
      <c r="H20" s="96">
        <f>-'[6]Summary of Revenue'!X13</f>
        <v>-280518.25992199586</v>
      </c>
      <c r="I20" s="96">
        <f>-'[6]Summary of Revenue'!Y13</f>
        <v>-313148.57953810971</v>
      </c>
      <c r="J20" s="96">
        <f>-'[6]Summary of Revenue'!Z13</f>
        <v>-248255.96019136364</v>
      </c>
      <c r="K20" s="96">
        <f>-'[6]Summary of Revenue'!AA13</f>
        <v>-306059.20820625068</v>
      </c>
      <c r="L20" s="96">
        <f>-'[6]Summary of Revenue'!AB13</f>
        <v>-660778.19755295315</v>
      </c>
      <c r="M20" s="96">
        <f>-'[6]Summary of Revenue'!AC13</f>
        <v>-961516.7613888284</v>
      </c>
      <c r="N20" s="96">
        <f>-'[6]Summary of Revenue'!AD13</f>
        <v>-661147.60418456118</v>
      </c>
      <c r="O20" s="96">
        <f>-'[6]Summary of Revenue'!AE13</f>
        <v>-560001.87102494435</v>
      </c>
      <c r="P20" s="96">
        <f t="shared" si="1"/>
        <v>-5286755.3393530753</v>
      </c>
      <c r="Q20" s="81"/>
      <c r="R20" s="670"/>
    </row>
    <row r="21" spans="1:19">
      <c r="A21" s="854">
        <f t="shared" si="0"/>
        <v>10</v>
      </c>
      <c r="B21" s="832">
        <v>4815</v>
      </c>
      <c r="C21" s="211" t="s">
        <v>1333</v>
      </c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81"/>
      <c r="R21" s="670"/>
    </row>
    <row r="22" spans="1:19">
      <c r="A22" s="854">
        <f t="shared" si="0"/>
        <v>11</v>
      </c>
      <c r="B22" s="832">
        <v>4816</v>
      </c>
      <c r="C22" s="211" t="s">
        <v>1364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81"/>
      <c r="R22" s="670"/>
    </row>
    <row r="23" spans="1:19" ht="15.75">
      <c r="A23" s="854">
        <f t="shared" si="0"/>
        <v>12</v>
      </c>
      <c r="B23" s="706">
        <v>4820</v>
      </c>
      <c r="C23" s="81" t="s">
        <v>871</v>
      </c>
      <c r="D23" s="96">
        <f>-'[6]Summary of Revenue'!T14</f>
        <v>-574640.72676783078</v>
      </c>
      <c r="E23" s="96">
        <f>-'[6]Summary of Revenue'!U14</f>
        <v>-377720.56029893842</v>
      </c>
      <c r="F23" s="96">
        <f>-'[6]Summary of Revenue'!V14</f>
        <v>-265144.9171492898</v>
      </c>
      <c r="G23" s="96">
        <f>-'[6]Summary of Revenue'!W14</f>
        <v>-241180.15568729438</v>
      </c>
      <c r="H23" s="96">
        <f>-'[6]Summary of Revenue'!X14</f>
        <v>-252076.25869578484</v>
      </c>
      <c r="I23" s="96">
        <f>-'[6]Summary of Revenue'!Y14</f>
        <v>-242677.8163083338</v>
      </c>
      <c r="J23" s="96">
        <f>-'[6]Summary of Revenue'!Z14</f>
        <v>-337345.19457652222</v>
      </c>
      <c r="K23" s="96">
        <f>-'[6]Summary of Revenue'!AA14</f>
        <v>-603236.78757413372</v>
      </c>
      <c r="L23" s="96">
        <f>-'[6]Summary of Revenue'!AB14</f>
        <v>-905038.2690203411</v>
      </c>
      <c r="M23" s="96">
        <f>-'[6]Summary of Revenue'!AC14</f>
        <v>-1087494.3411898718</v>
      </c>
      <c r="N23" s="96">
        <f>-'[6]Summary of Revenue'!AD14</f>
        <v>-1113251.6898061384</v>
      </c>
      <c r="O23" s="96">
        <f>-'[6]Summary of Revenue'!AE14</f>
        <v>-847565.66995055904</v>
      </c>
      <c r="P23" s="96">
        <f t="shared" si="1"/>
        <v>-6847372.3870250378</v>
      </c>
      <c r="Q23" s="81"/>
      <c r="R23" s="900"/>
    </row>
    <row r="24" spans="1:19" ht="15.75">
      <c r="A24" s="854">
        <f t="shared" si="0"/>
        <v>13</v>
      </c>
      <c r="B24" s="832">
        <v>4825</v>
      </c>
      <c r="C24" s="211" t="s">
        <v>1334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81"/>
      <c r="R24" s="900"/>
    </row>
    <row r="25" spans="1:19">
      <c r="A25" s="854">
        <f t="shared" si="0"/>
        <v>14</v>
      </c>
      <c r="B25" s="706">
        <v>4870</v>
      </c>
      <c r="C25" s="81" t="s">
        <v>231</v>
      </c>
      <c r="D25" s="96">
        <f>-'[6]Summary of Revenue'!T18</f>
        <v>-154727.82135485311</v>
      </c>
      <c r="E25" s="96">
        <f>-'[6]Summary of Revenue'!U18</f>
        <v>-111173.430378629</v>
      </c>
      <c r="F25" s="96">
        <f>-'[6]Summary of Revenue'!V18</f>
        <v>-76088.821679641362</v>
      </c>
      <c r="G25" s="96">
        <f>-'[6]Summary of Revenue'!W18</f>
        <v>-58230.972263950251</v>
      </c>
      <c r="H25" s="96">
        <f>-'[6]Summary of Revenue'!X18</f>
        <v>-53684.395756861937</v>
      </c>
      <c r="I25" s="96">
        <f>-'[6]Summary of Revenue'!Y18</f>
        <v>-54034.705322374044</v>
      </c>
      <c r="J25" s="96">
        <f>-'[6]Summary of Revenue'!Z18</f>
        <v>-53460.619677659743</v>
      </c>
      <c r="K25" s="96">
        <f>-'[6]Summary of Revenue'!AA18</f>
        <v>-67434.49078735373</v>
      </c>
      <c r="L25" s="96">
        <f>-'[6]Summary of Revenue'!AB18</f>
        <v>-110915.66308377551</v>
      </c>
      <c r="M25" s="96">
        <f>-'[6]Summary of Revenue'!AC18</f>
        <v>-163043.36831648159</v>
      </c>
      <c r="N25" s="96">
        <f>-'[6]Summary of Revenue'!AD18</f>
        <v>-195126.14829354855</v>
      </c>
      <c r="O25" s="96">
        <f>-'[6]Summary of Revenue'!AE18</f>
        <v>-200043.74278253785</v>
      </c>
      <c r="P25" s="96">
        <f t="shared" ref="P25:P57" si="3">SUM(D25:O25)</f>
        <v>-1297964.1796976668</v>
      </c>
      <c r="Q25" s="81"/>
      <c r="R25" s="81"/>
    </row>
    <row r="26" spans="1:19">
      <c r="A26" s="854">
        <f t="shared" si="0"/>
        <v>15</v>
      </c>
      <c r="B26" s="706">
        <v>4880</v>
      </c>
      <c r="C26" s="81" t="s">
        <v>872</v>
      </c>
      <c r="D26" s="96">
        <f>-'[6]Summary of Revenue'!T19</f>
        <v>-49919</v>
      </c>
      <c r="E26" s="96">
        <f>-'[6]Summary of Revenue'!U19</f>
        <v>-53628</v>
      </c>
      <c r="F26" s="96">
        <f>-'[6]Summary of Revenue'!V19</f>
        <v>-55397</v>
      </c>
      <c r="G26" s="96">
        <f>-'[6]Summary of Revenue'!W19</f>
        <v>-45327</v>
      </c>
      <c r="H26" s="96">
        <f>-'[6]Summary of Revenue'!X19</f>
        <v>-57173</v>
      </c>
      <c r="I26" s="96">
        <f>-'[6]Summary of Revenue'!Y19</f>
        <v>-55395</v>
      </c>
      <c r="J26" s="96">
        <f>-'[6]Summary of Revenue'!Z19</f>
        <v>-88176</v>
      </c>
      <c r="K26" s="96">
        <f>-'[6]Summary of Revenue'!AA19</f>
        <v>-126545</v>
      </c>
      <c r="L26" s="96">
        <f>-'[6]Summary of Revenue'!AB19</f>
        <v>-87101</v>
      </c>
      <c r="M26" s="96">
        <f>-'[6]Summary of Revenue'!AC19</f>
        <v>-58133</v>
      </c>
      <c r="N26" s="96">
        <f>-'[6]Summary of Revenue'!AD19</f>
        <v>-54439</v>
      </c>
      <c r="O26" s="96">
        <f>-'[6]Summary of Revenue'!AE19</f>
        <v>-74821</v>
      </c>
      <c r="P26" s="96">
        <f t="shared" si="3"/>
        <v>-806054</v>
      </c>
      <c r="Q26" s="81"/>
      <c r="R26" s="81"/>
    </row>
    <row r="27" spans="1:19">
      <c r="A27" s="854">
        <f t="shared" si="0"/>
        <v>16</v>
      </c>
      <c r="B27" s="706">
        <v>4893</v>
      </c>
      <c r="C27" s="81" t="s">
        <v>873</v>
      </c>
      <c r="D27" s="96">
        <f>-'[6]Summary of Revenue'!T20</f>
        <v>-1186285.1811271033</v>
      </c>
      <c r="E27" s="96">
        <f>-'[6]Summary of Revenue'!U20</f>
        <v>-1211422.5728380762</v>
      </c>
      <c r="F27" s="96">
        <f>-'[6]Summary of Revenue'!V20</f>
        <v>-1162348.0418893297</v>
      </c>
      <c r="G27" s="96">
        <f>-'[6]Summary of Revenue'!W20</f>
        <v>-1031165.1010687258</v>
      </c>
      <c r="H27" s="96">
        <f>-'[6]Summary of Revenue'!X20</f>
        <v>-1125835.1251621114</v>
      </c>
      <c r="I27" s="96">
        <f>-'[6]Summary of Revenue'!Y20</f>
        <v>-1137038.5377952971</v>
      </c>
      <c r="J27" s="96">
        <f>-'[6]Summary of Revenue'!Z20</f>
        <v>-1217906.5070548751</v>
      </c>
      <c r="K27" s="96">
        <f>-'[6]Summary of Revenue'!AA20</f>
        <v>-1335583.0520690915</v>
      </c>
      <c r="L27" s="96">
        <f>-'[6]Summary of Revenue'!AB20</f>
        <v>-1505273.8931012994</v>
      </c>
      <c r="M27" s="96">
        <f>-'[6]Summary of Revenue'!AC20</f>
        <v>-1523596.7860310171</v>
      </c>
      <c r="N27" s="96">
        <f>-'[6]Summary of Revenue'!AD20</f>
        <v>-1334402.3335029918</v>
      </c>
      <c r="O27" s="96">
        <f>-'[6]Summary of Revenue'!AE20</f>
        <v>-1431230.0610257264</v>
      </c>
      <c r="P27" s="96">
        <f t="shared" si="3"/>
        <v>-15202087.192665644</v>
      </c>
      <c r="Q27" s="835"/>
    </row>
    <row r="28" spans="1:19">
      <c r="A28" s="854">
        <f t="shared" si="0"/>
        <v>17</v>
      </c>
      <c r="B28" s="706">
        <v>4950</v>
      </c>
      <c r="C28" s="81" t="s">
        <v>668</v>
      </c>
      <c r="D28" s="96">
        <f>-'[6]Summary of Revenue'!T21</f>
        <v>-174643.87153331196</v>
      </c>
      <c r="E28" s="96">
        <f>-'[6]Summary of Revenue'!U21</f>
        <v>-170439.53524474136</v>
      </c>
      <c r="F28" s="96">
        <f>-'[6]Summary of Revenue'!V21</f>
        <v>-149118.70479717723</v>
      </c>
      <c r="G28" s="96">
        <f>-'[6]Summary of Revenue'!W21</f>
        <v>-183286.57023593987</v>
      </c>
      <c r="H28" s="96">
        <f>-'[6]Summary of Revenue'!X21</f>
        <v>-180802.14429106572</v>
      </c>
      <c r="I28" s="96">
        <f>-'[6]Summary of Revenue'!Y21</f>
        <v>-183627.60898165885</v>
      </c>
      <c r="J28" s="96">
        <f>-'[6]Summary of Revenue'!Z21</f>
        <v>-198676.93726818013</v>
      </c>
      <c r="K28" s="96">
        <f>-'[6]Summary of Revenue'!AA21</f>
        <v>-196958.77298331514</v>
      </c>
      <c r="L28" s="96">
        <f>-'[6]Summary of Revenue'!AB21</f>
        <v>-230122.0238050755</v>
      </c>
      <c r="M28" s="96">
        <f>-'[6]Summary of Revenue'!AC21</f>
        <v>-221910.06617049334</v>
      </c>
      <c r="N28" s="96">
        <f>-'[6]Summary of Revenue'!AD21</f>
        <v>-186721.56078293792</v>
      </c>
      <c r="O28" s="96">
        <f>-'[6]Summary of Revenue'!AE21</f>
        <v>-197751.86418905575</v>
      </c>
      <c r="P28" s="96">
        <f t="shared" si="3"/>
        <v>-2274059.6602829527</v>
      </c>
      <c r="Q28" s="670"/>
      <c r="R28" s="670"/>
    </row>
    <row r="29" spans="1:19">
      <c r="A29" s="854">
        <f t="shared" si="0"/>
        <v>18</v>
      </c>
      <c r="B29" s="832">
        <v>7560</v>
      </c>
      <c r="C29" s="80" t="s">
        <v>1410</v>
      </c>
      <c r="D29" s="396">
        <f>VLOOKUP($B29,'[13]Div 9 forecast'!$D$518:$AF$599,18,FALSE)</f>
        <v>0</v>
      </c>
      <c r="E29" s="396">
        <f>VLOOKUP($B29,'[13]Div 9 forecast'!$D$518:$AF$599,19,FALSE)</f>
        <v>0</v>
      </c>
      <c r="F29" s="396">
        <f>VLOOKUP($B29,'[13]Div 9 forecast'!$D$518:$AF$599,20,FALSE)</f>
        <v>0</v>
      </c>
      <c r="G29" s="396">
        <f>VLOOKUP($B29,'[13]Div 9 forecast'!$D$518:$AF$599,21,FALSE)</f>
        <v>0</v>
      </c>
      <c r="H29" s="396">
        <f>VLOOKUP($B29,'[13]Div 9 forecast'!$D$518:$AF$599,22,FALSE)</f>
        <v>0</v>
      </c>
      <c r="I29" s="396">
        <f>VLOOKUP($B29,'[13]Div 9 forecast'!$D$518:$AF$599,23,FALSE)</f>
        <v>0</v>
      </c>
      <c r="J29" s="396">
        <f>VLOOKUP($B29,'[13]Div 9 forecast'!$D$518:$AF$599,24,FALSE)</f>
        <v>0</v>
      </c>
      <c r="K29" s="396">
        <f>VLOOKUP($B29,'[13]Div 9 forecast'!$D$518:$AF$599,25,FALSE)</f>
        <v>0</v>
      </c>
      <c r="L29" s="396">
        <f>VLOOKUP($B29,'[13]Div 9 forecast'!$D$518:$AF$599,26,FALSE)</f>
        <v>0</v>
      </c>
      <c r="M29" s="396">
        <f>VLOOKUP($B29,'[13]Div 9 forecast'!$D$518:$AF$599,27,FALSE)</f>
        <v>0</v>
      </c>
      <c r="N29" s="396">
        <f>VLOOKUP($B29,'[13]Div 9 forecast'!$D$518:$AF$599,28,FALSE)</f>
        <v>0</v>
      </c>
      <c r="O29" s="396">
        <f>VLOOKUP($B29,'[13]Div 9 forecast'!$D$518:$AF$599,29,FALSE)</f>
        <v>0</v>
      </c>
      <c r="P29" s="96">
        <f t="shared" si="3"/>
        <v>0</v>
      </c>
      <c r="Q29" s="690"/>
      <c r="R29" s="670"/>
    </row>
    <row r="30" spans="1:19">
      <c r="A30" s="854">
        <f t="shared" si="0"/>
        <v>19</v>
      </c>
      <c r="B30" s="832">
        <v>7590</v>
      </c>
      <c r="C30" s="103" t="s">
        <v>1367</v>
      </c>
      <c r="D30" s="396">
        <f>VLOOKUP($B30,'[13]Div 9 forecast'!$D$518:$AF$599,18,FALSE)</f>
        <v>0</v>
      </c>
      <c r="E30" s="396">
        <f>VLOOKUP($B30,'[13]Div 9 forecast'!$D$518:$AF$599,19,FALSE)</f>
        <v>0</v>
      </c>
      <c r="F30" s="396">
        <f>VLOOKUP($B30,'[13]Div 9 forecast'!$D$518:$AF$599,20,FALSE)</f>
        <v>0</v>
      </c>
      <c r="G30" s="396">
        <f>VLOOKUP($B30,'[13]Div 9 forecast'!$D$518:$AF$599,21,FALSE)</f>
        <v>0</v>
      </c>
      <c r="H30" s="396">
        <f>VLOOKUP($B30,'[13]Div 9 forecast'!$D$518:$AF$599,22,FALSE)</f>
        <v>0</v>
      </c>
      <c r="I30" s="396">
        <f>VLOOKUP($B30,'[13]Div 9 forecast'!$D$518:$AF$599,23,FALSE)</f>
        <v>0</v>
      </c>
      <c r="J30" s="396">
        <f>VLOOKUP($B30,'[13]Div 9 forecast'!$D$518:$AF$599,24,FALSE)</f>
        <v>0</v>
      </c>
      <c r="K30" s="396">
        <f>VLOOKUP($B30,'[13]Div 9 forecast'!$D$518:$AF$599,25,FALSE)</f>
        <v>0</v>
      </c>
      <c r="L30" s="396">
        <f>VLOOKUP($B30,'[13]Div 9 forecast'!$D$518:$AF$599,26,FALSE)</f>
        <v>0</v>
      </c>
      <c r="M30" s="396">
        <f>VLOOKUP($B30,'[13]Div 9 forecast'!$D$518:$AF$599,27,FALSE)</f>
        <v>0</v>
      </c>
      <c r="N30" s="396">
        <f>VLOOKUP($B30,'[13]Div 9 forecast'!$D$518:$AF$599,28,FALSE)</f>
        <v>0</v>
      </c>
      <c r="O30" s="396">
        <f>VLOOKUP($B30,'[13]Div 9 forecast'!$D$518:$AF$599,29,FALSE)</f>
        <v>0</v>
      </c>
      <c r="P30" s="96">
        <f t="shared" si="3"/>
        <v>0</v>
      </c>
      <c r="Q30" s="690"/>
      <c r="R30" s="670"/>
    </row>
    <row r="31" spans="1:19">
      <c r="A31" s="854">
        <f t="shared" si="0"/>
        <v>20</v>
      </c>
      <c r="B31" s="706">
        <v>8001</v>
      </c>
      <c r="C31" s="81" t="s">
        <v>874</v>
      </c>
      <c r="D31" s="96">
        <f>'[14]2017 case'!Y7</f>
        <v>0</v>
      </c>
      <c r="E31" s="96">
        <f>'[14]2017 case'!Z7</f>
        <v>0</v>
      </c>
      <c r="F31" s="96">
        <f>'[14]2017 case'!AA7</f>
        <v>0</v>
      </c>
      <c r="G31" s="96">
        <f>'[14]2017 case'!AB7</f>
        <v>0</v>
      </c>
      <c r="H31" s="96">
        <f>'[14]2017 case'!AC7</f>
        <v>0</v>
      </c>
      <c r="I31" s="96">
        <f>'[14]2017 case'!AD7</f>
        <v>0</v>
      </c>
      <c r="J31" s="96">
        <f>'[14]2017 case'!AE7</f>
        <v>0</v>
      </c>
      <c r="K31" s="96">
        <f>'[14]2017 case'!AF7</f>
        <v>0</v>
      </c>
      <c r="L31" s="96">
        <f>'[14]2017 case'!AG7</f>
        <v>0</v>
      </c>
      <c r="M31" s="96">
        <f>'[14]2017 case'!AH7</f>
        <v>0</v>
      </c>
      <c r="N31" s="96">
        <f>'[14]2017 case'!AI7</f>
        <v>0</v>
      </c>
      <c r="O31" s="96">
        <f>'[14]2017 case'!AJ7</f>
        <v>0</v>
      </c>
      <c r="P31" s="96">
        <f t="shared" si="3"/>
        <v>0</v>
      </c>
      <c r="Q31" s="81"/>
      <c r="R31" s="670"/>
      <c r="S31" s="81"/>
    </row>
    <row r="32" spans="1:19">
      <c r="A32" s="854">
        <f t="shared" si="0"/>
        <v>21</v>
      </c>
      <c r="B32" s="706">
        <v>8010</v>
      </c>
      <c r="C32" s="81" t="s">
        <v>1218</v>
      </c>
      <c r="D32" s="96">
        <f>'[14]2017 case'!Y8</f>
        <v>5286.4127931039575</v>
      </c>
      <c r="E32" s="96">
        <f>'[14]2017 case'!Z8</f>
        <v>8710.1173719114722</v>
      </c>
      <c r="F32" s="96">
        <f>'[14]2017 case'!AA8</f>
        <v>5038.3232695054112</v>
      </c>
      <c r="G32" s="96">
        <f>'[14]2017 case'!AB8</f>
        <v>5572.7063108054899</v>
      </c>
      <c r="H32" s="96">
        <f>'[14]2017 case'!AC8</f>
        <v>14164.47016680776</v>
      </c>
      <c r="I32" s="96">
        <f>'[14]2017 case'!AD8</f>
        <v>7861.7439954091278</v>
      </c>
      <c r="J32" s="96">
        <f>'[14]2017 case'!AE8</f>
        <v>6254.2868953616353</v>
      </c>
      <c r="K32" s="96">
        <f>'[14]2017 case'!AF8</f>
        <v>7245.4698067383652</v>
      </c>
      <c r="L32" s="96">
        <f>'[14]2017 case'!AG8</f>
        <v>3883.6604893328226</v>
      </c>
      <c r="M32" s="96">
        <f>'[14]2017 case'!AH8</f>
        <v>5662.8646110343843</v>
      </c>
      <c r="N32" s="96">
        <f>'[14]2017 case'!AI8</f>
        <v>6841.4352693205483</v>
      </c>
      <c r="O32" s="96">
        <f>'[14]2017 case'!AJ8</f>
        <v>4750.6462660509942</v>
      </c>
      <c r="P32" s="96">
        <f t="shared" si="3"/>
        <v>81272.137245381979</v>
      </c>
      <c r="Q32" s="81"/>
      <c r="R32" s="670"/>
      <c r="S32" s="81"/>
    </row>
    <row r="33" spans="1:25">
      <c r="A33" s="854">
        <f t="shared" si="0"/>
        <v>22</v>
      </c>
      <c r="B33" s="706">
        <v>8040</v>
      </c>
      <c r="C33" s="81" t="s">
        <v>875</v>
      </c>
      <c r="D33" s="96">
        <f>'[14]2017 case'!Y9</f>
        <v>1136067.0562997661</v>
      </c>
      <c r="E33" s="96">
        <f>'[14]2017 case'!Z9</f>
        <v>7942879.5329601886</v>
      </c>
      <c r="F33" s="96">
        <f>'[14]2017 case'!AA9</f>
        <v>4418216.4535287535</v>
      </c>
      <c r="G33" s="96">
        <f>'[14]2017 case'!AB9</f>
        <v>3912572.3252810393</v>
      </c>
      <c r="H33" s="96">
        <f>'[14]2017 case'!AC9</f>
        <v>5951211.0380950049</v>
      </c>
      <c r="I33" s="96">
        <f>'[14]2017 case'!AD9</f>
        <v>4730451.5833085207</v>
      </c>
      <c r="J33" s="96">
        <f>'[14]2017 case'!AE9</f>
        <v>5807069.5767435636</v>
      </c>
      <c r="K33" s="96">
        <f>'[14]2017 case'!AF9</f>
        <v>8102268.1639921144</v>
      </c>
      <c r="L33" s="96">
        <f>'[14]2017 case'!AG9</f>
        <v>1260828.6237944912</v>
      </c>
      <c r="M33" s="96">
        <f>'[14]2017 case'!AH9</f>
        <v>5991515.1194934594</v>
      </c>
      <c r="N33" s="96">
        <f>'[14]2017 case'!AI9</f>
        <v>7237555.2211249536</v>
      </c>
      <c r="O33" s="96">
        <f>'[14]2017 case'!AJ9</f>
        <v>501352.88924362388</v>
      </c>
      <c r="P33" s="96">
        <f t="shared" si="3"/>
        <v>56991987.583865479</v>
      </c>
      <c r="Q33" s="81"/>
      <c r="R33" s="81"/>
      <c r="S33" s="81"/>
    </row>
    <row r="34" spans="1:25">
      <c r="A34" s="854">
        <f t="shared" si="0"/>
        <v>23</v>
      </c>
      <c r="B34" s="706">
        <v>8050</v>
      </c>
      <c r="C34" s="81" t="s">
        <v>876</v>
      </c>
      <c r="D34" s="96">
        <f>'[14]2017 case'!Y10</f>
        <v>-102.167332510162</v>
      </c>
      <c r="E34" s="96">
        <f>'[14]2017 case'!Z10</f>
        <v>-2437.7391495200332</v>
      </c>
      <c r="F34" s="96">
        <f>'[14]2017 case'!AA10</f>
        <v>-841.1109262625987</v>
      </c>
      <c r="G34" s="96">
        <f>'[14]2017 case'!AB10</f>
        <v>-754.82595977232802</v>
      </c>
      <c r="H34" s="96">
        <f>'[14]2017 case'!AC10</f>
        <v>-912.64172943700635</v>
      </c>
      <c r="I34" s="96">
        <f>'[14]2017 case'!AD10</f>
        <v>-752.41072729285872</v>
      </c>
      <c r="J34" s="96">
        <f>'[14]2017 case'!AE10</f>
        <v>-4262.6697092489931</v>
      </c>
      <c r="K34" s="96">
        <f>'[14]2017 case'!AF10</f>
        <v>-677.23765899818602</v>
      </c>
      <c r="L34" s="96">
        <f>'[14]2017 case'!AG10</f>
        <v>-5006.9178063506197</v>
      </c>
      <c r="M34" s="96">
        <f>'[14]2017 case'!AH10</f>
        <v>-948.2132854821499</v>
      </c>
      <c r="N34" s="96">
        <f>'[14]2017 case'!AI10</f>
        <v>-517.00991270398799</v>
      </c>
      <c r="O34" s="96">
        <f>'[14]2017 case'!AJ10</f>
        <v>-339.01791174540875</v>
      </c>
      <c r="P34" s="96">
        <f t="shared" si="3"/>
        <v>-17551.962109324333</v>
      </c>
      <c r="Q34" s="81"/>
      <c r="R34" s="81"/>
      <c r="S34" s="81"/>
    </row>
    <row r="35" spans="1:25">
      <c r="A35" s="854">
        <f t="shared" si="0"/>
        <v>24</v>
      </c>
      <c r="B35" s="706">
        <v>8051</v>
      </c>
      <c r="C35" s="81" t="s">
        <v>877</v>
      </c>
      <c r="D35" s="96">
        <f>'[14]2017 case'!Y11</f>
        <v>4970598.2506078864</v>
      </c>
      <c r="E35" s="96">
        <f>'[14]2017 case'!Z11</f>
        <v>2057759.3723232783</v>
      </c>
      <c r="F35" s="96">
        <f>'[14]2017 case'!AA11</f>
        <v>1101473.2537888468</v>
      </c>
      <c r="G35" s="96">
        <f>'[14]2017 case'!AB11</f>
        <v>760741.5085483744</v>
      </c>
      <c r="H35" s="96">
        <f>'[14]2017 case'!AC11</f>
        <v>791202.39979744831</v>
      </c>
      <c r="I35" s="96">
        <f>'[14]2017 case'!AD11</f>
        <v>740531.33458783838</v>
      </c>
      <c r="J35" s="96">
        <f>'[14]2017 case'!AE11</f>
        <v>1003885.1485672233</v>
      </c>
      <c r="K35" s="96">
        <f>'[14]2017 case'!AF11</f>
        <v>2586527.7571109147</v>
      </c>
      <c r="L35" s="96">
        <f>'[14]2017 case'!AG11</f>
        <v>5709864.2018586816</v>
      </c>
      <c r="M35" s="96">
        <f>'[14]2017 case'!AH11</f>
        <v>8592214.8938080203</v>
      </c>
      <c r="N35" s="96">
        <f>'[14]2017 case'!AI11</f>
        <v>10368788.21051125</v>
      </c>
      <c r="O35" s="96">
        <f>'[14]2017 case'!AJ11</f>
        <v>6752855.1803603964</v>
      </c>
      <c r="P35" s="96">
        <f t="shared" si="3"/>
        <v>45436441.511870168</v>
      </c>
      <c r="Q35" s="81"/>
      <c r="R35" s="81"/>
      <c r="S35" s="81"/>
    </row>
    <row r="36" spans="1:25">
      <c r="A36" s="854">
        <f t="shared" si="0"/>
        <v>25</v>
      </c>
      <c r="B36" s="706">
        <v>8052</v>
      </c>
      <c r="C36" s="81" t="s">
        <v>878</v>
      </c>
      <c r="D36" s="96">
        <f>'[14]2017 case'!Y12</f>
        <v>2287648.8504220438</v>
      </c>
      <c r="E36" s="96">
        <f>'[14]2017 case'!Z12</f>
        <v>1328474.6776430081</v>
      </c>
      <c r="F36" s="96">
        <f>'[14]2017 case'!AA12</f>
        <v>849109.00100519916</v>
      </c>
      <c r="G36" s="96">
        <f>'[14]2017 case'!AB12</f>
        <v>735658.7200223729</v>
      </c>
      <c r="H36" s="96">
        <f>'[14]2017 case'!AC12</f>
        <v>781943.32074138126</v>
      </c>
      <c r="I36" s="96">
        <f>'[14]2017 case'!AD12</f>
        <v>793744.10978095199</v>
      </c>
      <c r="J36" s="96">
        <f>'[14]2017 case'!AE12</f>
        <v>1104030.8557052109</v>
      </c>
      <c r="K36" s="96">
        <f>'[14]2017 case'!AF12</f>
        <v>1294475.6054442485</v>
      </c>
      <c r="L36" s="96">
        <f>'[14]2017 case'!AG12</f>
        <v>2435494.4882331346</v>
      </c>
      <c r="M36" s="96">
        <f>'[14]2017 case'!AH12</f>
        <v>3938158.3664231678</v>
      </c>
      <c r="N36" s="96">
        <f>'[14]2017 case'!AI12</f>
        <v>4729999.7931923009</v>
      </c>
      <c r="O36" s="96">
        <f>'[14]2017 case'!AJ12</f>
        <v>3172706.863746237</v>
      </c>
      <c r="P36" s="96">
        <f t="shared" si="3"/>
        <v>23451444.652359258</v>
      </c>
      <c r="Q36" s="81"/>
      <c r="R36" s="670"/>
      <c r="S36" s="81"/>
    </row>
    <row r="37" spans="1:25" ht="15.75">
      <c r="A37" s="854">
        <f t="shared" si="0"/>
        <v>26</v>
      </c>
      <c r="B37" s="706">
        <v>8053</v>
      </c>
      <c r="C37" s="81" t="s">
        <v>879</v>
      </c>
      <c r="D37" s="96">
        <f>'[14]2017 case'!Y13</f>
        <v>670263.97966764064</v>
      </c>
      <c r="E37" s="96">
        <f>'[14]2017 case'!Z13</f>
        <v>606448.54150041658</v>
      </c>
      <c r="F37" s="96">
        <f>'[14]2017 case'!AA13</f>
        <v>599691.56216938968</v>
      </c>
      <c r="G37" s="96">
        <f>'[14]2017 case'!AB13</f>
        <v>271407.88244846527</v>
      </c>
      <c r="H37" s="96">
        <f>'[14]2017 case'!AC13</f>
        <v>232387.66037756088</v>
      </c>
      <c r="I37" s="96">
        <f>'[14]2017 case'!AD13</f>
        <v>226159.3027049652</v>
      </c>
      <c r="J37" s="96">
        <f>'[14]2017 case'!AE13</f>
        <v>200352.00150539301</v>
      </c>
      <c r="K37" s="96">
        <f>'[14]2017 case'!AF13</f>
        <v>332932.13367518265</v>
      </c>
      <c r="L37" s="96">
        <f>'[14]2017 case'!AG13</f>
        <v>367554.73478945927</v>
      </c>
      <c r="M37" s="96">
        <f>'[14]2017 case'!AH13</f>
        <v>719679.84630821703</v>
      </c>
      <c r="N37" s="96">
        <f>'[14]2017 case'!AI13</f>
        <v>1104205.3510991121</v>
      </c>
      <c r="O37" s="96">
        <f>'[14]2017 case'!AJ13</f>
        <v>1142315.3740988034</v>
      </c>
      <c r="P37" s="96">
        <f t="shared" si="3"/>
        <v>6473398.3703446072</v>
      </c>
      <c r="Q37" s="81"/>
      <c r="R37" s="900"/>
      <c r="S37" s="81"/>
    </row>
    <row r="38" spans="1:25">
      <c r="A38" s="854">
        <f t="shared" si="0"/>
        <v>27</v>
      </c>
      <c r="B38" s="706">
        <v>8054</v>
      </c>
      <c r="C38" s="81" t="s">
        <v>880</v>
      </c>
      <c r="D38" s="96">
        <f>'[14]2017 case'!Y14</f>
        <v>488062.44044149161</v>
      </c>
      <c r="E38" s="96">
        <f>'[14]2017 case'!Z14</f>
        <v>262831.5568730181</v>
      </c>
      <c r="F38" s="96">
        <f>'[14]2017 case'!AA14</f>
        <v>151561.43348439448</v>
      </c>
      <c r="G38" s="96">
        <f>'[14]2017 case'!AB14</f>
        <v>101821.37375531789</v>
      </c>
      <c r="H38" s="96">
        <f>'[14]2017 case'!AC14</f>
        <v>124872.73650941775</v>
      </c>
      <c r="I38" s="96">
        <f>'[14]2017 case'!AD14</f>
        <v>138338.59415316739</v>
      </c>
      <c r="J38" s="96">
        <f>'[14]2017 case'!AE14</f>
        <v>157878.44201254169</v>
      </c>
      <c r="K38" s="96">
        <f>'[14]2017 case'!AF14</f>
        <v>301624.83997104189</v>
      </c>
      <c r="L38" s="96">
        <f>'[14]2017 case'!AG14</f>
        <v>506941.01558583154</v>
      </c>
      <c r="M38" s="96">
        <f>'[14]2017 case'!AH14</f>
        <v>751321.73338847049</v>
      </c>
      <c r="N38" s="96">
        <f>'[14]2017 case'!AI14</f>
        <v>920677.62391453248</v>
      </c>
      <c r="O38" s="96">
        <f>'[14]2017 case'!AJ14</f>
        <v>646085.79837980075</v>
      </c>
      <c r="P38" s="96">
        <f t="shared" si="3"/>
        <v>4552017.5884690257</v>
      </c>
      <c r="Q38" s="81"/>
      <c r="R38" s="690"/>
      <c r="S38" s="81"/>
    </row>
    <row r="39" spans="1:25">
      <c r="A39" s="854">
        <f t="shared" si="0"/>
        <v>28</v>
      </c>
      <c r="B39" s="706">
        <v>8058</v>
      </c>
      <c r="C39" s="81" t="s">
        <v>881</v>
      </c>
      <c r="D39" s="96">
        <f>'[14]2017 case'!Y15</f>
        <v>-1712164.1448643713</v>
      </c>
      <c r="E39" s="96">
        <f>'[14]2017 case'!Z15</f>
        <v>-523995.52079642203</v>
      </c>
      <c r="F39" s="96">
        <f>'[14]2017 case'!AA15</f>
        <v>-514193.77082977031</v>
      </c>
      <c r="G39" s="96">
        <f>'[14]2017 case'!AB15</f>
        <v>65225.621321997161</v>
      </c>
      <c r="H39" s="96">
        <f>'[14]2017 case'!AC15</f>
        <v>-55009.794440724843</v>
      </c>
      <c r="I39" s="96">
        <f>'[14]2017 case'!AD15</f>
        <v>-775.32690094509132</v>
      </c>
      <c r="J39" s="96">
        <f>'[14]2017 case'!AE15</f>
        <v>589397.65281972114</v>
      </c>
      <c r="K39" s="96">
        <f>'[14]2017 case'!AF15</f>
        <v>2189797.1154716173</v>
      </c>
      <c r="L39" s="96">
        <f>'[14]2017 case'!AG15</f>
        <v>2363830.128539891</v>
      </c>
      <c r="M39" s="96">
        <f>'[14]2017 case'!AH15</f>
        <v>346802.16982731258</v>
      </c>
      <c r="N39" s="96">
        <f>'[14]2017 case'!AI15</f>
        <v>-2693770.3695110511</v>
      </c>
      <c r="O39" s="96">
        <f>'[14]2017 case'!AJ15</f>
        <v>-1237398.8204913465</v>
      </c>
      <c r="P39" s="96">
        <f t="shared" si="3"/>
        <v>-1182255.0598540921</v>
      </c>
      <c r="Q39" s="81"/>
      <c r="R39" s="81"/>
      <c r="S39" s="81"/>
    </row>
    <row r="40" spans="1:25">
      <c r="A40" s="854">
        <f t="shared" si="0"/>
        <v>29</v>
      </c>
      <c r="B40" s="706">
        <v>8059</v>
      </c>
      <c r="C40" s="81" t="s">
        <v>882</v>
      </c>
      <c r="D40" s="96">
        <f>'[14]2017 case'!Y16</f>
        <v>-11361900.47434173</v>
      </c>
      <c r="E40" s="96">
        <f>'[14]2017 case'!Z16</f>
        <v>-5660994.7965627359</v>
      </c>
      <c r="F40" s="96">
        <f>'[14]2017 case'!AA16</f>
        <v>-3869645.219424923</v>
      </c>
      <c r="G40" s="96">
        <f>'[14]2017 case'!AB16</f>
        <v>-2821359.4526127134</v>
      </c>
      <c r="H40" s="96">
        <f>'[14]2017 case'!AC16</f>
        <v>-4699259.9237386696</v>
      </c>
      <c r="I40" s="96">
        <f>'[14]2017 case'!AD16</f>
        <v>-2881427.0158929885</v>
      </c>
      <c r="J40" s="96">
        <f>'[14]2017 case'!AE16</f>
        <v>-3672553.2553509413</v>
      </c>
      <c r="K40" s="96">
        <f>'[14]2017 case'!AF16</f>
        <v>-5780797.5131403962</v>
      </c>
      <c r="L40" s="96">
        <f>'[14]2017 case'!AG16</f>
        <v>-6077941.8274138169</v>
      </c>
      <c r="M40" s="96">
        <f>'[14]2017 case'!AH16</f>
        <v>-12128655.025181919</v>
      </c>
      <c r="N40" s="96">
        <f>'[14]2017 case'!AI16</f>
        <v>-20512277.595289767</v>
      </c>
      <c r="O40" s="96">
        <f>'[14]2017 case'!AJ16</f>
        <v>-13185018.839574886</v>
      </c>
      <c r="P40" s="96">
        <f t="shared" si="3"/>
        <v>-92651830.938525483</v>
      </c>
      <c r="Q40" s="81"/>
      <c r="R40" s="81"/>
      <c r="S40" s="81"/>
    </row>
    <row r="41" spans="1:25">
      <c r="A41" s="854">
        <f t="shared" si="0"/>
        <v>30</v>
      </c>
      <c r="B41" s="706">
        <v>8060</v>
      </c>
      <c r="C41" s="81" t="s">
        <v>883</v>
      </c>
      <c r="D41" s="96">
        <f>'[14]2017 case'!Y17</f>
        <v>3150643.7405185029</v>
      </c>
      <c r="E41" s="96">
        <f>'[14]2017 case'!Z17</f>
        <v>-2552872.8349554124</v>
      </c>
      <c r="F41" s="96">
        <f>'[14]2017 case'!AA17</f>
        <v>-592198.19048676745</v>
      </c>
      <c r="G41" s="96">
        <f>'[14]2017 case'!AB17</f>
        <v>-1248679.8444171865</v>
      </c>
      <c r="H41" s="96">
        <f>'[14]2017 case'!AC17</f>
        <v>-581875.41970635578</v>
      </c>
      <c r="I41" s="96">
        <f>'[14]2017 case'!AD17</f>
        <v>-1531625.0545346532</v>
      </c>
      <c r="J41" s="96">
        <f>'[14]2017 case'!AE17</f>
        <v>-1564266.9603863049</v>
      </c>
      <c r="K41" s="96">
        <f>'[14]2017 case'!AF17</f>
        <v>-1737941.444323801</v>
      </c>
      <c r="L41" s="96">
        <f>'[14]2017 case'!AG17</f>
        <v>1484125.671818566</v>
      </c>
      <c r="M41" s="96">
        <f>'[14]2017 case'!AH17</f>
        <v>1065099.5223002788</v>
      </c>
      <c r="N41" s="96">
        <f>'[14]2017 case'!AI17</f>
        <v>5060781.34520688</v>
      </c>
      <c r="O41" s="96">
        <f>'[14]2017 case'!AJ17</f>
        <v>5299169.5699769063</v>
      </c>
      <c r="P41" s="96">
        <f t="shared" si="3"/>
        <v>6250360.1010106523</v>
      </c>
      <c r="Q41" s="81"/>
      <c r="R41" s="81"/>
      <c r="S41" s="81"/>
    </row>
    <row r="42" spans="1:25">
      <c r="A42" s="854">
        <f t="shared" si="0"/>
        <v>31</v>
      </c>
      <c r="B42" s="706">
        <v>8081</v>
      </c>
      <c r="C42" s="81" t="s">
        <v>884</v>
      </c>
      <c r="D42" s="96">
        <f>'[14]2017 case'!Y18</f>
        <v>3611015.3888441729</v>
      </c>
      <c r="E42" s="96">
        <f>'[14]2017 case'!Z18</f>
        <v>13219.19591089116</v>
      </c>
      <c r="F42" s="96">
        <f>'[14]2017 case'!AA18</f>
        <v>10746.090999438002</v>
      </c>
      <c r="G42" s="96">
        <f>'[14]2017 case'!AB18</f>
        <v>0</v>
      </c>
      <c r="H42" s="96">
        <f>'[14]2017 case'!AC18</f>
        <v>0</v>
      </c>
      <c r="I42" s="96">
        <f>'[14]2017 case'!AD18</f>
        <v>0</v>
      </c>
      <c r="J42" s="96">
        <f>'[14]2017 case'!AE18</f>
        <v>0</v>
      </c>
      <c r="K42" s="96">
        <f>'[14]2017 case'!AF18</f>
        <v>0</v>
      </c>
      <c r="L42" s="96">
        <f>'[14]2017 case'!AG18</f>
        <v>1058902.4047091573</v>
      </c>
      <c r="M42" s="96">
        <f>'[14]2017 case'!AH18</f>
        <v>2415311.2977469945</v>
      </c>
      <c r="N42" s="96">
        <f>'[14]2017 case'!AI18</f>
        <v>3952112.4352866197</v>
      </c>
      <c r="O42" s="96">
        <f>'[14]2017 case'!AJ18</f>
        <v>4009332.5191630474</v>
      </c>
      <c r="P42" s="96">
        <f t="shared" si="3"/>
        <v>15070639.332660321</v>
      </c>
      <c r="Q42" s="835"/>
      <c r="R42" s="81"/>
      <c r="S42" s="81"/>
    </row>
    <row r="43" spans="1:25">
      <c r="A43" s="854">
        <f t="shared" si="0"/>
        <v>32</v>
      </c>
      <c r="B43" s="706">
        <v>8082</v>
      </c>
      <c r="C43" s="81" t="s">
        <v>885</v>
      </c>
      <c r="D43" s="96">
        <f>'[14]2017 case'!Y19</f>
        <v>-146068.63528977861</v>
      </c>
      <c r="E43" s="96">
        <f>'[14]2017 case'!Z19</f>
        <v>-2498398.6057525231</v>
      </c>
      <c r="F43" s="96">
        <f>'[14]2017 case'!AA19</f>
        <v>-1756401.7894047746</v>
      </c>
      <c r="G43" s="96">
        <f>'[14]2017 case'!AB19</f>
        <v>-1745614.4835071671</v>
      </c>
      <c r="H43" s="96">
        <f>'[14]2017 case'!AC19</f>
        <v>-2880825.7683470789</v>
      </c>
      <c r="I43" s="96">
        <f>'[14]2017 case'!AD19</f>
        <v>-2075276.943864868</v>
      </c>
      <c r="J43" s="96">
        <f>'[14]2017 case'!AE19</f>
        <v>-2619986.7904700958</v>
      </c>
      <c r="K43" s="96">
        <f>'[14]2017 case'!AF19</f>
        <v>-3772616.0348233739</v>
      </c>
      <c r="L43" s="96">
        <f>'[14]2017 case'!AG19</f>
        <v>-2011.2753014476937</v>
      </c>
      <c r="M43" s="96">
        <f>'[14]2017 case'!AH19</f>
        <v>-24385.593284712901</v>
      </c>
      <c r="N43" s="96">
        <f>'[14]2017 case'!AI19</f>
        <v>-9268.5151245332727</v>
      </c>
      <c r="O43" s="96">
        <f>'[14]2017 case'!AJ19</f>
        <v>-15896.554336642503</v>
      </c>
      <c r="P43" s="96">
        <f t="shared" si="3"/>
        <v>-17546750.989506993</v>
      </c>
      <c r="R43" s="81"/>
      <c r="S43" s="81"/>
    </row>
    <row r="44" spans="1:25" ht="15.75">
      <c r="A44" s="854">
        <f t="shared" si="0"/>
        <v>33</v>
      </c>
      <c r="B44" s="706">
        <v>8120</v>
      </c>
      <c r="C44" s="81" t="s">
        <v>886</v>
      </c>
      <c r="D44" s="96">
        <f>'[14]2017 case'!Y20</f>
        <v>-3456.5234192320063</v>
      </c>
      <c r="E44" s="96">
        <f>'[14]2017 case'!Z20</f>
        <v>-143.91546407671069</v>
      </c>
      <c r="F44" s="96">
        <f>'[14]2017 case'!AA20</f>
        <v>-1631.6635069364179</v>
      </c>
      <c r="G44" s="96">
        <f>'[14]2017 case'!AB20</f>
        <v>1124.7425964827623</v>
      </c>
      <c r="H44" s="96">
        <f>'[14]2017 case'!AC20</f>
        <v>-2248.4183472918453</v>
      </c>
      <c r="I44" s="96">
        <f>'[14]2017 case'!AD20</f>
        <v>723.79281739350188</v>
      </c>
      <c r="J44" s="96">
        <f>'[14]2017 case'!AE20</f>
        <v>91.0210333404778</v>
      </c>
      <c r="K44" s="96">
        <f>'[14]2017 case'!AF20</f>
        <v>-1972.4143911806073</v>
      </c>
      <c r="L44" s="96">
        <f>'[14]2017 case'!AG20</f>
        <v>-8624.5634525191508</v>
      </c>
      <c r="M44" s="96">
        <f>'[14]2017 case'!AH20</f>
        <v>-5635.2824049591782</v>
      </c>
      <c r="N44" s="96">
        <f>'[14]2017 case'!AI20</f>
        <v>-1719.9242988778972</v>
      </c>
      <c r="O44" s="96">
        <f>'[14]2017 case'!AJ20</f>
        <v>1563.3284579422432</v>
      </c>
      <c r="P44" s="96">
        <f t="shared" si="3"/>
        <v>-21929.820379914829</v>
      </c>
      <c r="Q44" s="81"/>
      <c r="R44" s="874"/>
    </row>
    <row r="45" spans="1:25">
      <c r="A45" s="854">
        <f t="shared" si="0"/>
        <v>34</v>
      </c>
      <c r="B45" s="706">
        <v>8580</v>
      </c>
      <c r="C45" s="81" t="s">
        <v>1219</v>
      </c>
      <c r="D45" s="96">
        <f>'[14]2017 case'!Y21</f>
        <v>3605058.6785084712</v>
      </c>
      <c r="E45" s="96">
        <f>'[14]2017 case'!Z21</f>
        <v>2749895.1301772008</v>
      </c>
      <c r="F45" s="96">
        <f>'[14]2017 case'!AA21</f>
        <v>1785085.4424450304</v>
      </c>
      <c r="G45" s="96">
        <f>'[14]2017 case'!AB21</f>
        <v>1898263.574904995</v>
      </c>
      <c r="H45" s="96">
        <f>'[14]2017 case'!AC21</f>
        <v>2197498.2452597278</v>
      </c>
      <c r="I45" s="96">
        <f>'[14]2017 case'!AD21</f>
        <v>1750768.0977158733</v>
      </c>
      <c r="J45" s="96">
        <f>'[14]2017 case'!AE21</f>
        <v>2047745.8122776665</v>
      </c>
      <c r="K45" s="96">
        <f>'[14]2017 case'!AF21</f>
        <v>3182518.5961477165</v>
      </c>
      <c r="L45" s="96">
        <f>'[14]2017 case'!AG21</f>
        <v>2277219.6597100683</v>
      </c>
      <c r="M45" s="96">
        <f>'[14]2017 case'!AH21</f>
        <v>2676400.0276003475</v>
      </c>
      <c r="N45" s="96">
        <f>'[14]2017 case'!AI21</f>
        <v>4264772.683439224</v>
      </c>
      <c r="O45" s="96">
        <f>'[14]2017 case'!AJ21</f>
        <v>3386648.7871736442</v>
      </c>
      <c r="P45" s="96">
        <f t="shared" si="3"/>
        <v>31821874.735359967</v>
      </c>
      <c r="Q45" s="670"/>
      <c r="R45" s="670"/>
      <c r="S45" s="670"/>
      <c r="T45" s="670"/>
    </row>
    <row r="46" spans="1:25">
      <c r="A46" s="854">
        <f t="shared" si="0"/>
        <v>35</v>
      </c>
      <c r="B46" s="706">
        <v>8140</v>
      </c>
      <c r="C46" s="81" t="s">
        <v>887</v>
      </c>
      <c r="D46" s="396">
        <f>VLOOKUP($B46,'[13]Div 9 forecast'!$D$518:$AF$599,18,FALSE)</f>
        <v>0</v>
      </c>
      <c r="E46" s="396">
        <f>VLOOKUP($B46,'[13]Div 9 forecast'!$D$518:$AF$599,19,FALSE)</f>
        <v>0</v>
      </c>
      <c r="F46" s="396">
        <f>VLOOKUP($B46,'[13]Div 9 forecast'!$D$518:$AF$599,20,FALSE)</f>
        <v>0</v>
      </c>
      <c r="G46" s="396">
        <f>VLOOKUP($B46,'[13]Div 9 forecast'!$D$518:$AF$599,21,FALSE)</f>
        <v>0</v>
      </c>
      <c r="H46" s="396">
        <f>VLOOKUP($B46,'[13]Div 9 forecast'!$D$518:$AF$599,22,FALSE)</f>
        <v>0</v>
      </c>
      <c r="I46" s="396">
        <f>VLOOKUP($B46,'[13]Div 9 forecast'!$D$518:$AF$599,23,FALSE)</f>
        <v>0</v>
      </c>
      <c r="J46" s="396">
        <f>VLOOKUP($B46,'[13]Div 9 forecast'!$D$518:$AF$599,24,FALSE)</f>
        <v>0</v>
      </c>
      <c r="K46" s="396">
        <f>VLOOKUP($B46,'[13]Div 9 forecast'!$D$518:$AF$599,25,FALSE)</f>
        <v>0</v>
      </c>
      <c r="L46" s="396">
        <f>VLOOKUP($B46,'[13]Div 9 forecast'!$D$518:$AF$599,26,FALSE)</f>
        <v>0</v>
      </c>
      <c r="M46" s="396">
        <f>VLOOKUP($B46,'[13]Div 9 forecast'!$D$518:$AF$599,27,FALSE)</f>
        <v>0</v>
      </c>
      <c r="N46" s="396">
        <f>VLOOKUP($B46,'[13]Div 9 forecast'!$D$518:$AF$599,28,FALSE)</f>
        <v>0</v>
      </c>
      <c r="O46" s="396">
        <f>VLOOKUP($B46,'[13]Div 9 forecast'!$D$518:$AF$599,29,FALSE)</f>
        <v>0</v>
      </c>
      <c r="P46" s="81">
        <f t="shared" si="3"/>
        <v>0</v>
      </c>
      <c r="Q46" s="670"/>
      <c r="R46" s="670"/>
      <c r="S46" s="81"/>
      <c r="Y46" s="901"/>
    </row>
    <row r="47" spans="1:25">
      <c r="A47" s="854">
        <f t="shared" si="0"/>
        <v>36</v>
      </c>
      <c r="B47" s="706">
        <v>8160</v>
      </c>
      <c r="C47" s="81" t="s">
        <v>888</v>
      </c>
      <c r="D47" s="396">
        <f>VLOOKUP($B47,'[13]Div 9 forecast'!$D$518:$AF$599,18,FALSE)</f>
        <v>10619.263995131569</v>
      </c>
      <c r="E47" s="396">
        <f>VLOOKUP($B47,'[13]Div 9 forecast'!$D$518:$AF$599,19,FALSE)</f>
        <v>10126.764364035515</v>
      </c>
      <c r="F47" s="396">
        <f>VLOOKUP($B47,'[13]Div 9 forecast'!$D$518:$AF$599,20,FALSE)</f>
        <v>19170.60221859975</v>
      </c>
      <c r="G47" s="396">
        <f>VLOOKUP($B47,'[13]Div 9 forecast'!$D$518:$AF$599,21,FALSE)</f>
        <v>17292.069558200797</v>
      </c>
      <c r="H47" s="396">
        <f>VLOOKUP($B47,'[13]Div 9 forecast'!$D$518:$AF$599,22,FALSE)</f>
        <v>11608.462065569549</v>
      </c>
      <c r="I47" s="396">
        <f>VLOOKUP($B47,'[13]Div 9 forecast'!$D$518:$AF$599,23,FALSE)</f>
        <v>11284.75363990579</v>
      </c>
      <c r="J47" s="396">
        <f>VLOOKUP($B47,'[13]Div 9 forecast'!$D$518:$AF$599,24,FALSE)</f>
        <v>10248.217369480275</v>
      </c>
      <c r="K47" s="396">
        <f>VLOOKUP($B47,'[13]Div 9 forecast'!$D$518:$AF$599,25,FALSE)</f>
        <v>10693.197683059334</v>
      </c>
      <c r="L47" s="396">
        <f>VLOOKUP($B47,'[13]Div 9 forecast'!$D$518:$AF$599,26,FALSE)</f>
        <v>8154.4860953869538</v>
      </c>
      <c r="M47" s="396">
        <f>VLOOKUP($B47,'[13]Div 9 forecast'!$D$518:$AF$599,27,FALSE)</f>
        <v>9097.6828507670161</v>
      </c>
      <c r="N47" s="396">
        <f>VLOOKUP($B47,'[13]Div 9 forecast'!$D$518:$AF$599,28,FALSE)</f>
        <v>8338.1927822122252</v>
      </c>
      <c r="O47" s="396">
        <f>VLOOKUP($B47,'[13]Div 9 forecast'!$D$518:$AF$599,29,FALSE)</f>
        <v>9316.1018170471652</v>
      </c>
      <c r="P47" s="81">
        <f t="shared" si="3"/>
        <v>135949.79443939595</v>
      </c>
      <c r="Q47" s="81"/>
      <c r="R47" s="81"/>
      <c r="S47" s="81"/>
      <c r="Y47" s="901"/>
    </row>
    <row r="48" spans="1:25">
      <c r="A48" s="854">
        <f t="shared" si="0"/>
        <v>37</v>
      </c>
      <c r="B48" s="706">
        <v>8170</v>
      </c>
      <c r="C48" s="81" t="s">
        <v>894</v>
      </c>
      <c r="D48" s="396">
        <f>VLOOKUP($B48,'[13]Div 9 forecast'!$D$518:$AF$599,18,FALSE)</f>
        <v>2788.8718455510989</v>
      </c>
      <c r="E48" s="396">
        <f>VLOOKUP($B48,'[13]Div 9 forecast'!$D$518:$AF$599,19,FALSE)</f>
        <v>3016.8408050709786</v>
      </c>
      <c r="F48" s="396">
        <f>VLOOKUP($B48,'[13]Div 9 forecast'!$D$518:$AF$599,20,FALSE)</f>
        <v>2843.2217839997697</v>
      </c>
      <c r="G48" s="396">
        <f>VLOOKUP($B48,'[13]Div 9 forecast'!$D$518:$AF$599,21,FALSE)</f>
        <v>2937.477168084838</v>
      </c>
      <c r="H48" s="396">
        <f>VLOOKUP($B48,'[13]Div 9 forecast'!$D$518:$AF$599,22,FALSE)</f>
        <v>3030.0894073606737</v>
      </c>
      <c r="I48" s="396">
        <f>VLOOKUP($B48,'[13]Div 9 forecast'!$D$518:$AF$599,23,FALSE)</f>
        <v>2679.4428012167195</v>
      </c>
      <c r="J48" s="396">
        <f>VLOOKUP($B48,'[13]Div 9 forecast'!$D$518:$AF$599,24,FALSE)</f>
        <v>2959.5975207816364</v>
      </c>
      <c r="K48" s="396">
        <f>VLOOKUP($B48,'[13]Div 9 forecast'!$D$518:$AF$599,25,FALSE)</f>
        <v>2984.1398533495226</v>
      </c>
      <c r="L48" s="396">
        <f>VLOOKUP($B48,'[13]Div 9 forecast'!$D$518:$AF$599,26,FALSE)</f>
        <v>2868.0327807631475</v>
      </c>
      <c r="M48" s="396">
        <f>VLOOKUP($B48,'[13]Div 9 forecast'!$D$518:$AF$599,27,FALSE)</f>
        <v>3115.3149327107908</v>
      </c>
      <c r="N48" s="396">
        <f>VLOOKUP($B48,'[13]Div 9 forecast'!$D$518:$AF$599,28,FALSE)</f>
        <v>2802.5940107543643</v>
      </c>
      <c r="O48" s="396">
        <f>VLOOKUP($B48,'[13]Div 9 forecast'!$D$518:$AF$599,29,FALSE)</f>
        <v>2988.6755158838696</v>
      </c>
      <c r="P48" s="81">
        <f t="shared" si="3"/>
        <v>35014.298425527413</v>
      </c>
      <c r="Q48" s="81"/>
      <c r="R48" s="81"/>
      <c r="S48" s="81"/>
      <c r="Y48" s="901"/>
    </row>
    <row r="49" spans="1:25">
      <c r="A49" s="854">
        <f t="shared" si="0"/>
        <v>38</v>
      </c>
      <c r="B49" s="706">
        <v>8180</v>
      </c>
      <c r="C49" s="81" t="s">
        <v>895</v>
      </c>
      <c r="D49" s="396">
        <f>VLOOKUP($B49,'[13]Div 9 forecast'!$D$518:$AF$599,18,FALSE)</f>
        <v>2666.777493674882</v>
      </c>
      <c r="E49" s="396">
        <f>VLOOKUP($B49,'[13]Div 9 forecast'!$D$518:$AF$599,19,FALSE)</f>
        <v>2937.9803436802376</v>
      </c>
      <c r="F49" s="396">
        <f>VLOOKUP($B49,'[13]Div 9 forecast'!$D$518:$AF$599,20,FALSE)</f>
        <v>3401.3304382354941</v>
      </c>
      <c r="G49" s="396">
        <f>VLOOKUP($B49,'[13]Div 9 forecast'!$D$518:$AF$599,21,FALSE)</f>
        <v>3490.384389416985</v>
      </c>
      <c r="H49" s="396">
        <f>VLOOKUP($B49,'[13]Div 9 forecast'!$D$518:$AF$599,22,FALSE)</f>
        <v>3193.4353025998512</v>
      </c>
      <c r="I49" s="396">
        <f>VLOOKUP($B49,'[13]Div 9 forecast'!$D$518:$AF$599,23,FALSE)</f>
        <v>2696.9965177997879</v>
      </c>
      <c r="J49" s="396">
        <f>VLOOKUP($B49,'[13]Div 9 forecast'!$D$518:$AF$599,24,FALSE)</f>
        <v>2536.9436137917978</v>
      </c>
      <c r="K49" s="396">
        <f>VLOOKUP($B49,'[13]Div 9 forecast'!$D$518:$AF$599,25,FALSE)</f>
        <v>2689.6886472743463</v>
      </c>
      <c r="L49" s="396">
        <f>VLOOKUP($B49,'[13]Div 9 forecast'!$D$518:$AF$599,26,FALSE)</f>
        <v>2812.5620486942998</v>
      </c>
      <c r="M49" s="396">
        <f>VLOOKUP($B49,'[13]Div 9 forecast'!$D$518:$AF$599,27,FALSE)</f>
        <v>3158.1578392536721</v>
      </c>
      <c r="N49" s="396">
        <f>VLOOKUP($B49,'[13]Div 9 forecast'!$D$518:$AF$599,28,FALSE)</f>
        <v>3167.6445111152407</v>
      </c>
      <c r="O49" s="396">
        <f>VLOOKUP($B49,'[13]Div 9 forecast'!$D$518:$AF$599,29,FALSE)</f>
        <v>2880.6574819771427</v>
      </c>
      <c r="P49" s="81">
        <f t="shared" si="3"/>
        <v>35632.558627513739</v>
      </c>
      <c r="Q49" s="81"/>
      <c r="R49" s="81"/>
      <c r="S49" s="81"/>
      <c r="Y49" s="901"/>
    </row>
    <row r="50" spans="1:25">
      <c r="A50" s="854">
        <f t="shared" si="0"/>
        <v>39</v>
      </c>
      <c r="B50" s="706">
        <v>8190</v>
      </c>
      <c r="C50" s="81" t="s">
        <v>896</v>
      </c>
      <c r="D50" s="396">
        <f>VLOOKUP($B50,'[13]Div 9 forecast'!$D$518:$AF$599,18,FALSE)</f>
        <v>81.217074952527966</v>
      </c>
      <c r="E50" s="396">
        <f>VLOOKUP($B50,'[13]Div 9 forecast'!$D$518:$AF$599,19,FALSE)</f>
        <v>85.388368189764918</v>
      </c>
      <c r="F50" s="396">
        <f>VLOOKUP($B50,'[13]Div 9 forecast'!$D$518:$AF$599,20,FALSE)</f>
        <v>87.955662277127772</v>
      </c>
      <c r="G50" s="396">
        <f>VLOOKUP($B50,'[13]Div 9 forecast'!$D$518:$AF$599,21,FALSE)</f>
        <v>80.292008737978492</v>
      </c>
      <c r="H50" s="396">
        <f>VLOOKUP($B50,'[13]Div 9 forecast'!$D$518:$AF$599,22,FALSE)</f>
        <v>84.196523654923723</v>
      </c>
      <c r="I50" s="396">
        <f>VLOOKUP($B50,'[13]Div 9 forecast'!$D$518:$AF$599,23,FALSE)</f>
        <v>75.974152929312567</v>
      </c>
      <c r="J50" s="396">
        <f>VLOOKUP($B50,'[13]Div 9 forecast'!$D$518:$AF$599,24,FALSE)</f>
        <v>81.086603650364225</v>
      </c>
      <c r="K50" s="396">
        <f>VLOOKUP($B50,'[13]Div 9 forecast'!$D$518:$AF$599,25,FALSE)</f>
        <v>89.470308005517069</v>
      </c>
      <c r="L50" s="396">
        <f>VLOOKUP($B50,'[13]Div 9 forecast'!$D$518:$AF$599,26,FALSE)</f>
        <v>78.107518484372804</v>
      </c>
      <c r="M50" s="396">
        <f>VLOOKUP($B50,'[13]Div 9 forecast'!$D$518:$AF$599,27,FALSE)</f>
        <v>87.391281576156359</v>
      </c>
      <c r="N50" s="396">
        <f>VLOOKUP($B50,'[13]Div 9 forecast'!$D$518:$AF$599,28,FALSE)</f>
        <v>87.445831170300494</v>
      </c>
      <c r="O50" s="396">
        <f>VLOOKUP($B50,'[13]Div 9 forecast'!$D$518:$AF$599,29,FALSE)</f>
        <v>84.934693890658792</v>
      </c>
      <c r="P50" s="81">
        <f t="shared" si="3"/>
        <v>1003.4600275190052</v>
      </c>
      <c r="Q50" s="81"/>
      <c r="R50" s="81"/>
      <c r="S50" s="81"/>
      <c r="Y50" s="901"/>
    </row>
    <row r="51" spans="1:25">
      <c r="A51" s="854">
        <f t="shared" si="0"/>
        <v>40</v>
      </c>
      <c r="B51" s="706">
        <v>8200</v>
      </c>
      <c r="C51" s="81" t="s">
        <v>897</v>
      </c>
      <c r="D51" s="396">
        <f>VLOOKUP($B51,'[13]Div 9 forecast'!$D$518:$AF$599,18,FALSE)</f>
        <v>280.17045659415783</v>
      </c>
      <c r="E51" s="396">
        <f>VLOOKUP($B51,'[13]Div 9 forecast'!$D$518:$AF$599,19,FALSE)</f>
        <v>299.12344428585106</v>
      </c>
      <c r="F51" s="396">
        <f>VLOOKUP($B51,'[13]Div 9 forecast'!$D$518:$AF$599,20,FALSE)</f>
        <v>291.02568481167043</v>
      </c>
      <c r="G51" s="396">
        <f>VLOOKUP($B51,'[13]Div 9 forecast'!$D$518:$AF$599,21,FALSE)</f>
        <v>284.79698151423503</v>
      </c>
      <c r="H51" s="396">
        <f>VLOOKUP($B51,'[13]Div 9 forecast'!$D$518:$AF$599,22,FALSE)</f>
        <v>297.20349522200712</v>
      </c>
      <c r="I51" s="396">
        <f>VLOOKUP($B51,'[13]Div 9 forecast'!$D$518:$AF$599,23,FALSE)</f>
        <v>265.60751621342882</v>
      </c>
      <c r="J51" s="396">
        <f>VLOOKUP($B51,'[13]Div 9 forecast'!$D$518:$AF$599,24,FALSE)</f>
        <v>290.74062292003742</v>
      </c>
      <c r="K51" s="396">
        <f>VLOOKUP($B51,'[13]Div 9 forecast'!$D$518:$AF$599,25,FALSE)</f>
        <v>304.24597941383979</v>
      </c>
      <c r="L51" s="396">
        <f>VLOOKUP($B51,'[13]Div 9 forecast'!$D$518:$AF$599,26,FALSE)</f>
        <v>279.6413770063449</v>
      </c>
      <c r="M51" s="396">
        <f>VLOOKUP($B51,'[13]Div 9 forecast'!$D$518:$AF$599,27,FALSE)</f>
        <v>307.19707397684164</v>
      </c>
      <c r="N51" s="396">
        <f>VLOOKUP($B51,'[13]Div 9 forecast'!$D$518:$AF$599,28,FALSE)</f>
        <v>288.38430070679726</v>
      </c>
      <c r="O51" s="396">
        <f>VLOOKUP($B51,'[13]Div 9 forecast'!$D$518:$AF$599,29,FALSE)</f>
        <v>296.93953312893069</v>
      </c>
      <c r="P51" s="81">
        <f t="shared" si="3"/>
        <v>3485.0764657941422</v>
      </c>
      <c r="Q51" s="81"/>
      <c r="R51" s="81"/>
      <c r="S51" s="81"/>
      <c r="Y51" s="901"/>
    </row>
    <row r="52" spans="1:25">
      <c r="A52" s="854">
        <f t="shared" si="0"/>
        <v>41</v>
      </c>
      <c r="B52" s="706">
        <v>8210</v>
      </c>
      <c r="C52" s="81" t="s">
        <v>898</v>
      </c>
      <c r="D52" s="396">
        <f>VLOOKUP($B52,'[13]Div 9 forecast'!$D$518:$AF$599,18,FALSE)</f>
        <v>1941.561896504182</v>
      </c>
      <c r="E52" s="396">
        <f>VLOOKUP($B52,'[13]Div 9 forecast'!$D$518:$AF$599,19,FALSE)</f>
        <v>2141.9852236477609</v>
      </c>
      <c r="F52" s="396">
        <f>VLOOKUP($B52,'[13]Div 9 forecast'!$D$518:$AF$599,20,FALSE)</f>
        <v>2468.9067461862041</v>
      </c>
      <c r="G52" s="396">
        <f>VLOOKUP($B52,'[13]Div 9 forecast'!$D$518:$AF$599,21,FALSE)</f>
        <v>2525.5941432727368</v>
      </c>
      <c r="H52" s="396">
        <f>VLOOKUP($B52,'[13]Div 9 forecast'!$D$518:$AF$599,22,FALSE)</f>
        <v>2328.243392161588</v>
      </c>
      <c r="I52" s="396">
        <f>VLOOKUP($B52,'[13]Div 9 forecast'!$D$518:$AF$599,23,FALSE)</f>
        <v>1957.885998387638</v>
      </c>
      <c r="J52" s="396">
        <f>VLOOKUP($B52,'[13]Div 9 forecast'!$D$518:$AF$599,24,FALSE)</f>
        <v>1825.6482910060251</v>
      </c>
      <c r="K52" s="396">
        <f>VLOOKUP($B52,'[13]Div 9 forecast'!$D$518:$AF$599,25,FALSE)</f>
        <v>1956.4623016411556</v>
      </c>
      <c r="L52" s="396">
        <f>VLOOKUP($B52,'[13]Div 9 forecast'!$D$518:$AF$599,26,FALSE)</f>
        <v>2054.2442242140146</v>
      </c>
      <c r="M52" s="396">
        <f>VLOOKUP($B52,'[13]Div 9 forecast'!$D$518:$AF$599,27,FALSE)</f>
        <v>2315.2047905871705</v>
      </c>
      <c r="N52" s="396">
        <f>VLOOKUP($B52,'[13]Div 9 forecast'!$D$518:$AF$599,28,FALSE)</f>
        <v>2353.9896696128976</v>
      </c>
      <c r="O52" s="396">
        <f>VLOOKUP($B52,'[13]Div 9 forecast'!$D$518:$AF$599,29,FALSE)</f>
        <v>2104.3008596043514</v>
      </c>
      <c r="P52" s="81">
        <f t="shared" si="3"/>
        <v>25974.027536825721</v>
      </c>
      <c r="Q52" s="81"/>
      <c r="R52" s="81"/>
      <c r="S52" s="81"/>
      <c r="Y52" s="901"/>
    </row>
    <row r="53" spans="1:25">
      <c r="A53" s="854">
        <f t="shared" si="0"/>
        <v>42</v>
      </c>
      <c r="B53" s="706">
        <v>8240</v>
      </c>
      <c r="C53" s="81" t="s">
        <v>899</v>
      </c>
      <c r="D53" s="396">
        <f>VLOOKUP($B53,'[13]Div 9 forecast'!$D$518:$AF$599,18,FALSE)</f>
        <v>0</v>
      </c>
      <c r="E53" s="396">
        <f>VLOOKUP($B53,'[13]Div 9 forecast'!$D$518:$AF$599,19,FALSE)</f>
        <v>0</v>
      </c>
      <c r="F53" s="396">
        <f>VLOOKUP($B53,'[13]Div 9 forecast'!$D$518:$AF$599,20,FALSE)</f>
        <v>0</v>
      </c>
      <c r="G53" s="396">
        <f>VLOOKUP($B53,'[13]Div 9 forecast'!$D$518:$AF$599,21,FALSE)</f>
        <v>0</v>
      </c>
      <c r="H53" s="396">
        <f>VLOOKUP($B53,'[13]Div 9 forecast'!$D$518:$AF$599,22,FALSE)</f>
        <v>0</v>
      </c>
      <c r="I53" s="396">
        <f>VLOOKUP($B53,'[13]Div 9 forecast'!$D$518:$AF$599,23,FALSE)</f>
        <v>0</v>
      </c>
      <c r="J53" s="396">
        <f>VLOOKUP($B53,'[13]Div 9 forecast'!$D$518:$AF$599,24,FALSE)</f>
        <v>0</v>
      </c>
      <c r="K53" s="396">
        <f>VLOOKUP($B53,'[13]Div 9 forecast'!$D$518:$AF$599,25,FALSE)</f>
        <v>0</v>
      </c>
      <c r="L53" s="396">
        <f>VLOOKUP($B53,'[13]Div 9 forecast'!$D$518:$AF$599,26,FALSE)</f>
        <v>0</v>
      </c>
      <c r="M53" s="396">
        <f>VLOOKUP($B53,'[13]Div 9 forecast'!$D$518:$AF$599,27,FALSE)</f>
        <v>0</v>
      </c>
      <c r="N53" s="396">
        <f>VLOOKUP($B53,'[13]Div 9 forecast'!$D$518:$AF$599,28,FALSE)</f>
        <v>0</v>
      </c>
      <c r="O53" s="396">
        <f>VLOOKUP($B53,'[13]Div 9 forecast'!$D$518:$AF$599,29,FALSE)</f>
        <v>0</v>
      </c>
      <c r="P53" s="81">
        <f t="shared" si="3"/>
        <v>0</v>
      </c>
      <c r="Q53" s="81"/>
      <c r="R53" s="81"/>
      <c r="S53" s="81"/>
      <c r="Y53" s="901"/>
    </row>
    <row r="54" spans="1:25">
      <c r="A54" s="854">
        <f t="shared" si="0"/>
        <v>43</v>
      </c>
      <c r="B54" s="706">
        <v>8250</v>
      </c>
      <c r="C54" s="81" t="s">
        <v>911</v>
      </c>
      <c r="D54" s="396">
        <f>VLOOKUP($B54,'[13]Div 9 forecast'!$D$518:$AF$599,18,FALSE)</f>
        <v>700.71792890717393</v>
      </c>
      <c r="E54" s="396">
        <f>VLOOKUP($B54,'[13]Div 9 forecast'!$D$518:$AF$599,19,FALSE)</f>
        <v>1241.0254657261651</v>
      </c>
      <c r="F54" s="396">
        <f>VLOOKUP($B54,'[13]Div 9 forecast'!$D$518:$AF$599,20,FALSE)</f>
        <v>867.38293213052884</v>
      </c>
      <c r="G54" s="396">
        <f>VLOOKUP($B54,'[13]Div 9 forecast'!$D$518:$AF$599,21,FALSE)</f>
        <v>710.46364165398404</v>
      </c>
      <c r="H54" s="396">
        <f>VLOOKUP($B54,'[13]Div 9 forecast'!$D$518:$AF$599,22,FALSE)</f>
        <v>722.65669983275018</v>
      </c>
      <c r="I54" s="396">
        <f>VLOOKUP($B54,'[13]Div 9 forecast'!$D$518:$AF$599,23,FALSE)</f>
        <v>666.18945025071991</v>
      </c>
      <c r="J54" s="396">
        <f>VLOOKUP($B54,'[13]Div 9 forecast'!$D$518:$AF$599,24,FALSE)</f>
        <v>735.13148750329526</v>
      </c>
      <c r="K54" s="396">
        <f>VLOOKUP($B54,'[13]Div 9 forecast'!$D$518:$AF$599,25,FALSE)</f>
        <v>802.2083264115987</v>
      </c>
      <c r="L54" s="396">
        <f>VLOOKUP($B54,'[13]Div 9 forecast'!$D$518:$AF$599,26,FALSE)</f>
        <v>687.8857628995014</v>
      </c>
      <c r="M54" s="396">
        <f>VLOOKUP($B54,'[13]Div 9 forecast'!$D$518:$AF$599,27,FALSE)</f>
        <v>756.48169835492956</v>
      </c>
      <c r="N54" s="396">
        <f>VLOOKUP($B54,'[13]Div 9 forecast'!$D$518:$AF$599,28,FALSE)</f>
        <v>756.1995203381266</v>
      </c>
      <c r="O54" s="396">
        <f>VLOOKUP($B54,'[13]Div 9 forecast'!$D$518:$AF$599,29,FALSE)</f>
        <v>741.73383245139541</v>
      </c>
      <c r="P54" s="81">
        <f t="shared" si="3"/>
        <v>9388.0767464601686</v>
      </c>
      <c r="Q54" s="81"/>
      <c r="R54" s="81"/>
      <c r="Y54" s="901"/>
    </row>
    <row r="55" spans="1:25">
      <c r="A55" s="854">
        <f t="shared" si="0"/>
        <v>44</v>
      </c>
      <c r="B55" s="706">
        <v>8310</v>
      </c>
      <c r="C55" s="81" t="s">
        <v>912</v>
      </c>
      <c r="D55" s="396">
        <f>VLOOKUP($B55,'[13]Div 9 forecast'!$D$518:$AF$599,18,FALSE)</f>
        <v>1247.9261220533554</v>
      </c>
      <c r="E55" s="396">
        <f>VLOOKUP($B55,'[13]Div 9 forecast'!$D$518:$AF$599,19,FALSE)</f>
        <v>1141.9302477823685</v>
      </c>
      <c r="F55" s="396">
        <f>VLOOKUP($B55,'[13]Div 9 forecast'!$D$518:$AF$599,20,FALSE)</f>
        <v>2628.9863448396209</v>
      </c>
      <c r="G55" s="396">
        <f>VLOOKUP($B55,'[13]Div 9 forecast'!$D$518:$AF$599,21,FALSE)</f>
        <v>2318.6543547708143</v>
      </c>
      <c r="H55" s="396">
        <f>VLOOKUP($B55,'[13]Div 9 forecast'!$D$518:$AF$599,22,FALSE)</f>
        <v>1389.6317151716323</v>
      </c>
      <c r="I55" s="396">
        <f>VLOOKUP($B55,'[13]Div 9 forecast'!$D$518:$AF$599,23,FALSE)</f>
        <v>1377.886989382775</v>
      </c>
      <c r="J55" s="396">
        <f>VLOOKUP($B55,'[13]Div 9 forecast'!$D$518:$AF$599,24,FALSE)</f>
        <v>1140.3643301151235</v>
      </c>
      <c r="K55" s="396">
        <f>VLOOKUP($B55,'[13]Div 9 forecast'!$D$518:$AF$599,25,FALSE)</f>
        <v>1219.4740544896608</v>
      </c>
      <c r="L55" s="396">
        <f>VLOOKUP($B55,'[13]Div 9 forecast'!$D$518:$AF$599,26,FALSE)</f>
        <v>856.56271797912723</v>
      </c>
      <c r="M55" s="396">
        <f>VLOOKUP($B55,'[13]Div 9 forecast'!$D$518:$AF$599,27,FALSE)</f>
        <v>977.07563188328413</v>
      </c>
      <c r="N55" s="396">
        <f>VLOOKUP($B55,'[13]Div 9 forecast'!$D$518:$AF$599,28,FALSE)</f>
        <v>932.45996981539861</v>
      </c>
      <c r="O55" s="396">
        <f>VLOOKUP($B55,'[13]Div 9 forecast'!$D$518:$AF$599,29,FALSE)</f>
        <v>1017.3474635292315</v>
      </c>
      <c r="P55" s="81">
        <f t="shared" si="3"/>
        <v>16248.299941812395</v>
      </c>
      <c r="Q55" s="81"/>
      <c r="R55" s="902"/>
      <c r="S55" s="81"/>
      <c r="Y55" s="901"/>
    </row>
    <row r="56" spans="1:25">
      <c r="A56" s="854">
        <f t="shared" si="0"/>
        <v>45</v>
      </c>
      <c r="B56" s="706">
        <v>8340</v>
      </c>
      <c r="C56" s="81" t="s">
        <v>913</v>
      </c>
      <c r="D56" s="396">
        <f>VLOOKUP($B56,'[13]Div 9 forecast'!$D$518:$AF$599,18,FALSE)</f>
        <v>917.01930843296554</v>
      </c>
      <c r="E56" s="396">
        <f>VLOOKUP($B56,'[13]Div 9 forecast'!$D$518:$AF$599,19,FALSE)</f>
        <v>879.52265082879023</v>
      </c>
      <c r="F56" s="396">
        <f>VLOOKUP($B56,'[13]Div 9 forecast'!$D$518:$AF$599,20,FALSE)</f>
        <v>1696.2325649230725</v>
      </c>
      <c r="G56" s="396">
        <f>VLOOKUP($B56,'[13]Div 9 forecast'!$D$518:$AF$599,21,FALSE)</f>
        <v>1535.1030482455217</v>
      </c>
      <c r="H56" s="396">
        <f>VLOOKUP($B56,'[13]Div 9 forecast'!$D$518:$AF$599,22,FALSE)</f>
        <v>1022.9812871082836</v>
      </c>
      <c r="I56" s="396">
        <f>VLOOKUP($B56,'[13]Div 9 forecast'!$D$518:$AF$599,23,FALSE)</f>
        <v>982.94573231269987</v>
      </c>
      <c r="J56" s="396">
        <f>VLOOKUP($B56,'[13]Div 9 forecast'!$D$518:$AF$599,24,FALSE)</f>
        <v>865.34856047912183</v>
      </c>
      <c r="K56" s="396">
        <f>VLOOKUP($B56,'[13]Div 9 forecast'!$D$518:$AF$599,25,FALSE)</f>
        <v>913.1337142901441</v>
      </c>
      <c r="L56" s="396">
        <f>VLOOKUP($B56,'[13]Div 9 forecast'!$D$518:$AF$599,26,FALSE)</f>
        <v>711.3521944017275</v>
      </c>
      <c r="M56" s="396">
        <f>VLOOKUP($B56,'[13]Div 9 forecast'!$D$518:$AF$599,27,FALSE)</f>
        <v>800.60677174311718</v>
      </c>
      <c r="N56" s="396">
        <f>VLOOKUP($B56,'[13]Div 9 forecast'!$D$518:$AF$599,28,FALSE)</f>
        <v>756.82212930448259</v>
      </c>
      <c r="O56" s="396">
        <f>VLOOKUP($B56,'[13]Div 9 forecast'!$D$518:$AF$599,29,FALSE)</f>
        <v>807.9874522856237</v>
      </c>
      <c r="P56" s="81">
        <f t="shared" si="3"/>
        <v>11889.055414355553</v>
      </c>
      <c r="Q56" s="81"/>
      <c r="R56" s="902"/>
      <c r="S56" s="81"/>
      <c r="Y56" s="901"/>
    </row>
    <row r="57" spans="1:25">
      <c r="A57" s="854">
        <f t="shared" si="0"/>
        <v>46</v>
      </c>
      <c r="B57" s="706">
        <v>8350</v>
      </c>
      <c r="C57" s="81" t="s">
        <v>914</v>
      </c>
      <c r="D57" s="396">
        <f>VLOOKUP($B57,'[13]Div 9 forecast'!$D$518:$AF$599,18,FALSE)</f>
        <v>0</v>
      </c>
      <c r="E57" s="396">
        <f>VLOOKUP($B57,'[13]Div 9 forecast'!$D$518:$AF$599,19,FALSE)</f>
        <v>0</v>
      </c>
      <c r="F57" s="396">
        <f>VLOOKUP($B57,'[13]Div 9 forecast'!$D$518:$AF$599,20,FALSE)</f>
        <v>0</v>
      </c>
      <c r="G57" s="396">
        <f>VLOOKUP($B57,'[13]Div 9 forecast'!$D$518:$AF$599,21,FALSE)</f>
        <v>0</v>
      </c>
      <c r="H57" s="396">
        <f>VLOOKUP($B57,'[13]Div 9 forecast'!$D$518:$AF$599,22,FALSE)</f>
        <v>0</v>
      </c>
      <c r="I57" s="396">
        <f>VLOOKUP($B57,'[13]Div 9 forecast'!$D$518:$AF$599,23,FALSE)</f>
        <v>0</v>
      </c>
      <c r="J57" s="396">
        <f>VLOOKUP($B57,'[13]Div 9 forecast'!$D$518:$AF$599,24,FALSE)</f>
        <v>0</v>
      </c>
      <c r="K57" s="396">
        <f>VLOOKUP($B57,'[13]Div 9 forecast'!$D$518:$AF$599,25,FALSE)</f>
        <v>0</v>
      </c>
      <c r="L57" s="396">
        <f>VLOOKUP($B57,'[13]Div 9 forecast'!$D$518:$AF$599,26,FALSE)</f>
        <v>0</v>
      </c>
      <c r="M57" s="396">
        <f>VLOOKUP($B57,'[13]Div 9 forecast'!$D$518:$AF$599,27,FALSE)</f>
        <v>0</v>
      </c>
      <c r="N57" s="396">
        <f>VLOOKUP($B57,'[13]Div 9 forecast'!$D$518:$AF$599,28,FALSE)</f>
        <v>0</v>
      </c>
      <c r="O57" s="396">
        <f>VLOOKUP($B57,'[13]Div 9 forecast'!$D$518:$AF$599,29,FALSE)</f>
        <v>0</v>
      </c>
      <c r="P57" s="81">
        <f t="shared" si="3"/>
        <v>0</v>
      </c>
      <c r="Q57" s="81"/>
      <c r="R57" s="902"/>
      <c r="S57" s="81"/>
      <c r="Y57" s="901"/>
    </row>
    <row r="58" spans="1:25">
      <c r="A58" s="854">
        <f t="shared" si="0"/>
        <v>47</v>
      </c>
      <c r="B58" s="706">
        <v>8360</v>
      </c>
      <c r="C58" s="81" t="s">
        <v>915</v>
      </c>
      <c r="D58" s="396">
        <f>VLOOKUP($B58,'[13]Div 9 forecast'!$D$518:$AF$599,18,FALSE)</f>
        <v>0</v>
      </c>
      <c r="E58" s="396">
        <f>VLOOKUP($B58,'[13]Div 9 forecast'!$D$518:$AF$599,19,FALSE)</f>
        <v>0</v>
      </c>
      <c r="F58" s="396">
        <f>VLOOKUP($B58,'[13]Div 9 forecast'!$D$518:$AF$599,20,FALSE)</f>
        <v>0</v>
      </c>
      <c r="G58" s="396">
        <f>VLOOKUP($B58,'[13]Div 9 forecast'!$D$518:$AF$599,21,FALSE)</f>
        <v>0</v>
      </c>
      <c r="H58" s="396">
        <f>VLOOKUP($B58,'[13]Div 9 forecast'!$D$518:$AF$599,22,FALSE)</f>
        <v>0</v>
      </c>
      <c r="I58" s="396">
        <f>VLOOKUP($B58,'[13]Div 9 forecast'!$D$518:$AF$599,23,FALSE)</f>
        <v>0</v>
      </c>
      <c r="J58" s="396">
        <f>VLOOKUP($B58,'[13]Div 9 forecast'!$D$518:$AF$599,24,FALSE)</f>
        <v>0</v>
      </c>
      <c r="K58" s="396">
        <f>VLOOKUP($B58,'[13]Div 9 forecast'!$D$518:$AF$599,25,FALSE)</f>
        <v>0</v>
      </c>
      <c r="L58" s="396">
        <f>VLOOKUP($B58,'[13]Div 9 forecast'!$D$518:$AF$599,26,FALSE)</f>
        <v>0</v>
      </c>
      <c r="M58" s="396">
        <f>VLOOKUP($B58,'[13]Div 9 forecast'!$D$518:$AF$599,27,FALSE)</f>
        <v>0</v>
      </c>
      <c r="N58" s="396">
        <f>VLOOKUP($B58,'[13]Div 9 forecast'!$D$518:$AF$599,28,FALSE)</f>
        <v>0</v>
      </c>
      <c r="O58" s="396">
        <f>VLOOKUP($B58,'[13]Div 9 forecast'!$D$518:$AF$599,29,FALSE)</f>
        <v>0</v>
      </c>
      <c r="P58" s="81">
        <f t="shared" ref="P58:P94" si="4">SUM(D58:O58)</f>
        <v>0</v>
      </c>
      <c r="Q58" s="81"/>
      <c r="R58" s="902"/>
      <c r="S58" s="81"/>
      <c r="Y58" s="901"/>
    </row>
    <row r="59" spans="1:25">
      <c r="A59" s="854">
        <f t="shared" si="0"/>
        <v>48</v>
      </c>
      <c r="B59" s="706">
        <v>8370</v>
      </c>
      <c r="C59" s="81" t="s">
        <v>1360</v>
      </c>
      <c r="D59" s="396">
        <f>VLOOKUP($B59,'[13]Div 9 forecast'!$D$518:$AF$599,18,FALSE)</f>
        <v>0</v>
      </c>
      <c r="E59" s="396">
        <f>VLOOKUP($B59,'[13]Div 9 forecast'!$D$518:$AF$599,19,FALSE)</f>
        <v>0</v>
      </c>
      <c r="F59" s="396">
        <f>VLOOKUP($B59,'[13]Div 9 forecast'!$D$518:$AF$599,20,FALSE)</f>
        <v>0</v>
      </c>
      <c r="G59" s="396">
        <f>VLOOKUP($B59,'[13]Div 9 forecast'!$D$518:$AF$599,21,FALSE)</f>
        <v>0</v>
      </c>
      <c r="H59" s="396">
        <f>VLOOKUP($B59,'[13]Div 9 forecast'!$D$518:$AF$599,22,FALSE)</f>
        <v>0</v>
      </c>
      <c r="I59" s="396">
        <f>VLOOKUP($B59,'[13]Div 9 forecast'!$D$518:$AF$599,23,FALSE)</f>
        <v>0</v>
      </c>
      <c r="J59" s="396">
        <f>VLOOKUP($B59,'[13]Div 9 forecast'!$D$518:$AF$599,24,FALSE)</f>
        <v>0</v>
      </c>
      <c r="K59" s="396">
        <f>VLOOKUP($B59,'[13]Div 9 forecast'!$D$518:$AF$599,25,FALSE)</f>
        <v>0</v>
      </c>
      <c r="L59" s="396">
        <f>VLOOKUP($B59,'[13]Div 9 forecast'!$D$518:$AF$599,26,FALSE)</f>
        <v>0</v>
      </c>
      <c r="M59" s="396">
        <f>VLOOKUP($B59,'[13]Div 9 forecast'!$D$518:$AF$599,27,FALSE)</f>
        <v>0</v>
      </c>
      <c r="N59" s="396">
        <f>VLOOKUP($B59,'[13]Div 9 forecast'!$D$518:$AF$599,28,FALSE)</f>
        <v>0</v>
      </c>
      <c r="O59" s="396">
        <f>VLOOKUP($B59,'[13]Div 9 forecast'!$D$518:$AF$599,29,FALSE)</f>
        <v>0</v>
      </c>
      <c r="P59" s="81">
        <f t="shared" si="4"/>
        <v>0</v>
      </c>
      <c r="Q59" s="81"/>
      <c r="R59" s="902"/>
      <c r="S59" s="81"/>
      <c r="Y59" s="901"/>
    </row>
    <row r="60" spans="1:25">
      <c r="A60" s="854">
        <f t="shared" si="0"/>
        <v>49</v>
      </c>
      <c r="B60" s="706">
        <v>8410</v>
      </c>
      <c r="C60" s="81" t="s">
        <v>189</v>
      </c>
      <c r="D60" s="396">
        <f>VLOOKUP($B60,'[13]Div 9 forecast'!$D$518:$AF$599,18,FALSE)</f>
        <v>10408.832603967065</v>
      </c>
      <c r="E60" s="396">
        <f>VLOOKUP($B60,'[13]Div 9 forecast'!$D$518:$AF$599,19,FALSE)</f>
        <v>11255.366442274086</v>
      </c>
      <c r="F60" s="396">
        <f>VLOOKUP($B60,'[13]Div 9 forecast'!$D$518:$AF$599,20,FALSE)</f>
        <v>10451.743604379424</v>
      </c>
      <c r="G60" s="396">
        <f>VLOOKUP($B60,'[13]Div 9 forecast'!$D$518:$AF$599,21,FALSE)</f>
        <v>10821.042494978063</v>
      </c>
      <c r="H60" s="396">
        <f>VLOOKUP($B60,'[13]Div 9 forecast'!$D$518:$AF$599,22,FALSE)</f>
        <v>11280.582775455803</v>
      </c>
      <c r="I60" s="396">
        <f>VLOOKUP($B60,'[13]Div 9 forecast'!$D$518:$AF$599,23,FALSE)</f>
        <v>10013.564685405005</v>
      </c>
      <c r="J60" s="396">
        <f>VLOOKUP($B60,'[13]Div 9 forecast'!$D$518:$AF$599,24,FALSE)</f>
        <v>11168.851555828754</v>
      </c>
      <c r="K60" s="396">
        <f>VLOOKUP($B60,'[13]Div 9 forecast'!$D$518:$AF$599,25,FALSE)</f>
        <v>11166.570919519587</v>
      </c>
      <c r="L60" s="396">
        <f>VLOOKUP($B60,'[13]Div 9 forecast'!$D$518:$AF$599,26,FALSE)</f>
        <v>10733.260352382613</v>
      </c>
      <c r="M60" s="396">
        <f>VLOOKUP($B60,'[13]Div 9 forecast'!$D$518:$AF$599,27,FALSE)</f>
        <v>11592.34461618907</v>
      </c>
      <c r="N60" s="396">
        <f>VLOOKUP($B60,'[13]Div 9 forecast'!$D$518:$AF$599,28,FALSE)</f>
        <v>10304.321248945038</v>
      </c>
      <c r="O60" s="396">
        <f>VLOOKUP($B60,'[13]Div 9 forecast'!$D$518:$AF$599,29,FALSE)</f>
        <v>11200.196713117186</v>
      </c>
      <c r="P60" s="81">
        <f t="shared" si="4"/>
        <v>130396.67801244168</v>
      </c>
      <c r="Q60" s="81"/>
      <c r="R60" s="902"/>
      <c r="S60" s="81"/>
      <c r="Y60" s="901"/>
    </row>
    <row r="61" spans="1:25">
      <c r="A61" s="854">
        <f t="shared" si="0"/>
        <v>50</v>
      </c>
      <c r="B61" s="706">
        <v>8520</v>
      </c>
      <c r="C61" s="81" t="s">
        <v>1361</v>
      </c>
      <c r="D61" s="396">
        <f>VLOOKUP($B61,'[13]Div 9 forecast'!$D$518:$AF$599,18,FALSE)</f>
        <v>0</v>
      </c>
      <c r="E61" s="396">
        <f>VLOOKUP($B61,'[13]Div 9 forecast'!$D$518:$AF$599,19,FALSE)</f>
        <v>0</v>
      </c>
      <c r="F61" s="396">
        <f>VLOOKUP($B61,'[13]Div 9 forecast'!$D$518:$AF$599,20,FALSE)</f>
        <v>0</v>
      </c>
      <c r="G61" s="396">
        <f>VLOOKUP($B61,'[13]Div 9 forecast'!$D$518:$AF$599,21,FALSE)</f>
        <v>0</v>
      </c>
      <c r="H61" s="396">
        <f>VLOOKUP($B61,'[13]Div 9 forecast'!$D$518:$AF$599,22,FALSE)</f>
        <v>0</v>
      </c>
      <c r="I61" s="396">
        <f>VLOOKUP($B61,'[13]Div 9 forecast'!$D$518:$AF$599,23,FALSE)</f>
        <v>0</v>
      </c>
      <c r="J61" s="396">
        <f>VLOOKUP($B61,'[13]Div 9 forecast'!$D$518:$AF$599,24,FALSE)</f>
        <v>0</v>
      </c>
      <c r="K61" s="396">
        <f>VLOOKUP($B61,'[13]Div 9 forecast'!$D$518:$AF$599,25,FALSE)</f>
        <v>0</v>
      </c>
      <c r="L61" s="396">
        <f>VLOOKUP($B61,'[13]Div 9 forecast'!$D$518:$AF$599,26,FALSE)</f>
        <v>0</v>
      </c>
      <c r="M61" s="396">
        <f>VLOOKUP($B61,'[13]Div 9 forecast'!$D$518:$AF$599,27,FALSE)</f>
        <v>0</v>
      </c>
      <c r="N61" s="396">
        <f>VLOOKUP($B61,'[13]Div 9 forecast'!$D$518:$AF$599,28,FALSE)</f>
        <v>0</v>
      </c>
      <c r="O61" s="396">
        <f>VLOOKUP($B61,'[13]Div 9 forecast'!$D$518:$AF$599,29,FALSE)</f>
        <v>0</v>
      </c>
      <c r="P61" s="81">
        <f t="shared" si="4"/>
        <v>0</v>
      </c>
      <c r="Q61" s="81"/>
      <c r="R61" s="902"/>
      <c r="S61" s="81"/>
      <c r="Y61" s="901"/>
    </row>
    <row r="62" spans="1:25">
      <c r="A62" s="854">
        <f t="shared" si="0"/>
        <v>51</v>
      </c>
      <c r="B62" s="706">
        <v>8550</v>
      </c>
      <c r="C62" s="103" t="s">
        <v>1416</v>
      </c>
      <c r="D62" s="396">
        <f>VLOOKUP($B62,'[13]Div 9 forecast'!$D$518:$AF$599,18,FALSE)</f>
        <v>24.021594459171855</v>
      </c>
      <c r="E62" s="396">
        <f>VLOOKUP($B62,'[13]Div 9 forecast'!$D$518:$AF$599,19,FALSE)</f>
        <v>25.255338897441277</v>
      </c>
      <c r="F62" s="396">
        <f>VLOOKUP($B62,'[13]Div 9 forecast'!$D$518:$AF$599,20,FALSE)</f>
        <v>26.014668108202773</v>
      </c>
      <c r="G62" s="396">
        <f>VLOOKUP($B62,'[13]Div 9 forecast'!$D$518:$AF$599,21,FALSE)</f>
        <v>23.747987394810362</v>
      </c>
      <c r="H62" s="396">
        <f>VLOOKUP($B62,'[13]Div 9 forecast'!$D$518:$AF$599,22,FALSE)</f>
        <v>24.902826742933499</v>
      </c>
      <c r="I62" s="396">
        <f>VLOOKUP($B62,'[13]Div 9 forecast'!$D$518:$AF$599,23,FALSE)</f>
        <v>22.470894108336076</v>
      </c>
      <c r="J62" s="396">
        <f>VLOOKUP($B62,'[13]Div 9 forecast'!$D$518:$AF$599,24,FALSE)</f>
        <v>23.983004929679819</v>
      </c>
      <c r="K62" s="396">
        <f>VLOOKUP($B62,'[13]Div 9 forecast'!$D$518:$AF$599,25,FALSE)</f>
        <v>26.462655252013988</v>
      </c>
      <c r="L62" s="396">
        <f>VLOOKUP($B62,'[13]Div 9 forecast'!$D$518:$AF$599,26,FALSE)</f>
        <v>23.101880169170904</v>
      </c>
      <c r="M62" s="396">
        <f>VLOOKUP($B62,'[13]Div 9 forecast'!$D$518:$AF$599,27,FALSE)</f>
        <v>25.847741087902634</v>
      </c>
      <c r="N62" s="396">
        <f>VLOOKUP($B62,'[13]Div 9 forecast'!$D$518:$AF$599,28,FALSE)</f>
        <v>25.863875234930322</v>
      </c>
      <c r="O62" s="396">
        <f>VLOOKUP($B62,'[13]Div 9 forecast'!$D$518:$AF$599,29,FALSE)</f>
        <v>25.121155537155939</v>
      </c>
      <c r="P62" s="81">
        <f t="shared" si="4"/>
        <v>296.79362192174943</v>
      </c>
      <c r="Q62" s="81"/>
      <c r="R62" s="902"/>
      <c r="S62" s="81"/>
      <c r="Y62" s="901"/>
    </row>
    <row r="63" spans="1:25">
      <c r="A63" s="854">
        <f t="shared" si="0"/>
        <v>52</v>
      </c>
      <c r="B63" s="706">
        <v>8560</v>
      </c>
      <c r="C63" s="81" t="s">
        <v>917</v>
      </c>
      <c r="D63" s="396">
        <f>VLOOKUP($B63,'[13]Div 9 forecast'!$D$518:$AF$599,18,FALSE)</f>
        <v>20653.354607600446</v>
      </c>
      <c r="E63" s="396">
        <f>VLOOKUP($B63,'[13]Div 9 forecast'!$D$518:$AF$599,19,FALSE)</f>
        <v>21413.127017825293</v>
      </c>
      <c r="F63" s="396">
        <f>VLOOKUP($B63,'[13]Div 9 forecast'!$D$518:$AF$599,20,FALSE)</f>
        <v>22604.660465328059</v>
      </c>
      <c r="G63" s="396">
        <f>VLOOKUP($B63,'[13]Div 9 forecast'!$D$518:$AF$599,21,FALSE)</f>
        <v>22903.908437080365</v>
      </c>
      <c r="H63" s="396">
        <f>VLOOKUP($B63,'[13]Div 9 forecast'!$D$518:$AF$599,22,FALSE)</f>
        <v>22070.79105335334</v>
      </c>
      <c r="I63" s="396">
        <f>VLOOKUP($B63,'[13]Div 9 forecast'!$D$518:$AF$599,23,FALSE)</f>
        <v>19869.170183180868</v>
      </c>
      <c r="J63" s="396">
        <f>VLOOKUP($B63,'[13]Div 9 forecast'!$D$518:$AF$599,24,FALSE)</f>
        <v>20589.612092110081</v>
      </c>
      <c r="K63" s="396">
        <f>VLOOKUP($B63,'[13]Div 9 forecast'!$D$518:$AF$599,25,FALSE)</f>
        <v>20972.776584521442</v>
      </c>
      <c r="L63" s="396">
        <f>VLOOKUP($B63,'[13]Div 9 forecast'!$D$518:$AF$599,26,FALSE)</f>
        <v>20386.666356758484</v>
      </c>
      <c r="M63" s="396">
        <f>VLOOKUP($B63,'[13]Div 9 forecast'!$D$518:$AF$599,27,FALSE)</f>
        <v>22300.335191922761</v>
      </c>
      <c r="N63" s="396">
        <f>VLOOKUP($B63,'[13]Div 9 forecast'!$D$518:$AF$599,28,FALSE)</f>
        <v>20709.816303744279</v>
      </c>
      <c r="O63" s="396">
        <f>VLOOKUP($B63,'[13]Div 9 forecast'!$D$518:$AF$599,29,FALSE)</f>
        <v>21316.074021127384</v>
      </c>
      <c r="P63" s="81">
        <f t="shared" si="4"/>
        <v>255790.29231455276</v>
      </c>
      <c r="Q63" s="81"/>
      <c r="R63" s="902"/>
      <c r="S63" s="81"/>
      <c r="Y63" s="901"/>
    </row>
    <row r="64" spans="1:25">
      <c r="A64" s="854">
        <f t="shared" si="0"/>
        <v>53</v>
      </c>
      <c r="B64" s="706">
        <v>8570</v>
      </c>
      <c r="C64" s="81" t="s">
        <v>918</v>
      </c>
      <c r="D64" s="396">
        <f>VLOOKUP($B64,'[13]Div 9 forecast'!$D$518:$AF$599,18,FALSE)</f>
        <v>867.2022732961758</v>
      </c>
      <c r="E64" s="396">
        <f>VLOOKUP($B64,'[13]Div 9 forecast'!$D$518:$AF$599,19,FALSE)</f>
        <v>933.35155146746149</v>
      </c>
      <c r="F64" s="396">
        <f>VLOOKUP($B64,'[13]Div 9 forecast'!$D$518:$AF$599,20,FALSE)</f>
        <v>992.94683307658886</v>
      </c>
      <c r="G64" s="396">
        <f>VLOOKUP($B64,'[13]Div 9 forecast'!$D$518:$AF$599,21,FALSE)</f>
        <v>969.04395793438266</v>
      </c>
      <c r="H64" s="396">
        <f>VLOOKUP($B64,'[13]Div 9 forecast'!$D$518:$AF$599,22,FALSE)</f>
        <v>959.60557116369114</v>
      </c>
      <c r="I64" s="396">
        <f>VLOOKUP($B64,'[13]Div 9 forecast'!$D$518:$AF$599,23,FALSE)</f>
        <v>838.90476526594784</v>
      </c>
      <c r="J64" s="396">
        <f>VLOOKUP($B64,'[13]Div 9 forecast'!$D$518:$AF$599,24,FALSE)</f>
        <v>855.60110059731494</v>
      </c>
      <c r="K64" s="396">
        <f>VLOOKUP($B64,'[13]Div 9 forecast'!$D$518:$AF$599,25,FALSE)</f>
        <v>920.66950253895368</v>
      </c>
      <c r="L64" s="396">
        <f>VLOOKUP($B64,'[13]Div 9 forecast'!$D$518:$AF$599,26,FALSE)</f>
        <v>875.056243694969</v>
      </c>
      <c r="M64" s="396">
        <f>VLOOKUP($B64,'[13]Div 9 forecast'!$D$518:$AF$599,27,FALSE)</f>
        <v>977.38901554894846</v>
      </c>
      <c r="N64" s="396">
        <f>VLOOKUP($B64,'[13]Div 9 forecast'!$D$518:$AF$599,28,FALSE)</f>
        <v>969.04257198099822</v>
      </c>
      <c r="O64" s="396">
        <f>VLOOKUP($B64,'[13]Div 9 forecast'!$D$518:$AF$599,29,FALSE)</f>
        <v>923.25305471336242</v>
      </c>
      <c r="P64" s="81">
        <f t="shared" si="4"/>
        <v>11082.066441278794</v>
      </c>
      <c r="Q64" s="81"/>
      <c r="R64" s="902"/>
      <c r="S64" s="81"/>
      <c r="Y64" s="901"/>
    </row>
    <row r="65" spans="1:25">
      <c r="A65" s="854">
        <f t="shared" si="0"/>
        <v>54</v>
      </c>
      <c r="B65" s="706">
        <v>8630</v>
      </c>
      <c r="C65" s="81" t="s">
        <v>919</v>
      </c>
      <c r="D65" s="396">
        <f>VLOOKUP($B65,'[13]Div 9 forecast'!$D$518:$AF$599,18,FALSE)</f>
        <v>241.81420419907505</v>
      </c>
      <c r="E65" s="396">
        <f>VLOOKUP($B65,'[13]Div 9 forecast'!$D$518:$AF$599,19,FALSE)</f>
        <v>221.39869195829604</v>
      </c>
      <c r="F65" s="396">
        <f>VLOOKUP($B65,'[13]Div 9 forecast'!$D$518:$AF$599,20,FALSE)</f>
        <v>483.18216736657087</v>
      </c>
      <c r="G65" s="396">
        <f>VLOOKUP($B65,'[13]Div 9 forecast'!$D$518:$AF$599,21,FALSE)</f>
        <v>425.78612893657964</v>
      </c>
      <c r="H65" s="396">
        <f>VLOOKUP($B65,'[13]Div 9 forecast'!$D$518:$AF$599,22,FALSE)</f>
        <v>261.77288944619136</v>
      </c>
      <c r="I65" s="396">
        <f>VLOOKUP($B65,'[13]Div 9 forecast'!$D$518:$AF$599,23,FALSE)</f>
        <v>262.51433452678117</v>
      </c>
      <c r="J65" s="396">
        <f>VLOOKUP($B65,'[13]Div 9 forecast'!$D$518:$AF$599,24,FALSE)</f>
        <v>229.73283193450925</v>
      </c>
      <c r="K65" s="396">
        <f>VLOOKUP($B65,'[13]Div 9 forecast'!$D$518:$AF$599,25,FALSE)</f>
        <v>241.07688424151195</v>
      </c>
      <c r="L65" s="396">
        <f>VLOOKUP($B65,'[13]Div 9 forecast'!$D$518:$AF$599,26,FALSE)</f>
        <v>167.2272803864679</v>
      </c>
      <c r="M65" s="396">
        <f>VLOOKUP($B65,'[13]Div 9 forecast'!$D$518:$AF$599,27,FALSE)</f>
        <v>187.69501552837283</v>
      </c>
      <c r="N65" s="396">
        <f>VLOOKUP($B65,'[13]Div 9 forecast'!$D$518:$AF$599,28,FALSE)</f>
        <v>170.32859100559119</v>
      </c>
      <c r="O65" s="396">
        <f>VLOOKUP($B65,'[13]Div 9 forecast'!$D$518:$AF$599,29,FALSE)</f>
        <v>198.74235567939019</v>
      </c>
      <c r="P65" s="81">
        <f t="shared" si="4"/>
        <v>3091.2713752093377</v>
      </c>
      <c r="Q65" s="81"/>
      <c r="R65" s="902"/>
      <c r="S65" s="81"/>
      <c r="Y65" s="901"/>
    </row>
    <row r="66" spans="1:25">
      <c r="A66" s="854">
        <f t="shared" si="0"/>
        <v>55</v>
      </c>
      <c r="B66" s="706">
        <v>8640</v>
      </c>
      <c r="C66" s="81" t="s">
        <v>1362</v>
      </c>
      <c r="D66" s="396">
        <f>VLOOKUP($B66,'[13]Div 9 forecast'!$D$518:$AF$599,18,FALSE)</f>
        <v>0</v>
      </c>
      <c r="E66" s="396">
        <f>VLOOKUP($B66,'[13]Div 9 forecast'!$D$518:$AF$599,19,FALSE)</f>
        <v>0</v>
      </c>
      <c r="F66" s="396">
        <f>VLOOKUP($B66,'[13]Div 9 forecast'!$D$518:$AF$599,20,FALSE)</f>
        <v>0</v>
      </c>
      <c r="G66" s="396">
        <f>VLOOKUP($B66,'[13]Div 9 forecast'!$D$518:$AF$599,21,FALSE)</f>
        <v>0</v>
      </c>
      <c r="H66" s="396">
        <f>VLOOKUP($B66,'[13]Div 9 forecast'!$D$518:$AF$599,22,FALSE)</f>
        <v>0</v>
      </c>
      <c r="I66" s="396">
        <f>VLOOKUP($B66,'[13]Div 9 forecast'!$D$518:$AF$599,23,FALSE)</f>
        <v>0</v>
      </c>
      <c r="J66" s="396">
        <f>VLOOKUP($B66,'[13]Div 9 forecast'!$D$518:$AF$599,24,FALSE)</f>
        <v>0</v>
      </c>
      <c r="K66" s="396">
        <f>VLOOKUP($B66,'[13]Div 9 forecast'!$D$518:$AF$599,25,FALSE)</f>
        <v>0</v>
      </c>
      <c r="L66" s="396">
        <f>VLOOKUP($B66,'[13]Div 9 forecast'!$D$518:$AF$599,26,FALSE)</f>
        <v>0</v>
      </c>
      <c r="M66" s="396">
        <f>VLOOKUP($B66,'[13]Div 9 forecast'!$D$518:$AF$599,27,FALSE)</f>
        <v>0</v>
      </c>
      <c r="N66" s="396">
        <f>VLOOKUP($B66,'[13]Div 9 forecast'!$D$518:$AF$599,28,FALSE)</f>
        <v>0</v>
      </c>
      <c r="O66" s="396">
        <f>VLOOKUP($B66,'[13]Div 9 forecast'!$D$518:$AF$599,29,FALSE)</f>
        <v>0</v>
      </c>
      <c r="P66" s="81">
        <f t="shared" si="4"/>
        <v>0</v>
      </c>
      <c r="Q66" s="81"/>
      <c r="R66" s="902"/>
      <c r="S66" s="81"/>
      <c r="Y66" s="901"/>
    </row>
    <row r="67" spans="1:25">
      <c r="A67" s="854">
        <f t="shared" si="0"/>
        <v>56</v>
      </c>
      <c r="B67" s="706">
        <v>8650</v>
      </c>
      <c r="C67" s="81" t="s">
        <v>920</v>
      </c>
      <c r="D67" s="396">
        <f>VLOOKUP($B67,'[13]Div 9 forecast'!$D$518:$AF$599,18,FALSE)</f>
        <v>28.738121753177911</v>
      </c>
      <c r="E67" s="396">
        <f>VLOOKUP($B67,'[13]Div 9 forecast'!$D$518:$AF$599,19,FALSE)</f>
        <v>32.609956343663079</v>
      </c>
      <c r="F67" s="396">
        <f>VLOOKUP($B67,'[13]Div 9 forecast'!$D$518:$AF$599,20,FALSE)</f>
        <v>44.384781984157271</v>
      </c>
      <c r="G67" s="396">
        <f>VLOOKUP($B67,'[13]Div 9 forecast'!$D$518:$AF$599,21,FALSE)</f>
        <v>45.644369772014741</v>
      </c>
      <c r="H67" s="396">
        <f>VLOOKUP($B67,'[13]Div 9 forecast'!$D$518:$AF$599,22,FALSE)</f>
        <v>38.365979670778195</v>
      </c>
      <c r="I67" s="396">
        <f>VLOOKUP($B67,'[13]Div 9 forecast'!$D$518:$AF$599,23,FALSE)</f>
        <v>30.666072129381096</v>
      </c>
      <c r="J67" s="396">
        <f>VLOOKUP($B67,'[13]Div 9 forecast'!$D$518:$AF$599,24,FALSE)</f>
        <v>23.511288983437701</v>
      </c>
      <c r="K67" s="396">
        <f>VLOOKUP($B67,'[13]Div 9 forecast'!$D$518:$AF$599,25,FALSE)</f>
        <v>26.917684880612466</v>
      </c>
      <c r="L67" s="396">
        <f>VLOOKUP($B67,'[13]Div 9 forecast'!$D$518:$AF$599,26,FALSE)</f>
        <v>31.720231740225405</v>
      </c>
      <c r="M67" s="396">
        <f>VLOOKUP($B67,'[13]Div 9 forecast'!$D$518:$AF$599,27,FALSE)</f>
        <v>36.942099977341407</v>
      </c>
      <c r="N67" s="396">
        <f>VLOOKUP($B67,'[13]Div 9 forecast'!$D$518:$AF$599,28,FALSE)</f>
        <v>41.230971820009188</v>
      </c>
      <c r="O67" s="396">
        <f>VLOOKUP($B67,'[13]Div 9 forecast'!$D$518:$AF$599,29,FALSE)</f>
        <v>31.716098298982853</v>
      </c>
      <c r="P67" s="81">
        <f t="shared" si="4"/>
        <v>412.44765735378132</v>
      </c>
      <c r="Q67" s="81"/>
      <c r="R67" s="902"/>
      <c r="S67" s="81"/>
      <c r="Y67" s="901"/>
    </row>
    <row r="68" spans="1:25">
      <c r="A68" s="854">
        <f t="shared" si="0"/>
        <v>57</v>
      </c>
      <c r="B68" s="706">
        <v>8700</v>
      </c>
      <c r="C68" s="81" t="s">
        <v>921</v>
      </c>
      <c r="D68" s="396">
        <f>VLOOKUP($B68,'[13]Div 9 forecast'!$D$518:$AF$599,18,FALSE)</f>
        <v>92564.239702975581</v>
      </c>
      <c r="E68" s="396">
        <f>VLOOKUP($B68,'[13]Div 9 forecast'!$D$518:$AF$599,19,FALSE)</f>
        <v>105005.49629126437</v>
      </c>
      <c r="F68" s="396">
        <f>VLOOKUP($B68,'[13]Div 9 forecast'!$D$518:$AF$599,20,FALSE)</f>
        <v>109524.27804384471</v>
      </c>
      <c r="G68" s="396">
        <f>VLOOKUP($B68,'[13]Div 9 forecast'!$D$518:$AF$599,21,FALSE)</f>
        <v>95967.222744122206</v>
      </c>
      <c r="H68" s="396">
        <f>VLOOKUP($B68,'[13]Div 9 forecast'!$D$518:$AF$599,22,FALSE)</f>
        <v>108635.74899062631</v>
      </c>
      <c r="I68" s="396">
        <f>VLOOKUP($B68,'[13]Div 9 forecast'!$D$518:$AF$599,23,FALSE)</f>
        <v>98817.066771913436</v>
      </c>
      <c r="J68" s="396">
        <f>VLOOKUP($B68,'[13]Div 9 forecast'!$D$518:$AF$599,24,FALSE)</f>
        <v>96312.105542517893</v>
      </c>
      <c r="K68" s="396">
        <f>VLOOKUP($B68,'[13]Div 9 forecast'!$D$518:$AF$599,25,FALSE)</f>
        <v>99377.574970275004</v>
      </c>
      <c r="L68" s="396">
        <f>VLOOKUP($B68,'[13]Div 9 forecast'!$D$518:$AF$599,26,FALSE)</f>
        <v>96494.358623313849</v>
      </c>
      <c r="M68" s="396">
        <f>VLOOKUP($B68,'[13]Div 9 forecast'!$D$518:$AF$599,27,FALSE)</f>
        <v>102575.1920658216</v>
      </c>
      <c r="N68" s="396">
        <f>VLOOKUP($B68,'[13]Div 9 forecast'!$D$518:$AF$599,28,FALSE)</f>
        <v>96667.087155974412</v>
      </c>
      <c r="O68" s="396">
        <f>VLOOKUP($B68,'[13]Div 9 forecast'!$D$518:$AF$599,29,FALSE)</f>
        <v>105999.6907141237</v>
      </c>
      <c r="P68" s="81">
        <f t="shared" si="4"/>
        <v>1207940.061616773</v>
      </c>
      <c r="Q68" s="81"/>
      <c r="R68" s="902"/>
      <c r="S68" s="81"/>
      <c r="Y68" s="901"/>
    </row>
    <row r="69" spans="1:25">
      <c r="A69" s="854">
        <f t="shared" si="0"/>
        <v>58</v>
      </c>
      <c r="B69" s="706">
        <v>8710</v>
      </c>
      <c r="C69" s="81" t="s">
        <v>922</v>
      </c>
      <c r="D69" s="396">
        <f>VLOOKUP($B69,'[13]Div 9 forecast'!$D$518:$AF$599,18,FALSE)</f>
        <v>79.813857090334238</v>
      </c>
      <c r="E69" s="396">
        <f>VLOOKUP($B69,'[13]Div 9 forecast'!$D$518:$AF$599,19,FALSE)</f>
        <v>83.913081329982191</v>
      </c>
      <c r="F69" s="396">
        <f>VLOOKUP($B69,'[13]Div 9 forecast'!$D$518:$AF$599,20,FALSE)</f>
        <v>86.43601931460438</v>
      </c>
      <c r="G69" s="396">
        <f>VLOOKUP($B69,'[13]Div 9 forecast'!$D$518:$AF$599,21,FALSE)</f>
        <v>78.90477359169428</v>
      </c>
      <c r="H69" s="396">
        <f>VLOOKUP($B69,'[13]Div 9 forecast'!$D$518:$AF$599,22,FALSE)</f>
        <v>82.741828740138104</v>
      </c>
      <c r="I69" s="396">
        <f>VLOOKUP($B69,'[13]Div 9 forecast'!$D$518:$AF$599,23,FALSE)</f>
        <v>74.661518997128198</v>
      </c>
      <c r="J69" s="396">
        <f>VLOOKUP($B69,'[13]Div 9 forecast'!$D$518:$AF$599,24,FALSE)</f>
        <v>79.685639989787674</v>
      </c>
      <c r="K69" s="396">
        <f>VLOOKUP($B69,'[13]Div 9 forecast'!$D$518:$AF$599,25,FALSE)</f>
        <v>87.92449594071789</v>
      </c>
      <c r="L69" s="396">
        <f>VLOOKUP($B69,'[13]Div 9 forecast'!$D$518:$AF$599,26,FALSE)</f>
        <v>76.758025595433352</v>
      </c>
      <c r="M69" s="396">
        <f>VLOOKUP($B69,'[13]Div 9 forecast'!$D$518:$AF$599,27,FALSE)</f>
        <v>85.881389630659157</v>
      </c>
      <c r="N69" s="396">
        <f>VLOOKUP($B69,'[13]Div 9 forecast'!$D$518:$AF$599,28,FALSE)</f>
        <v>85.934996751007944</v>
      </c>
      <c r="O69" s="396">
        <f>VLOOKUP($B69,'[13]Div 9 forecast'!$D$518:$AF$599,29,FALSE)</f>
        <v>83.467245331879852</v>
      </c>
      <c r="P69" s="81">
        <f t="shared" si="4"/>
        <v>986.12287230336733</v>
      </c>
      <c r="Q69" s="81"/>
      <c r="R69" s="902"/>
      <c r="S69" s="81"/>
      <c r="Y69" s="901"/>
    </row>
    <row r="70" spans="1:25">
      <c r="A70" s="854">
        <f t="shared" si="0"/>
        <v>59</v>
      </c>
      <c r="B70" s="706">
        <v>8711</v>
      </c>
      <c r="C70" s="103" t="s">
        <v>190</v>
      </c>
      <c r="D70" s="396">
        <f>VLOOKUP($B70,'[13]Div 9 forecast'!$D$518:$AF$599,18,FALSE)</f>
        <v>186.17932559345147</v>
      </c>
      <c r="E70" s="396">
        <f>VLOOKUP($B70,'[13]Div 9 forecast'!$D$518:$AF$599,19,FALSE)</f>
        <v>209.85713071180845</v>
      </c>
      <c r="F70" s="396">
        <f>VLOOKUP($B70,'[13]Div 9 forecast'!$D$518:$AF$599,20,FALSE)</f>
        <v>286.46395991172483</v>
      </c>
      <c r="G70" s="396">
        <f>VLOOKUP($B70,'[13]Div 9 forecast'!$D$518:$AF$599,21,FALSE)</f>
        <v>287.38597506263824</v>
      </c>
      <c r="H70" s="396">
        <f>VLOOKUP($B70,'[13]Div 9 forecast'!$D$518:$AF$599,22,FALSE)</f>
        <v>247.94047850253054</v>
      </c>
      <c r="I70" s="396">
        <f>VLOOKUP($B70,'[13]Div 9 forecast'!$D$518:$AF$599,23,FALSE)</f>
        <v>201.30644988586727</v>
      </c>
      <c r="J70" s="396">
        <f>VLOOKUP($B70,'[13]Div 9 forecast'!$D$518:$AF$599,24,FALSE)</f>
        <v>156.44108561843723</v>
      </c>
      <c r="K70" s="396">
        <f>VLOOKUP($B70,'[13]Div 9 forecast'!$D$518:$AF$599,25,FALSE)</f>
        <v>176.80583371340151</v>
      </c>
      <c r="L70" s="396">
        <f>VLOOKUP($B70,'[13]Div 9 forecast'!$D$518:$AF$599,26,FALSE)</f>
        <v>206.1541359559603</v>
      </c>
      <c r="M70" s="396">
        <f>VLOOKUP($B70,'[13]Div 9 forecast'!$D$518:$AF$599,27,FALSE)</f>
        <v>236.40078718237248</v>
      </c>
      <c r="N70" s="396">
        <f>VLOOKUP($B70,'[13]Div 9 forecast'!$D$518:$AF$599,28,FALSE)</f>
        <v>264.60005451153529</v>
      </c>
      <c r="O70" s="396">
        <f>VLOOKUP($B70,'[13]Div 9 forecast'!$D$518:$AF$599,29,FALSE)</f>
        <v>210.14537831235214</v>
      </c>
      <c r="P70" s="81">
        <f t="shared" si="4"/>
        <v>2669.6805949620798</v>
      </c>
      <c r="Q70" s="81"/>
      <c r="R70" s="902"/>
      <c r="S70" s="81"/>
      <c r="Y70" s="901"/>
    </row>
    <row r="71" spans="1:25">
      <c r="A71" s="854">
        <f t="shared" si="0"/>
        <v>60</v>
      </c>
      <c r="B71" s="706">
        <v>8720</v>
      </c>
      <c r="C71" s="103" t="s">
        <v>1363</v>
      </c>
      <c r="D71" s="396">
        <f>VLOOKUP($B71,'[13]Div 9 forecast'!$D$518:$AF$599,18,FALSE)</f>
        <v>0</v>
      </c>
      <c r="E71" s="396">
        <f>VLOOKUP($B71,'[13]Div 9 forecast'!$D$518:$AF$599,19,FALSE)</f>
        <v>0</v>
      </c>
      <c r="F71" s="396">
        <f>VLOOKUP($B71,'[13]Div 9 forecast'!$D$518:$AF$599,20,FALSE)</f>
        <v>0</v>
      </c>
      <c r="G71" s="396">
        <f>VLOOKUP($B71,'[13]Div 9 forecast'!$D$518:$AF$599,21,FALSE)</f>
        <v>0</v>
      </c>
      <c r="H71" s="396">
        <f>VLOOKUP($B71,'[13]Div 9 forecast'!$D$518:$AF$599,22,FALSE)</f>
        <v>0</v>
      </c>
      <c r="I71" s="396">
        <f>VLOOKUP($B71,'[13]Div 9 forecast'!$D$518:$AF$599,23,FALSE)</f>
        <v>0</v>
      </c>
      <c r="J71" s="396">
        <f>VLOOKUP($B71,'[13]Div 9 forecast'!$D$518:$AF$599,24,FALSE)</f>
        <v>0</v>
      </c>
      <c r="K71" s="396">
        <f>VLOOKUP($B71,'[13]Div 9 forecast'!$D$518:$AF$599,25,FALSE)</f>
        <v>0</v>
      </c>
      <c r="L71" s="396">
        <f>VLOOKUP($B71,'[13]Div 9 forecast'!$D$518:$AF$599,26,FALSE)</f>
        <v>0</v>
      </c>
      <c r="M71" s="396">
        <f>VLOOKUP($B71,'[13]Div 9 forecast'!$D$518:$AF$599,27,FALSE)</f>
        <v>0</v>
      </c>
      <c r="N71" s="396">
        <f>VLOOKUP($B71,'[13]Div 9 forecast'!$D$518:$AF$599,28,FALSE)</f>
        <v>0</v>
      </c>
      <c r="O71" s="396">
        <f>VLOOKUP($B71,'[13]Div 9 forecast'!$D$518:$AF$599,29,FALSE)</f>
        <v>0</v>
      </c>
      <c r="P71" s="81">
        <f t="shared" si="4"/>
        <v>0</v>
      </c>
      <c r="Q71" s="81"/>
      <c r="R71" s="902"/>
      <c r="S71" s="81"/>
      <c r="Y71" s="901"/>
    </row>
    <row r="72" spans="1:25">
      <c r="A72" s="854">
        <f t="shared" si="0"/>
        <v>61</v>
      </c>
      <c r="B72" s="706">
        <v>8740</v>
      </c>
      <c r="C72" s="81" t="s">
        <v>923</v>
      </c>
      <c r="D72" s="396">
        <f>VLOOKUP($B72,'[13]Div 9 forecast'!$D$518:$AF$599,18,FALSE)</f>
        <v>299026.52429536812</v>
      </c>
      <c r="E72" s="396">
        <f>VLOOKUP($B72,'[13]Div 9 forecast'!$D$518:$AF$599,19,FALSE)</f>
        <v>275411.76586721541</v>
      </c>
      <c r="F72" s="396">
        <f>VLOOKUP($B72,'[13]Div 9 forecast'!$D$518:$AF$599,20,FALSE)</f>
        <v>348782.02886857465</v>
      </c>
      <c r="G72" s="396">
        <f>VLOOKUP($B72,'[13]Div 9 forecast'!$D$518:$AF$599,21,FALSE)</f>
        <v>337788.23338219244</v>
      </c>
      <c r="H72" s="396">
        <f>VLOOKUP($B72,'[13]Div 9 forecast'!$D$518:$AF$599,22,FALSE)</f>
        <v>293111.72832007066</v>
      </c>
      <c r="I72" s="396">
        <f>VLOOKUP($B72,'[13]Div 9 forecast'!$D$518:$AF$599,23,FALSE)</f>
        <v>273823.14865677146</v>
      </c>
      <c r="J72" s="396">
        <f>VLOOKUP($B72,'[13]Div 9 forecast'!$D$518:$AF$599,24,FALSE)</f>
        <v>266054.36622594431</v>
      </c>
      <c r="K72" s="396">
        <f>VLOOKUP($B72,'[13]Div 9 forecast'!$D$518:$AF$599,25,FALSE)</f>
        <v>269624.15961748554</v>
      </c>
      <c r="L72" s="396">
        <f>VLOOKUP($B72,'[13]Div 9 forecast'!$D$518:$AF$599,26,FALSE)</f>
        <v>256115.64307676267</v>
      </c>
      <c r="M72" s="396">
        <f>VLOOKUP($B72,'[13]Div 9 forecast'!$D$518:$AF$599,27,FALSE)</f>
        <v>281055.72472419479</v>
      </c>
      <c r="N72" s="396">
        <f>VLOOKUP($B72,'[13]Div 9 forecast'!$D$518:$AF$599,28,FALSE)</f>
        <v>266690.79595266399</v>
      </c>
      <c r="O72" s="396">
        <f>VLOOKUP($B72,'[13]Div 9 forecast'!$D$518:$AF$599,29,FALSE)</f>
        <v>277493.72529348428</v>
      </c>
      <c r="P72" s="81">
        <f t="shared" si="4"/>
        <v>3444977.8442807291</v>
      </c>
      <c r="Q72" s="81"/>
      <c r="R72" s="902"/>
      <c r="S72" s="81"/>
      <c r="Y72" s="901"/>
    </row>
    <row r="73" spans="1:25">
      <c r="A73" s="854">
        <f t="shared" si="0"/>
        <v>62</v>
      </c>
      <c r="B73" s="706">
        <v>8750</v>
      </c>
      <c r="C73" s="81" t="s">
        <v>924</v>
      </c>
      <c r="D73" s="396">
        <f>VLOOKUP($B73,'[13]Div 9 forecast'!$D$518:$AF$599,18,FALSE)</f>
        <v>38048.37456580306</v>
      </c>
      <c r="E73" s="396">
        <f>VLOOKUP($B73,'[13]Div 9 forecast'!$D$518:$AF$599,19,FALSE)</f>
        <v>41086.182378423568</v>
      </c>
      <c r="F73" s="396">
        <f>VLOOKUP($B73,'[13]Div 9 forecast'!$D$518:$AF$599,20,FALSE)</f>
        <v>41734.841687845401</v>
      </c>
      <c r="G73" s="396">
        <f>VLOOKUP($B73,'[13]Div 9 forecast'!$D$518:$AF$599,21,FALSE)</f>
        <v>42468.422696594884</v>
      </c>
      <c r="H73" s="396">
        <f>VLOOKUP($B73,'[13]Div 9 forecast'!$D$518:$AF$599,22,FALSE)</f>
        <v>42241.535897357644</v>
      </c>
      <c r="I73" s="396">
        <f>VLOOKUP($B73,'[13]Div 9 forecast'!$D$518:$AF$599,23,FALSE)</f>
        <v>37309.934939569073</v>
      </c>
      <c r="J73" s="396">
        <f>VLOOKUP($B73,'[13]Div 9 forecast'!$D$518:$AF$599,24,FALSE)</f>
        <v>39739.799022285952</v>
      </c>
      <c r="K73" s="396">
        <f>VLOOKUP($B73,'[13]Div 9 forecast'!$D$518:$AF$599,25,FALSE)</f>
        <v>40252.016418742722</v>
      </c>
      <c r="L73" s="396">
        <f>VLOOKUP($B73,'[13]Div 9 forecast'!$D$518:$AF$599,26,FALSE)</f>
        <v>39107.337491381426</v>
      </c>
      <c r="M73" s="396">
        <f>VLOOKUP($B73,'[13]Div 9 forecast'!$D$518:$AF$599,27,FALSE)</f>
        <v>42539.611709402525</v>
      </c>
      <c r="N73" s="396">
        <f>VLOOKUP($B73,'[13]Div 9 forecast'!$D$518:$AF$599,28,FALSE)</f>
        <v>39078.773892838937</v>
      </c>
      <c r="O73" s="396">
        <f>VLOOKUP($B73,'[13]Div 9 forecast'!$D$518:$AF$599,29,FALSE)</f>
        <v>40887.09637575446</v>
      </c>
      <c r="P73" s="81">
        <f t="shared" si="4"/>
        <v>484493.92707599961</v>
      </c>
      <c r="Q73" s="81"/>
      <c r="R73" s="902"/>
      <c r="S73" s="81"/>
      <c r="Y73" s="901"/>
    </row>
    <row r="74" spans="1:25">
      <c r="A74" s="854">
        <f t="shared" si="0"/>
        <v>63</v>
      </c>
      <c r="B74" s="706">
        <v>8760</v>
      </c>
      <c r="C74" s="81" t="s">
        <v>925</v>
      </c>
      <c r="D74" s="396">
        <f>VLOOKUP($B74,'[13]Div 9 forecast'!$D$518:$AF$599,18,FALSE)</f>
        <v>2344.4290131340676</v>
      </c>
      <c r="E74" s="396">
        <f>VLOOKUP($B74,'[13]Div 9 forecast'!$D$518:$AF$599,19,FALSE)</f>
        <v>2566.8499992115276</v>
      </c>
      <c r="F74" s="396">
        <f>VLOOKUP($B74,'[13]Div 9 forecast'!$D$518:$AF$599,20,FALSE)</f>
        <v>2809.96212235741</v>
      </c>
      <c r="G74" s="396">
        <f>VLOOKUP($B74,'[13]Div 9 forecast'!$D$518:$AF$599,21,FALSE)</f>
        <v>2906.4802553995387</v>
      </c>
      <c r="H74" s="396">
        <f>VLOOKUP($B74,'[13]Div 9 forecast'!$D$518:$AF$599,22,FALSE)</f>
        <v>2741.9660523122848</v>
      </c>
      <c r="I74" s="396">
        <f>VLOOKUP($B74,'[13]Div 9 forecast'!$D$518:$AF$599,23,FALSE)</f>
        <v>2333.1225935684279</v>
      </c>
      <c r="J74" s="396">
        <f>VLOOKUP($B74,'[13]Div 9 forecast'!$D$518:$AF$599,24,FALSE)</f>
        <v>2276.6718844308989</v>
      </c>
      <c r="K74" s="396">
        <f>VLOOKUP($B74,'[13]Div 9 forecast'!$D$518:$AF$599,25,FALSE)</f>
        <v>2378.8906622469526</v>
      </c>
      <c r="L74" s="396">
        <f>VLOOKUP($B74,'[13]Div 9 forecast'!$D$518:$AF$599,26,FALSE)</f>
        <v>2465.2233242305356</v>
      </c>
      <c r="M74" s="396">
        <f>VLOOKUP($B74,'[13]Div 9 forecast'!$D$518:$AF$599,27,FALSE)</f>
        <v>2746.5891187811435</v>
      </c>
      <c r="N74" s="396">
        <f>VLOOKUP($B74,'[13]Div 9 forecast'!$D$518:$AF$599,28,FALSE)</f>
        <v>2694.3617761524251</v>
      </c>
      <c r="O74" s="396">
        <f>VLOOKUP($B74,'[13]Div 9 forecast'!$D$518:$AF$599,29,FALSE)</f>
        <v>2528.7966360621554</v>
      </c>
      <c r="P74" s="81">
        <f t="shared" si="4"/>
        <v>30793.343437887364</v>
      </c>
      <c r="Q74" s="81"/>
      <c r="R74" s="902"/>
      <c r="S74" s="81"/>
      <c r="Y74" s="901"/>
    </row>
    <row r="75" spans="1:25">
      <c r="A75" s="854">
        <f t="shared" si="0"/>
        <v>64</v>
      </c>
      <c r="B75" s="706">
        <v>8770</v>
      </c>
      <c r="C75" s="81" t="s">
        <v>926</v>
      </c>
      <c r="D75" s="396">
        <f>VLOOKUP($B75,'[13]Div 9 forecast'!$D$518:$AF$599,18,FALSE)</f>
        <v>1602.0443650874861</v>
      </c>
      <c r="E75" s="396">
        <f>VLOOKUP($B75,'[13]Div 9 forecast'!$D$518:$AF$599,19,FALSE)</f>
        <v>1789.5117499068542</v>
      </c>
      <c r="F75" s="396">
        <f>VLOOKUP($B75,'[13]Div 9 forecast'!$D$518:$AF$599,20,FALSE)</f>
        <v>2317.2282613183643</v>
      </c>
      <c r="G75" s="396">
        <f>VLOOKUP($B75,'[13]Div 9 forecast'!$D$518:$AF$599,21,FALSE)</f>
        <v>2340.414831662697</v>
      </c>
      <c r="H75" s="396">
        <f>VLOOKUP($B75,'[13]Div 9 forecast'!$D$518:$AF$599,22,FALSE)</f>
        <v>2037.2281480856509</v>
      </c>
      <c r="I75" s="396">
        <f>VLOOKUP($B75,'[13]Div 9 forecast'!$D$518:$AF$599,23,FALSE)</f>
        <v>1664.7184320584579</v>
      </c>
      <c r="J75" s="396">
        <f>VLOOKUP($B75,'[13]Div 9 forecast'!$D$518:$AF$599,24,FALSE)</f>
        <v>1372.0203210213158</v>
      </c>
      <c r="K75" s="396">
        <f>VLOOKUP($B75,'[13]Div 9 forecast'!$D$518:$AF$599,25,FALSE)</f>
        <v>1556.7050343499886</v>
      </c>
      <c r="L75" s="396">
        <f>VLOOKUP($B75,'[13]Div 9 forecast'!$D$518:$AF$599,26,FALSE)</f>
        <v>1719.9396598412845</v>
      </c>
      <c r="M75" s="396">
        <f>VLOOKUP($B75,'[13]Div 9 forecast'!$D$518:$AF$599,27,FALSE)</f>
        <v>1988.1019639340118</v>
      </c>
      <c r="N75" s="396">
        <f>VLOOKUP($B75,'[13]Div 9 forecast'!$D$518:$AF$599,28,FALSE)</f>
        <v>2176.6279055323794</v>
      </c>
      <c r="O75" s="396">
        <f>VLOOKUP($B75,'[13]Div 9 forecast'!$D$518:$AF$599,29,FALSE)</f>
        <v>1748.3669817906268</v>
      </c>
      <c r="P75" s="81">
        <f t="shared" si="4"/>
        <v>22312.907654589118</v>
      </c>
      <c r="Q75" s="81"/>
      <c r="R75" s="902"/>
      <c r="S75" s="81"/>
      <c r="Y75" s="901"/>
    </row>
    <row r="76" spans="1:25">
      <c r="A76" s="854">
        <f t="shared" si="0"/>
        <v>65</v>
      </c>
      <c r="B76" s="706">
        <v>8780</v>
      </c>
      <c r="C76" s="81" t="s">
        <v>927</v>
      </c>
      <c r="D76" s="396">
        <f>VLOOKUP($B76,'[13]Div 9 forecast'!$D$518:$AF$599,18,FALSE)</f>
        <v>74919.278746305732</v>
      </c>
      <c r="E76" s="396">
        <f>VLOOKUP($B76,'[13]Div 9 forecast'!$D$518:$AF$599,19,FALSE)</f>
        <v>80950.512710890936</v>
      </c>
      <c r="F76" s="396">
        <f>VLOOKUP($B76,'[13]Div 9 forecast'!$D$518:$AF$599,20,FALSE)</f>
        <v>76193.481119244854</v>
      </c>
      <c r="G76" s="396">
        <f>VLOOKUP($B76,'[13]Div 9 forecast'!$D$518:$AF$599,21,FALSE)</f>
        <v>78630.460781770918</v>
      </c>
      <c r="H76" s="396">
        <f>VLOOKUP($B76,'[13]Div 9 forecast'!$D$518:$AF$599,22,FALSE)</f>
        <v>81482.019330508236</v>
      </c>
      <c r="I76" s="396">
        <f>VLOOKUP($B76,'[13]Div 9 forecast'!$D$518:$AF$599,23,FALSE)</f>
        <v>72230.549298875339</v>
      </c>
      <c r="J76" s="396">
        <f>VLOOKUP($B76,'[13]Div 9 forecast'!$D$518:$AF$599,24,FALSE)</f>
        <v>79815.946401293448</v>
      </c>
      <c r="K76" s="396">
        <f>VLOOKUP($B76,'[13]Div 9 forecast'!$D$518:$AF$599,25,FALSE)</f>
        <v>80085.03250364089</v>
      </c>
      <c r="L76" s="396">
        <f>VLOOKUP($B76,'[13]Div 9 forecast'!$D$518:$AF$599,26,FALSE)</f>
        <v>77239.102422903889</v>
      </c>
      <c r="M76" s="396">
        <f>VLOOKUP($B76,'[13]Div 9 forecast'!$D$518:$AF$599,27,FALSE)</f>
        <v>83571.518911385268</v>
      </c>
      <c r="N76" s="396">
        <f>VLOOKUP($B76,'[13]Div 9 forecast'!$D$518:$AF$599,28,FALSE)</f>
        <v>74938.725125394354</v>
      </c>
      <c r="O76" s="396">
        <f>VLOOKUP($B76,'[13]Div 9 forecast'!$D$518:$AF$599,29,FALSE)</f>
        <v>80622.619504047398</v>
      </c>
      <c r="P76" s="81">
        <f t="shared" si="4"/>
        <v>940679.24685626116</v>
      </c>
      <c r="Q76" s="81"/>
      <c r="R76" s="902"/>
      <c r="S76" s="81"/>
      <c r="Y76" s="901"/>
    </row>
    <row r="77" spans="1:25">
      <c r="A77" s="854">
        <f t="shared" si="0"/>
        <v>66</v>
      </c>
      <c r="B77" s="706">
        <v>8790</v>
      </c>
      <c r="C77" s="81" t="s">
        <v>928</v>
      </c>
      <c r="D77" s="396">
        <f>VLOOKUP($B77,'[13]Div 9 forecast'!$D$518:$AF$599,18,FALSE)</f>
        <v>291.55050888992213</v>
      </c>
      <c r="E77" s="396">
        <f>VLOOKUP($B77,'[13]Div 9 forecast'!$D$518:$AF$599,19,FALSE)</f>
        <v>330.83057579508539</v>
      </c>
      <c r="F77" s="396">
        <f>VLOOKUP($B77,'[13]Div 9 forecast'!$D$518:$AF$599,20,FALSE)</f>
        <v>450.28710942176758</v>
      </c>
      <c r="G77" s="396">
        <f>VLOOKUP($B77,'[13]Div 9 forecast'!$D$518:$AF$599,21,FALSE)</f>
        <v>463.06572674740289</v>
      </c>
      <c r="H77" s="396">
        <f>VLOOKUP($B77,'[13]Div 9 forecast'!$D$518:$AF$599,22,FALSE)</f>
        <v>389.22588585104268</v>
      </c>
      <c r="I77" s="396">
        <f>VLOOKUP($B77,'[13]Div 9 forecast'!$D$518:$AF$599,23,FALSE)</f>
        <v>311.10971732129428</v>
      </c>
      <c r="J77" s="396">
        <f>VLOOKUP($B77,'[13]Div 9 forecast'!$D$518:$AF$599,24,FALSE)</f>
        <v>238.52387872291183</v>
      </c>
      <c r="K77" s="396">
        <f>VLOOKUP($B77,'[13]Div 9 forecast'!$D$518:$AF$599,25,FALSE)</f>
        <v>273.08203342180138</v>
      </c>
      <c r="L77" s="396">
        <f>VLOOKUP($B77,'[13]Div 9 forecast'!$D$518:$AF$599,26,FALSE)</f>
        <v>321.80424960953866</v>
      </c>
      <c r="M77" s="396">
        <f>VLOOKUP($B77,'[13]Div 9 forecast'!$D$518:$AF$599,27,FALSE)</f>
        <v>374.78051420201984</v>
      </c>
      <c r="N77" s="396">
        <f>VLOOKUP($B77,'[13]Div 9 forecast'!$D$518:$AF$599,28,FALSE)</f>
        <v>418.29145688063022</v>
      </c>
      <c r="O77" s="396">
        <f>VLOOKUP($B77,'[13]Div 9 forecast'!$D$518:$AF$599,29,FALSE)</f>
        <v>321.76231552254154</v>
      </c>
      <c r="P77" s="81">
        <f t="shared" si="4"/>
        <v>4184.3139723859586</v>
      </c>
      <c r="Q77" s="81"/>
      <c r="R77" s="902"/>
      <c r="S77" s="81"/>
      <c r="Y77" s="901"/>
    </row>
    <row r="78" spans="1:25">
      <c r="A78" s="854">
        <f t="shared" ref="A78:A110" si="5">A77+1</f>
        <v>67</v>
      </c>
      <c r="B78" s="706">
        <v>8800</v>
      </c>
      <c r="C78" s="81" t="s">
        <v>929</v>
      </c>
      <c r="D78" s="396">
        <f>VLOOKUP($B78,'[13]Div 9 forecast'!$D$518:$AF$599,18,FALSE)</f>
        <v>11687.811420858941</v>
      </c>
      <c r="E78" s="396">
        <f>VLOOKUP($B78,'[13]Div 9 forecast'!$D$518:$AF$599,19,FALSE)</f>
        <v>13199.969850333884</v>
      </c>
      <c r="F78" s="396">
        <f>VLOOKUP($B78,'[13]Div 9 forecast'!$D$518:$AF$599,20,FALSE)</f>
        <v>11752.344023557342</v>
      </c>
      <c r="G78" s="396">
        <f>VLOOKUP($B78,'[13]Div 9 forecast'!$D$518:$AF$599,21,FALSE)</f>
        <v>12051.520860491939</v>
      </c>
      <c r="H78" s="396">
        <f>VLOOKUP($B78,'[13]Div 9 forecast'!$D$518:$AF$599,22,FALSE)</f>
        <v>12662.21455957141</v>
      </c>
      <c r="I78" s="396">
        <f>VLOOKUP($B78,'[13]Div 9 forecast'!$D$518:$AF$599,23,FALSE)</f>
        <v>11084.453243367938</v>
      </c>
      <c r="J78" s="396">
        <f>VLOOKUP($B78,'[13]Div 9 forecast'!$D$518:$AF$599,24,FALSE)</f>
        <v>12295.521114935536</v>
      </c>
      <c r="K78" s="396">
        <f>VLOOKUP($B78,'[13]Div 9 forecast'!$D$518:$AF$599,25,FALSE)</f>
        <v>12271.969543565219</v>
      </c>
      <c r="L78" s="396">
        <f>VLOOKUP($B78,'[13]Div 9 forecast'!$D$518:$AF$599,26,FALSE)</f>
        <v>11889.459584363591</v>
      </c>
      <c r="M78" s="396">
        <f>VLOOKUP($B78,'[13]Div 9 forecast'!$D$518:$AF$599,27,FALSE)</f>
        <v>13033.806097362778</v>
      </c>
      <c r="N78" s="396">
        <f>VLOOKUP($B78,'[13]Div 9 forecast'!$D$518:$AF$599,28,FALSE)</f>
        <v>11534.05501837657</v>
      </c>
      <c r="O78" s="396">
        <f>VLOOKUP($B78,'[13]Div 9 forecast'!$D$518:$AF$599,29,FALSE)</f>
        <v>12327.486638495249</v>
      </c>
      <c r="P78" s="81">
        <f t="shared" si="4"/>
        <v>145790.61195528042</v>
      </c>
      <c r="Q78" s="81"/>
      <c r="R78" s="81"/>
      <c r="S78" s="81"/>
      <c r="Y78" s="901"/>
    </row>
    <row r="79" spans="1:25">
      <c r="A79" s="854">
        <f t="shared" si="5"/>
        <v>68</v>
      </c>
      <c r="B79" s="706">
        <v>8810</v>
      </c>
      <c r="C79" s="81" t="s">
        <v>930</v>
      </c>
      <c r="D79" s="396">
        <f>VLOOKUP($B79,'[13]Div 9 forecast'!$D$518:$AF$599,18,FALSE)</f>
        <v>27811.64790188862</v>
      </c>
      <c r="E79" s="396">
        <f>VLOOKUP($B79,'[13]Div 9 forecast'!$D$518:$AF$599,19,FALSE)</f>
        <v>29145.80693203372</v>
      </c>
      <c r="F79" s="396">
        <f>VLOOKUP($B79,'[13]Div 9 forecast'!$D$518:$AF$599,20,FALSE)</f>
        <v>30784.271308276373</v>
      </c>
      <c r="G79" s="396">
        <f>VLOOKUP($B79,'[13]Div 9 forecast'!$D$518:$AF$599,21,FALSE)</f>
        <v>27983.21129111452</v>
      </c>
      <c r="H79" s="396">
        <f>VLOOKUP($B79,'[13]Div 9 forecast'!$D$518:$AF$599,22,FALSE)</f>
        <v>28877.015274327965</v>
      </c>
      <c r="I79" s="396">
        <f>VLOOKUP($B79,'[13]Div 9 forecast'!$D$518:$AF$599,23,FALSE)</f>
        <v>26234.181582090252</v>
      </c>
      <c r="J79" s="396">
        <f>VLOOKUP($B79,'[13]Div 9 forecast'!$D$518:$AF$599,24,FALSE)</f>
        <v>27789.006020814322</v>
      </c>
      <c r="K79" s="396">
        <f>VLOOKUP($B79,'[13]Div 9 forecast'!$D$518:$AF$599,25,FALSE)</f>
        <v>30543.896720364472</v>
      </c>
      <c r="L79" s="396">
        <f>VLOOKUP($B79,'[13]Div 9 forecast'!$D$518:$AF$599,26,FALSE)</f>
        <v>26576.724497062107</v>
      </c>
      <c r="M79" s="396">
        <f>VLOOKUP($B79,'[13]Div 9 forecast'!$D$518:$AF$599,27,FALSE)</f>
        <v>29748.230200997299</v>
      </c>
      <c r="N79" s="396">
        <f>VLOOKUP($B79,'[13]Div 9 forecast'!$D$518:$AF$599,28,FALSE)</f>
        <v>29745.806912429158</v>
      </c>
      <c r="O79" s="396">
        <f>VLOOKUP($B79,'[13]Div 9 forecast'!$D$518:$AF$599,29,FALSE)</f>
        <v>29014.743836906771</v>
      </c>
      <c r="P79" s="81">
        <f t="shared" si="4"/>
        <v>344254.54247830564</v>
      </c>
      <c r="Q79" s="81"/>
      <c r="R79" s="81"/>
      <c r="S79" s="81"/>
      <c r="Y79" s="901"/>
    </row>
    <row r="80" spans="1:25">
      <c r="A80" s="854">
        <f t="shared" si="5"/>
        <v>69</v>
      </c>
      <c r="B80" s="706">
        <v>8850</v>
      </c>
      <c r="C80" s="81" t="s">
        <v>931</v>
      </c>
      <c r="D80" s="396">
        <f>VLOOKUP($B80,'[13]Div 9 forecast'!$D$518:$AF$599,18,FALSE)</f>
        <v>104.7882242756082</v>
      </c>
      <c r="E80" s="396">
        <f>VLOOKUP($B80,'[13]Div 9 forecast'!$D$518:$AF$599,19,FALSE)</f>
        <v>99.105220059866326</v>
      </c>
      <c r="F80" s="396">
        <f>VLOOKUP($B80,'[13]Div 9 forecast'!$D$518:$AF$599,20,FALSE)</f>
        <v>103.24797079657534</v>
      </c>
      <c r="G80" s="396">
        <f>VLOOKUP($B80,'[13]Div 9 forecast'!$D$518:$AF$599,21,FALSE)</f>
        <v>93.796125654206918</v>
      </c>
      <c r="H80" s="396">
        <f>VLOOKUP($B80,'[13]Div 9 forecast'!$D$518:$AF$599,22,FALSE)</f>
        <v>98.559226757643657</v>
      </c>
      <c r="I80" s="396">
        <f>VLOOKUP($B80,'[13]Div 9 forecast'!$D$518:$AF$599,23,FALSE)</f>
        <v>153.34976086006714</v>
      </c>
      <c r="J80" s="396">
        <f>VLOOKUP($B80,'[13]Div 9 forecast'!$D$518:$AF$599,24,FALSE)</f>
        <v>135.19495243927381</v>
      </c>
      <c r="K80" s="396">
        <f>VLOOKUP($B80,'[13]Div 9 forecast'!$D$518:$AF$599,25,FALSE)</f>
        <v>133.36789314000725</v>
      </c>
      <c r="L80" s="396">
        <f>VLOOKUP($B80,'[13]Div 9 forecast'!$D$518:$AF$599,26,FALSE)</f>
        <v>132.83889573824285</v>
      </c>
      <c r="M80" s="396">
        <f>VLOOKUP($B80,'[13]Div 9 forecast'!$D$518:$AF$599,27,FALSE)</f>
        <v>134.24849323250257</v>
      </c>
      <c r="N80" s="396">
        <f>VLOOKUP($B80,'[13]Div 9 forecast'!$D$518:$AF$599,28,FALSE)</f>
        <v>105.72299880081432</v>
      </c>
      <c r="O80" s="396">
        <f>VLOOKUP($B80,'[13]Div 9 forecast'!$D$518:$AF$599,29,FALSE)</f>
        <v>104.31233906277598</v>
      </c>
      <c r="P80" s="81">
        <f t="shared" si="4"/>
        <v>1398.5321008175843</v>
      </c>
      <c r="Q80" s="81"/>
      <c r="R80" s="81"/>
      <c r="S80" s="81"/>
      <c r="Y80" s="901"/>
    </row>
    <row r="81" spans="1:25">
      <c r="A81" s="854">
        <f t="shared" si="5"/>
        <v>70</v>
      </c>
      <c r="B81" s="706">
        <v>8860</v>
      </c>
      <c r="C81" s="81" t="s">
        <v>932</v>
      </c>
      <c r="D81" s="396">
        <f>VLOOKUP($B81,'[13]Div 9 forecast'!$D$518:$AF$599,18,FALSE)</f>
        <v>21.762288025067189</v>
      </c>
      <c r="E81" s="396">
        <f>VLOOKUP($B81,'[13]Div 9 forecast'!$D$518:$AF$599,19,FALSE)</f>
        <v>24.549359181245222</v>
      </c>
      <c r="F81" s="396">
        <f>VLOOKUP($B81,'[13]Div 9 forecast'!$D$518:$AF$599,20,FALSE)</f>
        <v>32.80869151137356</v>
      </c>
      <c r="G81" s="396">
        <f>VLOOKUP($B81,'[13]Div 9 forecast'!$D$518:$AF$599,21,FALSE)</f>
        <v>33.522309067922535</v>
      </c>
      <c r="H81" s="396">
        <f>VLOOKUP($B81,'[13]Div 9 forecast'!$D$518:$AF$599,22,FALSE)</f>
        <v>28.534492332786037</v>
      </c>
      <c r="I81" s="396">
        <f>VLOOKUP($B81,'[13]Div 9 forecast'!$D$518:$AF$599,23,FALSE)</f>
        <v>22.993415003722383</v>
      </c>
      <c r="J81" s="396">
        <f>VLOOKUP($B81,'[13]Div 9 forecast'!$D$518:$AF$599,24,FALSE)</f>
        <v>18.117578411274408</v>
      </c>
      <c r="K81" s="396">
        <f>VLOOKUP($B81,'[13]Div 9 forecast'!$D$518:$AF$599,25,FALSE)</f>
        <v>20.670504950599391</v>
      </c>
      <c r="L81" s="396">
        <f>VLOOKUP($B81,'[13]Div 9 forecast'!$D$518:$AF$599,26,FALSE)</f>
        <v>23.773586802020912</v>
      </c>
      <c r="M81" s="396">
        <f>VLOOKUP($B81,'[13]Div 9 forecast'!$D$518:$AF$599,27,FALSE)</f>
        <v>27.610750298747782</v>
      </c>
      <c r="N81" s="396">
        <f>VLOOKUP($B81,'[13]Div 9 forecast'!$D$518:$AF$599,28,FALSE)</f>
        <v>30.600288868728018</v>
      </c>
      <c r="O81" s="396">
        <f>VLOOKUP($B81,'[13]Div 9 forecast'!$D$518:$AF$599,29,FALSE)</f>
        <v>23.916832593997441</v>
      </c>
      <c r="P81" s="81">
        <f t="shared" si="4"/>
        <v>308.86009704748483</v>
      </c>
      <c r="Q81" s="81"/>
      <c r="R81" s="81"/>
      <c r="S81" s="81"/>
      <c r="Y81" s="901"/>
    </row>
    <row r="82" spans="1:25">
      <c r="A82" s="854">
        <f t="shared" si="5"/>
        <v>71</v>
      </c>
      <c r="B82" s="706">
        <v>8870</v>
      </c>
      <c r="C82" s="81" t="s">
        <v>933</v>
      </c>
      <c r="D82" s="396">
        <f>VLOOKUP($B82,'[13]Div 9 forecast'!$D$518:$AF$599,18,FALSE)</f>
        <v>2378.3000338233833</v>
      </c>
      <c r="E82" s="396">
        <f>VLOOKUP($B82,'[13]Div 9 forecast'!$D$518:$AF$599,19,FALSE)</f>
        <v>2491.4517815897702</v>
      </c>
      <c r="F82" s="396">
        <f>VLOOKUP($B82,'[13]Div 9 forecast'!$D$518:$AF$599,20,FALSE)</f>
        <v>2927.1348771559228</v>
      </c>
      <c r="G82" s="396">
        <f>VLOOKUP($B82,'[13]Div 9 forecast'!$D$518:$AF$599,21,FALSE)</f>
        <v>2882.0665001620314</v>
      </c>
      <c r="H82" s="396">
        <f>VLOOKUP($B82,'[13]Div 9 forecast'!$D$518:$AF$599,22,FALSE)</f>
        <v>2590.7060500691841</v>
      </c>
      <c r="I82" s="396">
        <f>VLOOKUP($B82,'[13]Div 9 forecast'!$D$518:$AF$599,23,FALSE)</f>
        <v>2353.1337449446914</v>
      </c>
      <c r="J82" s="396">
        <f>VLOOKUP($B82,'[13]Div 9 forecast'!$D$518:$AF$599,24,FALSE)</f>
        <v>2470.0364184417986</v>
      </c>
      <c r="K82" s="396">
        <f>VLOOKUP($B82,'[13]Div 9 forecast'!$D$518:$AF$599,25,FALSE)</f>
        <v>2502.1703268633892</v>
      </c>
      <c r="L82" s="396">
        <f>VLOOKUP($B82,'[13]Div 9 forecast'!$D$518:$AF$599,26,FALSE)</f>
        <v>2281.1767625991033</v>
      </c>
      <c r="M82" s="396">
        <f>VLOOKUP($B82,'[13]Div 9 forecast'!$D$518:$AF$599,27,FALSE)</f>
        <v>2488.6223807268689</v>
      </c>
      <c r="N82" s="396">
        <f>VLOOKUP($B82,'[13]Div 9 forecast'!$D$518:$AF$599,28,FALSE)</f>
        <v>2234.4933051692801</v>
      </c>
      <c r="O82" s="396">
        <f>VLOOKUP($B82,'[13]Div 9 forecast'!$D$518:$AF$599,29,FALSE)</f>
        <v>2423.8093673064473</v>
      </c>
      <c r="P82" s="81">
        <f t="shared" si="4"/>
        <v>30023.101548851871</v>
      </c>
      <c r="Q82" s="81"/>
      <c r="R82" s="153"/>
      <c r="S82" s="81"/>
      <c r="Y82" s="901"/>
    </row>
    <row r="83" spans="1:25">
      <c r="A83" s="854">
        <f t="shared" si="5"/>
        <v>72</v>
      </c>
      <c r="B83" s="706">
        <v>8890</v>
      </c>
      <c r="C83" s="702" t="s">
        <v>934</v>
      </c>
      <c r="D83" s="396">
        <f>VLOOKUP($B83,'[13]Div 9 forecast'!$D$518:$AF$599,18,FALSE)</f>
        <v>2.6232761967087077</v>
      </c>
      <c r="E83" s="396">
        <f>VLOOKUP($B83,'[13]Div 9 forecast'!$D$518:$AF$599,19,FALSE)</f>
        <v>2.9767054015136454</v>
      </c>
      <c r="F83" s="396">
        <f>VLOOKUP($B83,'[13]Div 9 forecast'!$D$518:$AF$599,20,FALSE)</f>
        <v>4.0515362512259472</v>
      </c>
      <c r="G83" s="396">
        <f>VLOOKUP($B83,'[13]Div 9 forecast'!$D$518:$AF$599,21,FALSE)</f>
        <v>4.1665140737131141</v>
      </c>
      <c r="H83" s="396">
        <f>VLOOKUP($B83,'[13]Div 9 forecast'!$D$518:$AF$599,22,FALSE)</f>
        <v>3.5021273170934766</v>
      </c>
      <c r="I83" s="396">
        <f>VLOOKUP($B83,'[13]Div 9 forecast'!$D$518:$AF$599,23,FALSE)</f>
        <v>2.799263561984942</v>
      </c>
      <c r="J83" s="396">
        <f>VLOOKUP($B83,'[13]Div 9 forecast'!$D$518:$AF$599,24,FALSE)</f>
        <v>2.1461599082191753</v>
      </c>
      <c r="K83" s="396">
        <f>VLOOKUP($B83,'[13]Div 9 forecast'!$D$518:$AF$599,25,FALSE)</f>
        <v>2.4571028901708964</v>
      </c>
      <c r="L83" s="396">
        <f>VLOOKUP($B83,'[13]Div 9 forecast'!$D$518:$AF$599,26,FALSE)</f>
        <v>2.8954894684102217</v>
      </c>
      <c r="M83" s="396">
        <f>VLOOKUP($B83,'[13]Div 9 forecast'!$D$518:$AF$599,27,FALSE)</f>
        <v>3.372152583920228</v>
      </c>
      <c r="N83" s="396">
        <f>VLOOKUP($B83,'[13]Div 9 forecast'!$D$518:$AF$599,28,FALSE)</f>
        <v>3.7636498262325397</v>
      </c>
      <c r="O83" s="396">
        <f>VLOOKUP($B83,'[13]Div 9 forecast'!$D$518:$AF$599,29,FALSE)</f>
        <v>2.8951121591999955</v>
      </c>
      <c r="P83" s="81">
        <f t="shared" si="4"/>
        <v>37.649089638392894</v>
      </c>
      <c r="Q83" s="81"/>
      <c r="R83" s="81"/>
      <c r="S83" s="81"/>
      <c r="Y83" s="901"/>
    </row>
    <row r="84" spans="1:25">
      <c r="A84" s="854">
        <f t="shared" si="5"/>
        <v>73</v>
      </c>
      <c r="B84" s="706">
        <v>8900</v>
      </c>
      <c r="C84" s="81" t="s">
        <v>935</v>
      </c>
      <c r="D84" s="396">
        <f>VLOOKUP($B84,'[13]Div 9 forecast'!$D$518:$AF$599,18,FALSE)</f>
        <v>638.93953336095183</v>
      </c>
      <c r="E84" s="396">
        <f>VLOOKUP($B84,'[13]Div 9 forecast'!$D$518:$AF$599,19,FALSE)</f>
        <v>725.02268826378827</v>
      </c>
      <c r="F84" s="396">
        <f>VLOOKUP($B84,'[13]Div 9 forecast'!$D$518:$AF$599,20,FALSE)</f>
        <v>986.81438309895896</v>
      </c>
      <c r="G84" s="396">
        <f>VLOOKUP($B84,'[13]Div 9 forecast'!$D$518:$AF$599,21,FALSE)</f>
        <v>1014.8190119439811</v>
      </c>
      <c r="H84" s="396">
        <f>VLOOKUP($B84,'[13]Div 9 forecast'!$D$518:$AF$599,22,FALSE)</f>
        <v>852.99733080405781</v>
      </c>
      <c r="I84" s="396">
        <f>VLOOKUP($B84,'[13]Div 9 forecast'!$D$518:$AF$599,23,FALSE)</f>
        <v>681.80398095061093</v>
      </c>
      <c r="J84" s="396">
        <f>VLOOKUP($B84,'[13]Div 9 forecast'!$D$518:$AF$599,24,FALSE)</f>
        <v>522.73047420473756</v>
      </c>
      <c r="K84" s="396">
        <f>VLOOKUP($B84,'[13]Div 9 forecast'!$D$518:$AF$599,25,FALSE)</f>
        <v>598.46545172611388</v>
      </c>
      <c r="L84" s="396">
        <f>VLOOKUP($B84,'[13]Div 9 forecast'!$D$518:$AF$599,26,FALSE)</f>
        <v>705.24129030665279</v>
      </c>
      <c r="M84" s="396">
        <f>VLOOKUP($B84,'[13]Div 9 forecast'!$D$518:$AF$599,27,FALSE)</f>
        <v>821.33997216731836</v>
      </c>
      <c r="N84" s="396">
        <f>VLOOKUP($B84,'[13]Div 9 forecast'!$D$518:$AF$599,28,FALSE)</f>
        <v>916.69518700476851</v>
      </c>
      <c r="O84" s="396">
        <f>VLOOKUP($B84,'[13]Div 9 forecast'!$D$518:$AF$599,29,FALSE)</f>
        <v>705.14939080670035</v>
      </c>
      <c r="P84" s="81">
        <f t="shared" si="4"/>
        <v>9170.0186946386402</v>
      </c>
      <c r="Q84" s="81"/>
      <c r="R84" s="81"/>
      <c r="S84" s="81"/>
      <c r="Y84" s="901"/>
    </row>
    <row r="85" spans="1:25">
      <c r="A85" s="854">
        <f t="shared" si="5"/>
        <v>74</v>
      </c>
      <c r="B85" s="706">
        <v>8910</v>
      </c>
      <c r="C85" s="81" t="s">
        <v>936</v>
      </c>
      <c r="D85" s="396">
        <f>VLOOKUP($B85,'[13]Div 9 forecast'!$D$518:$AF$599,18,FALSE)</f>
        <v>310.47912685765004</v>
      </c>
      <c r="E85" s="396">
        <f>VLOOKUP($B85,'[13]Div 9 forecast'!$D$518:$AF$599,19,FALSE)</f>
        <v>342.65906839047125</v>
      </c>
      <c r="F85" s="396">
        <f>VLOOKUP($B85,'[13]Div 9 forecast'!$D$518:$AF$599,20,FALSE)</f>
        <v>426.1019534732261</v>
      </c>
      <c r="G85" s="396">
        <f>VLOOKUP($B85,'[13]Div 9 forecast'!$D$518:$AF$599,21,FALSE)</f>
        <v>423.71396411067292</v>
      </c>
      <c r="H85" s="396">
        <f>VLOOKUP($B85,'[13]Div 9 forecast'!$D$518:$AF$599,22,FALSE)</f>
        <v>379.96202296452452</v>
      </c>
      <c r="I85" s="396">
        <f>VLOOKUP($B85,'[13]Div 9 forecast'!$D$518:$AF$599,23,FALSE)</f>
        <v>316.06999858189579</v>
      </c>
      <c r="J85" s="396">
        <f>VLOOKUP($B85,'[13]Div 9 forecast'!$D$518:$AF$599,24,FALSE)</f>
        <v>274.87721578058199</v>
      </c>
      <c r="K85" s="396">
        <f>VLOOKUP($B85,'[13]Div 9 forecast'!$D$518:$AF$599,25,FALSE)</f>
        <v>309.90722110280456</v>
      </c>
      <c r="L85" s="396">
        <f>VLOOKUP($B85,'[13]Div 9 forecast'!$D$518:$AF$599,26,FALSE)</f>
        <v>326.25337055710253</v>
      </c>
      <c r="M85" s="396">
        <f>VLOOKUP($B85,'[13]Div 9 forecast'!$D$518:$AF$599,27,FALSE)</f>
        <v>374.86746497234896</v>
      </c>
      <c r="N85" s="396">
        <f>VLOOKUP($B85,'[13]Div 9 forecast'!$D$518:$AF$599,28,FALSE)</f>
        <v>404.00573543643463</v>
      </c>
      <c r="O85" s="396">
        <f>VLOOKUP($B85,'[13]Div 9 forecast'!$D$518:$AF$599,29,FALSE)</f>
        <v>335.95586422304336</v>
      </c>
      <c r="P85" s="81">
        <f t="shared" si="4"/>
        <v>4224.8530064507568</v>
      </c>
      <c r="Q85" s="81"/>
      <c r="R85" s="81"/>
      <c r="S85" s="81"/>
      <c r="Y85" s="901"/>
    </row>
    <row r="86" spans="1:25">
      <c r="A86" s="854">
        <f t="shared" si="5"/>
        <v>75</v>
      </c>
      <c r="B86" s="706">
        <v>8920</v>
      </c>
      <c r="C86" s="81" t="s">
        <v>937</v>
      </c>
      <c r="D86" s="396">
        <f>VLOOKUP($B86,'[13]Div 9 forecast'!$D$518:$AF$599,18,FALSE)</f>
        <v>7.4054417384335149</v>
      </c>
      <c r="E86" s="396">
        <f>VLOOKUP($B86,'[13]Div 9 forecast'!$D$518:$AF$599,19,FALSE)</f>
        <v>8.4031633615426813</v>
      </c>
      <c r="F86" s="396">
        <f>VLOOKUP($B86,'[13]Div 9 forecast'!$D$518:$AF$599,20,FALSE)</f>
        <v>11.437383412867028</v>
      </c>
      <c r="G86" s="396">
        <f>VLOOKUP($B86,'[13]Div 9 forecast'!$D$518:$AF$599,21,FALSE)</f>
        <v>11.76196287068735</v>
      </c>
      <c r="H86" s="396">
        <f>VLOOKUP($B86,'[13]Div 9 forecast'!$D$518:$AF$599,22,FALSE)</f>
        <v>9.8864160166784192</v>
      </c>
      <c r="I86" s="396">
        <f>VLOOKUP($B86,'[13]Div 9 forecast'!$D$518:$AF$599,23,FALSE)</f>
        <v>7.9022495781450592</v>
      </c>
      <c r="J86" s="396">
        <f>VLOOKUP($B86,'[13]Div 9 forecast'!$D$518:$AF$599,24,FALSE)</f>
        <v>6.0585546354666722</v>
      </c>
      <c r="K86" s="396">
        <f>VLOOKUP($B86,'[13]Div 9 forecast'!$D$518:$AF$599,25,FALSE)</f>
        <v>6.936338736015176</v>
      </c>
      <c r="L86" s="396">
        <f>VLOOKUP($B86,'[13]Div 9 forecast'!$D$518:$AF$599,26,FALSE)</f>
        <v>8.1738928556064341</v>
      </c>
      <c r="M86" s="396">
        <f>VLOOKUP($B86,'[13]Div 9 forecast'!$D$518:$AF$599,27,FALSE)</f>
        <v>9.5195006628203096</v>
      </c>
      <c r="N86" s="396">
        <f>VLOOKUP($B86,'[13]Div 9 forecast'!$D$518:$AF$599,28,FALSE)</f>
        <v>10.624687384042689</v>
      </c>
      <c r="O86" s="396">
        <f>VLOOKUP($B86,'[13]Div 9 forecast'!$D$518:$AF$599,29,FALSE)</f>
        <v>8.1728277213376099</v>
      </c>
      <c r="P86" s="81">
        <f t="shared" si="4"/>
        <v>106.28241897364295</v>
      </c>
      <c r="Q86" s="81"/>
      <c r="R86" s="81"/>
      <c r="S86" s="81"/>
      <c r="Y86" s="901"/>
    </row>
    <row r="87" spans="1:25">
      <c r="A87" s="854">
        <f t="shared" si="5"/>
        <v>76</v>
      </c>
      <c r="B87" s="706">
        <v>8930</v>
      </c>
      <c r="C87" s="81" t="s">
        <v>938</v>
      </c>
      <c r="D87" s="396">
        <f>VLOOKUP($B87,'[13]Div 9 forecast'!$D$518:$AF$599,18,FALSE)</f>
        <v>7225.739916185109</v>
      </c>
      <c r="E87" s="396">
        <f>VLOOKUP($B87,'[13]Div 9 forecast'!$D$518:$AF$599,19,FALSE)</f>
        <v>7817.6583541071222</v>
      </c>
      <c r="F87" s="396">
        <f>VLOOKUP($B87,'[13]Div 9 forecast'!$D$518:$AF$599,20,FALSE)</f>
        <v>7225.739916185109</v>
      </c>
      <c r="G87" s="396">
        <f>VLOOKUP($B87,'[13]Div 9 forecast'!$D$518:$AF$599,21,FALSE)</f>
        <v>7521.6993920121904</v>
      </c>
      <c r="H87" s="396">
        <f>VLOOKUP($B87,'[13]Div 9 forecast'!$D$518:$AF$599,22,FALSE)</f>
        <v>7817.6583541071222</v>
      </c>
      <c r="I87" s="396">
        <f>VLOOKUP($B87,'[13]Div 9 forecast'!$D$518:$AF$599,23,FALSE)</f>
        <v>6929.7626093460422</v>
      </c>
      <c r="J87" s="396">
        <f>VLOOKUP($B87,'[13]Div 9 forecast'!$D$518:$AF$599,24,FALSE)</f>
        <v>7747.3503737725559</v>
      </c>
      <c r="K87" s="396">
        <f>VLOOKUP($B87,'[13]Div 9 forecast'!$D$518:$AF$599,25,FALSE)</f>
        <v>7747.3503737725559</v>
      </c>
      <c r="L87" s="396">
        <f>VLOOKUP($B87,'[13]Div 9 forecast'!$D$518:$AF$599,26,FALSE)</f>
        <v>7442.512113670663</v>
      </c>
      <c r="M87" s="396">
        <f>VLOOKUP($B87,'[13]Div 9 forecast'!$D$518:$AF$599,27,FALSE)</f>
        <v>8052.1881047303368</v>
      </c>
      <c r="N87" s="396">
        <f>VLOOKUP($B87,'[13]Div 9 forecast'!$D$518:$AF$599,28,FALSE)</f>
        <v>7137.6740540865385</v>
      </c>
      <c r="O87" s="396">
        <f>VLOOKUP($B87,'[13]Div 9 forecast'!$D$518:$AF$599,29,FALSE)</f>
        <v>7747.3503737725559</v>
      </c>
      <c r="P87" s="81">
        <f t="shared" si="4"/>
        <v>90412.683935747889</v>
      </c>
      <c r="Q87" s="81"/>
      <c r="R87" s="81"/>
      <c r="S87" s="81"/>
      <c r="Y87" s="901"/>
    </row>
    <row r="88" spans="1:25">
      <c r="A88" s="854">
        <f t="shared" si="5"/>
        <v>77</v>
      </c>
      <c r="B88" s="706">
        <v>8940</v>
      </c>
      <c r="C88" s="81" t="s">
        <v>939</v>
      </c>
      <c r="D88" s="396">
        <f>VLOOKUP($B88,'[13]Div 9 forecast'!$D$518:$AF$599,18,FALSE)</f>
        <v>739.73195846633803</v>
      </c>
      <c r="E88" s="396">
        <f>VLOOKUP($B88,'[13]Div 9 forecast'!$D$518:$AF$599,19,FALSE)</f>
        <v>958.44604793110409</v>
      </c>
      <c r="F88" s="396">
        <f>VLOOKUP($B88,'[13]Div 9 forecast'!$D$518:$AF$599,20,FALSE)</f>
        <v>1165.541372859328</v>
      </c>
      <c r="G88" s="396">
        <f>VLOOKUP($B88,'[13]Div 9 forecast'!$D$518:$AF$599,21,FALSE)</f>
        <v>1175.6552792708312</v>
      </c>
      <c r="H88" s="396">
        <f>VLOOKUP($B88,'[13]Div 9 forecast'!$D$518:$AF$599,22,FALSE)</f>
        <v>985.45750917093892</v>
      </c>
      <c r="I88" s="396">
        <f>VLOOKUP($B88,'[13]Div 9 forecast'!$D$518:$AF$599,23,FALSE)</f>
        <v>791.55360975802569</v>
      </c>
      <c r="J88" s="396">
        <f>VLOOKUP($B88,'[13]Div 9 forecast'!$D$518:$AF$599,24,FALSE)</f>
        <v>614.48478615254703</v>
      </c>
      <c r="K88" s="396">
        <f>VLOOKUP($B88,'[13]Div 9 forecast'!$D$518:$AF$599,25,FALSE)</f>
        <v>701.039180255666</v>
      </c>
      <c r="L88" s="396">
        <f>VLOOKUP($B88,'[13]Div 9 forecast'!$D$518:$AF$599,26,FALSE)</f>
        <v>819.11890968288139</v>
      </c>
      <c r="M88" s="396">
        <f>VLOOKUP($B88,'[13]Div 9 forecast'!$D$518:$AF$599,27,FALSE)</f>
        <v>950.47680750504344</v>
      </c>
      <c r="N88" s="396">
        <f>VLOOKUP($B88,'[13]Div 9 forecast'!$D$518:$AF$599,28,FALSE)</f>
        <v>1059.3478260606391</v>
      </c>
      <c r="O88" s="396">
        <f>VLOOKUP($B88,'[13]Div 9 forecast'!$D$518:$AF$599,29,FALSE)</f>
        <v>818.18529972031399</v>
      </c>
      <c r="P88" s="81">
        <f t="shared" si="4"/>
        <v>10779.038586833656</v>
      </c>
      <c r="Q88" s="81"/>
      <c r="R88" s="81"/>
      <c r="S88" s="81"/>
      <c r="Y88" s="901"/>
    </row>
    <row r="89" spans="1:25">
      <c r="A89" s="854">
        <f t="shared" si="5"/>
        <v>78</v>
      </c>
      <c r="B89" s="832">
        <v>9010</v>
      </c>
      <c r="C89" s="80" t="s">
        <v>182</v>
      </c>
      <c r="D89" s="396">
        <f>VLOOKUP($B89,'[13]Div 9 forecast'!$D$518:$AF$599,18,FALSE)</f>
        <v>29.964446471664957</v>
      </c>
      <c r="E89" s="396">
        <f>VLOOKUP($B89,'[13]Div 9 forecast'!$D$518:$AF$599,19,FALSE)</f>
        <v>33.744926615890883</v>
      </c>
      <c r="F89" s="396">
        <f>VLOOKUP($B89,'[13]Div 9 forecast'!$D$518:$AF$599,20,FALSE)</f>
        <v>43.633576826939262</v>
      </c>
      <c r="G89" s="396">
        <f>VLOOKUP($B89,'[13]Div 9 forecast'!$D$518:$AF$599,21,FALSE)</f>
        <v>44.932966624250298</v>
      </c>
      <c r="H89" s="396">
        <f>VLOOKUP($B89,'[13]Div 9 forecast'!$D$518:$AF$599,22,FALSE)</f>
        <v>38.773465104286977</v>
      </c>
      <c r="I89" s="396">
        <f>VLOOKUP($B89,'[13]Div 9 forecast'!$D$518:$AF$599,23,FALSE)</f>
        <v>31.449720394447262</v>
      </c>
      <c r="J89" s="396">
        <f>VLOOKUP($B89,'[13]Div 9 forecast'!$D$518:$AF$599,24,FALSE)</f>
        <v>25.748936205904474</v>
      </c>
      <c r="K89" s="396">
        <f>VLOOKUP($B89,'[13]Div 9 forecast'!$D$518:$AF$599,25,FALSE)</f>
        <v>28.724808939944086</v>
      </c>
      <c r="L89" s="396">
        <f>VLOOKUP($B89,'[13]Div 9 forecast'!$D$518:$AF$599,26,FALSE)</f>
        <v>32.715410634467048</v>
      </c>
      <c r="M89" s="396">
        <f>VLOOKUP($B89,'[13]Div 9 forecast'!$D$518:$AF$599,27,FALSE)</f>
        <v>37.68723793664774</v>
      </c>
      <c r="N89" s="396">
        <f>VLOOKUP($B89,'[13]Div 9 forecast'!$D$518:$AF$599,28,FALSE)</f>
        <v>40.819152642886415</v>
      </c>
      <c r="O89" s="396">
        <f>VLOOKUP($B89,'[13]Div 9 forecast'!$D$518:$AF$599,29,FALSE)</f>
        <v>32.916766683382399</v>
      </c>
      <c r="P89" s="81">
        <f t="shared" si="4"/>
        <v>421.11141508071182</v>
      </c>
      <c r="Q89" s="81"/>
      <c r="R89" s="81"/>
      <c r="S89" s="81"/>
      <c r="Y89" s="901"/>
    </row>
    <row r="90" spans="1:25">
      <c r="A90" s="854">
        <f t="shared" si="5"/>
        <v>79</v>
      </c>
      <c r="B90" s="706">
        <v>9020</v>
      </c>
      <c r="C90" s="81" t="s">
        <v>940</v>
      </c>
      <c r="D90" s="396">
        <f>VLOOKUP($B90,'[13]Div 9 forecast'!$D$518:$AF$599,18,FALSE)</f>
        <v>98184.772679432994</v>
      </c>
      <c r="E90" s="396">
        <f>VLOOKUP($B90,'[13]Div 9 forecast'!$D$518:$AF$599,19,FALSE)</f>
        <v>94615.534025949106</v>
      </c>
      <c r="F90" s="396">
        <f>VLOOKUP($B90,'[13]Div 9 forecast'!$D$518:$AF$599,20,FALSE)</f>
        <v>169881.83577302637</v>
      </c>
      <c r="G90" s="396">
        <f>VLOOKUP($B90,'[13]Div 9 forecast'!$D$518:$AF$599,21,FALSE)</f>
        <v>152858.51508531618</v>
      </c>
      <c r="H90" s="396">
        <f>VLOOKUP($B90,'[13]Div 9 forecast'!$D$518:$AF$599,22,FALSE)</f>
        <v>107643.29217139675</v>
      </c>
      <c r="I90" s="396">
        <f>VLOOKUP($B90,'[13]Div 9 forecast'!$D$518:$AF$599,23,FALSE)</f>
        <v>104495.02963436945</v>
      </c>
      <c r="J90" s="396">
        <f>VLOOKUP($B90,'[13]Div 9 forecast'!$D$518:$AF$599,24,FALSE)</f>
        <v>95807.49470694123</v>
      </c>
      <c r="K90" s="396">
        <f>VLOOKUP($B90,'[13]Div 9 forecast'!$D$518:$AF$599,25,FALSE)</f>
        <v>100276.7350076838</v>
      </c>
      <c r="L90" s="396">
        <f>VLOOKUP($B90,'[13]Div 9 forecast'!$D$518:$AF$599,26,FALSE)</f>
        <v>77338.846168068703</v>
      </c>
      <c r="M90" s="396">
        <f>VLOOKUP($B90,'[13]Div 9 forecast'!$D$518:$AF$599,27,FALSE)</f>
        <v>85797.39417717859</v>
      </c>
      <c r="N90" s="396">
        <f>VLOOKUP($B90,'[13]Div 9 forecast'!$D$518:$AF$599,28,FALSE)</f>
        <v>77031.942487349559</v>
      </c>
      <c r="O90" s="396">
        <f>VLOOKUP($B90,'[13]Div 9 forecast'!$D$518:$AF$599,29,FALSE)</f>
        <v>87901.85785513946</v>
      </c>
      <c r="P90" s="81">
        <f t="shared" si="4"/>
        <v>1251833.2497718523</v>
      </c>
      <c r="Q90" s="81"/>
      <c r="R90" s="81"/>
      <c r="S90" s="81"/>
      <c r="Y90" s="901"/>
    </row>
    <row r="91" spans="1:25">
      <c r="A91" s="854">
        <f t="shared" si="5"/>
        <v>80</v>
      </c>
      <c r="B91" s="706">
        <v>9030</v>
      </c>
      <c r="C91" s="81" t="s">
        <v>945</v>
      </c>
      <c r="D91" s="396">
        <f>VLOOKUP($B91,'[13]Div 9 forecast'!$D$518:$AF$599,18,FALSE)</f>
        <v>137945.51274153357</v>
      </c>
      <c r="E91" s="396">
        <f>VLOOKUP($B91,'[13]Div 9 forecast'!$D$518:$AF$599,19,FALSE)</f>
        <v>128420.00236607419</v>
      </c>
      <c r="F91" s="396">
        <f>VLOOKUP($B91,'[13]Div 9 forecast'!$D$518:$AF$599,20,FALSE)</f>
        <v>263487.6103323634</v>
      </c>
      <c r="G91" s="396">
        <f>VLOOKUP($B91,'[13]Div 9 forecast'!$D$518:$AF$599,21,FALSE)</f>
        <v>233867.30334301476</v>
      </c>
      <c r="H91" s="396">
        <f>VLOOKUP($B91,'[13]Div 9 forecast'!$D$518:$AF$599,22,FALSE)</f>
        <v>149630.30272488494</v>
      </c>
      <c r="I91" s="396">
        <f>VLOOKUP($B91,'[13]Div 9 forecast'!$D$518:$AF$599,23,FALSE)</f>
        <v>148459.65382335737</v>
      </c>
      <c r="J91" s="396">
        <f>VLOOKUP($B91,'[13]Div 9 forecast'!$D$518:$AF$599,24,FALSE)</f>
        <v>132539.90510033013</v>
      </c>
      <c r="K91" s="396">
        <f>VLOOKUP($B91,'[13]Div 9 forecast'!$D$518:$AF$599,25,FALSE)</f>
        <v>138465.50708497077</v>
      </c>
      <c r="L91" s="396">
        <f>VLOOKUP($B91,'[13]Div 9 forecast'!$D$518:$AF$599,26,FALSE)</f>
        <v>99898.732163102482</v>
      </c>
      <c r="M91" s="396">
        <f>VLOOKUP($B91,'[13]Div 9 forecast'!$D$518:$AF$599,27,FALSE)</f>
        <v>111479.40818925994</v>
      </c>
      <c r="N91" s="396">
        <f>VLOOKUP($B91,'[13]Div 9 forecast'!$D$518:$AF$599,28,FALSE)</f>
        <v>101273.5014738903</v>
      </c>
      <c r="O91" s="396">
        <f>VLOOKUP($B91,'[13]Div 9 forecast'!$D$518:$AF$599,29,FALSE)</f>
        <v>116931.77496762756</v>
      </c>
      <c r="P91" s="81">
        <f t="shared" si="4"/>
        <v>1762399.2143104097</v>
      </c>
      <c r="Q91" s="81"/>
      <c r="R91" s="81"/>
      <c r="S91" s="81"/>
      <c r="Y91" s="901"/>
    </row>
    <row r="92" spans="1:25">
      <c r="A92" s="854">
        <f t="shared" si="5"/>
        <v>81</v>
      </c>
      <c r="B92" s="706">
        <v>9040</v>
      </c>
      <c r="C92" s="81" t="s">
        <v>946</v>
      </c>
      <c r="D92" s="96">
        <f>-0.005*SUM(D17,D19,D23,D35,D36,D38)</f>
        <v>23762.019539619268</v>
      </c>
      <c r="E92" s="96">
        <f t="shared" ref="E92:O92" si="6">-0.005*SUM(E17,E19,E23,E35,E36,E38)</f>
        <v>24524.91013879031</v>
      </c>
      <c r="F92" s="96">
        <f t="shared" si="6"/>
        <v>22207.571712194829</v>
      </c>
      <c r="G92" s="96">
        <f t="shared" si="6"/>
        <v>22172.952463907117</v>
      </c>
      <c r="H92" s="96">
        <f t="shared" si="6"/>
        <v>21871.741500848806</v>
      </c>
      <c r="I92" s="96">
        <f t="shared" si="6"/>
        <v>21676.185075813533</v>
      </c>
      <c r="J92" s="96">
        <f t="shared" si="6"/>
        <v>26560.646474999423</v>
      </c>
      <c r="K92" s="96">
        <f t="shared" si="6"/>
        <v>41415.794541249801</v>
      </c>
      <c r="L92" s="96">
        <f t="shared" si="6"/>
        <v>48376.670007436762</v>
      </c>
      <c r="M92" s="96">
        <f t="shared" si="6"/>
        <v>43272.442111191995</v>
      </c>
      <c r="N92" s="96">
        <f t="shared" si="6"/>
        <v>32334.096447797128</v>
      </c>
      <c r="O92" s="96">
        <f t="shared" si="6"/>
        <v>33937.228919765541</v>
      </c>
      <c r="P92" s="81">
        <f t="shared" si="4"/>
        <v>362112.25893361459</v>
      </c>
      <c r="Q92" s="81"/>
      <c r="R92" s="81"/>
      <c r="S92" s="81"/>
      <c r="Y92" s="901"/>
    </row>
    <row r="93" spans="1:25">
      <c r="A93" s="854">
        <f t="shared" si="5"/>
        <v>82</v>
      </c>
      <c r="B93" s="706">
        <v>9090</v>
      </c>
      <c r="C93" s="81" t="s">
        <v>947</v>
      </c>
      <c r="D93" s="396">
        <f>VLOOKUP($B93,'[13]Div 9 forecast'!$D$518:$AF$599,18,FALSE)</f>
        <v>10350.161930931572</v>
      </c>
      <c r="E93" s="396">
        <f>VLOOKUP($B93,'[13]Div 9 forecast'!$D$518:$AF$599,19,FALSE)</f>
        <v>11828.592231850018</v>
      </c>
      <c r="F93" s="396">
        <f>VLOOKUP($B93,'[13]Div 9 forecast'!$D$518:$AF$599,20,FALSE)</f>
        <v>11320.247077611837</v>
      </c>
      <c r="G93" s="396">
        <f>VLOOKUP($B93,'[13]Div 9 forecast'!$D$518:$AF$599,21,FALSE)</f>
        <v>10421.565545191741</v>
      </c>
      <c r="H93" s="396">
        <f>VLOOKUP($B93,'[13]Div 9 forecast'!$D$518:$AF$599,22,FALSE)</f>
        <v>11550.703083881974</v>
      </c>
      <c r="I93" s="396">
        <f>VLOOKUP($B93,'[13]Div 9 forecast'!$D$518:$AF$599,23,FALSE)</f>
        <v>10573.123926201017</v>
      </c>
      <c r="J93" s="396">
        <f>VLOOKUP($B93,'[13]Div 9 forecast'!$D$518:$AF$599,24,FALSE)</f>
        <v>11396.692558951923</v>
      </c>
      <c r="K93" s="396">
        <f>VLOOKUP($B93,'[13]Div 9 forecast'!$D$518:$AF$599,25,FALSE)</f>
        <v>11296.252448389952</v>
      </c>
      <c r="L93" s="396">
        <f>VLOOKUP($B93,'[13]Div 9 forecast'!$D$518:$AF$599,26,FALSE)</f>
        <v>10930.922594183961</v>
      </c>
      <c r="M93" s="396">
        <f>VLOOKUP($B93,'[13]Div 9 forecast'!$D$518:$AF$599,27,FALSE)</f>
        <v>11375.256530130215</v>
      </c>
      <c r="N93" s="396">
        <f>VLOOKUP($B93,'[13]Div 9 forecast'!$D$518:$AF$599,28,FALSE)</f>
        <v>10620.779550085845</v>
      </c>
      <c r="O93" s="396">
        <f>VLOOKUP($B93,'[13]Div 9 forecast'!$D$518:$AF$599,29,FALSE)</f>
        <v>11949.308690249993</v>
      </c>
      <c r="P93" s="81">
        <f t="shared" si="4"/>
        <v>133613.60616766004</v>
      </c>
      <c r="Q93" s="81"/>
      <c r="R93" s="153"/>
      <c r="S93" s="81"/>
      <c r="Y93" s="901"/>
    </row>
    <row r="94" spans="1:25">
      <c r="A94" s="854">
        <f t="shared" si="5"/>
        <v>83</v>
      </c>
      <c r="B94" s="706">
        <v>9100</v>
      </c>
      <c r="C94" s="211" t="s">
        <v>948</v>
      </c>
      <c r="D94" s="396">
        <f>VLOOKUP($B94,'[13]Div 9 forecast'!$D$518:$AF$599,18,FALSE)</f>
        <v>0</v>
      </c>
      <c r="E94" s="396">
        <f>VLOOKUP($B94,'[13]Div 9 forecast'!$D$518:$AF$599,19,FALSE)</f>
        <v>0</v>
      </c>
      <c r="F94" s="396">
        <f>VLOOKUP($B94,'[13]Div 9 forecast'!$D$518:$AF$599,20,FALSE)</f>
        <v>0</v>
      </c>
      <c r="G94" s="396">
        <f>VLOOKUP($B94,'[13]Div 9 forecast'!$D$518:$AF$599,21,FALSE)</f>
        <v>0</v>
      </c>
      <c r="H94" s="396">
        <f>VLOOKUP($B94,'[13]Div 9 forecast'!$D$518:$AF$599,22,FALSE)</f>
        <v>0</v>
      </c>
      <c r="I94" s="396">
        <f>VLOOKUP($B94,'[13]Div 9 forecast'!$D$518:$AF$599,23,FALSE)</f>
        <v>0</v>
      </c>
      <c r="J94" s="396">
        <f>VLOOKUP($B94,'[13]Div 9 forecast'!$D$518:$AF$599,24,FALSE)</f>
        <v>0</v>
      </c>
      <c r="K94" s="396">
        <f>VLOOKUP($B94,'[13]Div 9 forecast'!$D$518:$AF$599,25,FALSE)</f>
        <v>0</v>
      </c>
      <c r="L94" s="396">
        <f>VLOOKUP($B94,'[13]Div 9 forecast'!$D$518:$AF$599,26,FALSE)</f>
        <v>0</v>
      </c>
      <c r="M94" s="396">
        <f>VLOOKUP($B94,'[13]Div 9 forecast'!$D$518:$AF$599,27,FALSE)</f>
        <v>0</v>
      </c>
      <c r="N94" s="396">
        <f>VLOOKUP($B94,'[13]Div 9 forecast'!$D$518:$AF$599,28,FALSE)</f>
        <v>0</v>
      </c>
      <c r="O94" s="396">
        <f>VLOOKUP($B94,'[13]Div 9 forecast'!$D$518:$AF$599,29,FALSE)</f>
        <v>0</v>
      </c>
      <c r="P94" s="81">
        <f t="shared" si="4"/>
        <v>0</v>
      </c>
      <c r="Q94" s="81"/>
      <c r="R94" s="153"/>
      <c r="S94" s="81"/>
      <c r="Y94" s="901"/>
    </row>
    <row r="95" spans="1:25">
      <c r="A95" s="854">
        <f t="shared" si="5"/>
        <v>84</v>
      </c>
      <c r="B95" s="706">
        <v>9110</v>
      </c>
      <c r="C95" s="81" t="s">
        <v>949</v>
      </c>
      <c r="D95" s="396">
        <f>VLOOKUP($B95,'[13]Div 9 forecast'!$D$518:$AF$599,18,FALSE)</f>
        <v>20597.208221392673</v>
      </c>
      <c r="E95" s="396">
        <f>VLOOKUP($B95,'[13]Div 9 forecast'!$D$518:$AF$599,19,FALSE)</f>
        <v>21913.258671345604</v>
      </c>
      <c r="F95" s="396">
        <f>VLOOKUP($B95,'[13]Div 9 forecast'!$D$518:$AF$599,20,FALSE)</f>
        <v>23031.180828829736</v>
      </c>
      <c r="G95" s="396">
        <f>VLOOKUP($B95,'[13]Div 9 forecast'!$D$518:$AF$599,21,FALSE)</f>
        <v>20353.737963201595</v>
      </c>
      <c r="H95" s="396">
        <f>VLOOKUP($B95,'[13]Div 9 forecast'!$D$518:$AF$599,22,FALSE)</f>
        <v>23366.708091721863</v>
      </c>
      <c r="I95" s="396">
        <f>VLOOKUP($B95,'[13]Div 9 forecast'!$D$518:$AF$599,23,FALSE)</f>
        <v>21661.744844618865</v>
      </c>
      <c r="J95" s="396">
        <f>VLOOKUP($B95,'[13]Div 9 forecast'!$D$518:$AF$599,24,FALSE)</f>
        <v>22848.209658092157</v>
      </c>
      <c r="K95" s="396">
        <f>VLOOKUP($B95,'[13]Div 9 forecast'!$D$518:$AF$599,25,FALSE)</f>
        <v>22560.913459615582</v>
      </c>
      <c r="L95" s="396">
        <f>VLOOKUP($B95,'[13]Div 9 forecast'!$D$518:$AF$599,26,FALSE)</f>
        <v>21987.403035531112</v>
      </c>
      <c r="M95" s="396">
        <f>VLOOKUP($B95,'[13]Div 9 forecast'!$D$518:$AF$599,27,FALSE)</f>
        <v>22486.174644204235</v>
      </c>
      <c r="N95" s="396">
        <f>VLOOKUP($B95,'[13]Div 9 forecast'!$D$518:$AF$599,28,FALSE)</f>
        <v>21541.185754824724</v>
      </c>
      <c r="O95" s="396">
        <f>VLOOKUP($B95,'[13]Div 9 forecast'!$D$518:$AF$599,29,FALSE)</f>
        <v>24613.937738297598</v>
      </c>
      <c r="P95" s="81">
        <f t="shared" ref="P95:P108" si="7">SUM(D95:O95)</f>
        <v>266961.66291167575</v>
      </c>
      <c r="Q95" s="81"/>
      <c r="R95" s="153"/>
      <c r="S95" s="81"/>
      <c r="Y95" s="901"/>
    </row>
    <row r="96" spans="1:25">
      <c r="A96" s="854">
        <f t="shared" si="5"/>
        <v>85</v>
      </c>
      <c r="B96" s="706">
        <v>9120</v>
      </c>
      <c r="C96" s="81" t="s">
        <v>950</v>
      </c>
      <c r="D96" s="396">
        <f>VLOOKUP($B96,'[13]Div 9 forecast'!$D$518:$AF$599,18,FALSE)</f>
        <v>9558.9681418768268</v>
      </c>
      <c r="E96" s="396">
        <f>VLOOKUP($B96,'[13]Div 9 forecast'!$D$518:$AF$599,19,FALSE)</f>
        <v>10173.344529650938</v>
      </c>
      <c r="F96" s="396">
        <f>VLOOKUP($B96,'[13]Div 9 forecast'!$D$518:$AF$599,20,FALSE)</f>
        <v>11196.538283443333</v>
      </c>
      <c r="G96" s="396">
        <f>VLOOKUP($B96,'[13]Div 9 forecast'!$D$518:$AF$599,21,FALSE)</f>
        <v>9410.9747929858204</v>
      </c>
      <c r="H96" s="396">
        <f>VLOOKUP($B96,'[13]Div 9 forecast'!$D$518:$AF$599,22,FALSE)</f>
        <v>11651.106127980333</v>
      </c>
      <c r="I96" s="396">
        <f>VLOOKUP($B96,'[13]Div 9 forecast'!$D$518:$AF$599,23,FALSE)</f>
        <v>12074.401517085496</v>
      </c>
      <c r="J96" s="396">
        <f>VLOOKUP($B96,'[13]Div 9 forecast'!$D$518:$AF$599,24,FALSE)</f>
        <v>12910.311088777229</v>
      </c>
      <c r="K96" s="396">
        <f>VLOOKUP($B96,'[13]Div 9 forecast'!$D$518:$AF$599,25,FALSE)</f>
        <v>6569.8752645233899</v>
      </c>
      <c r="L96" s="396">
        <f>VLOOKUP($B96,'[13]Div 9 forecast'!$D$518:$AF$599,26,FALSE)</f>
        <v>10032.512903661907</v>
      </c>
      <c r="M96" s="396">
        <f>VLOOKUP($B96,'[13]Div 9 forecast'!$D$518:$AF$599,27,FALSE)</f>
        <v>12221.323795077822</v>
      </c>
      <c r="N96" s="396">
        <f>VLOOKUP($B96,'[13]Div 9 forecast'!$D$518:$AF$599,28,FALSE)</f>
        <v>12061.722957052425</v>
      </c>
      <c r="O96" s="396">
        <f>VLOOKUP($B96,'[13]Div 9 forecast'!$D$518:$AF$599,29,FALSE)</f>
        <v>13428.863955872168</v>
      </c>
      <c r="P96" s="81">
        <f t="shared" si="7"/>
        <v>131289.94335798768</v>
      </c>
      <c r="Q96" s="81"/>
      <c r="R96" s="153"/>
      <c r="S96" s="81"/>
      <c r="Y96" s="901"/>
    </row>
    <row r="97" spans="1:25">
      <c r="A97" s="854">
        <f t="shared" si="5"/>
        <v>86</v>
      </c>
      <c r="B97" s="706">
        <v>9130</v>
      </c>
      <c r="C97" s="81" t="s">
        <v>951</v>
      </c>
      <c r="D97" s="396">
        <f>VLOOKUP($B97,'[13]Div 9 forecast'!$D$518:$AF$599,18,FALSE)</f>
        <v>3474.6082106275394</v>
      </c>
      <c r="E97" s="396">
        <f>VLOOKUP($B97,'[13]Div 9 forecast'!$D$518:$AF$599,19,FALSE)</f>
        <v>3621.5605473755786</v>
      </c>
      <c r="F97" s="396">
        <f>VLOOKUP($B97,'[13]Div 9 forecast'!$D$518:$AF$599,20,FALSE)</f>
        <v>4043.2984252652363</v>
      </c>
      <c r="G97" s="396">
        <f>VLOOKUP($B97,'[13]Div 9 forecast'!$D$518:$AF$599,21,FALSE)</f>
        <v>2837.6476025595707</v>
      </c>
      <c r="H97" s="396">
        <f>VLOOKUP($B97,'[13]Div 9 forecast'!$D$518:$AF$599,22,FALSE)</f>
        <v>4175.8490290029549</v>
      </c>
      <c r="I97" s="396">
        <f>VLOOKUP($B97,'[13]Div 9 forecast'!$D$518:$AF$599,23,FALSE)</f>
        <v>4392.5689690486752</v>
      </c>
      <c r="J97" s="396">
        <f>VLOOKUP($B97,'[13]Div 9 forecast'!$D$518:$AF$599,24,FALSE)</f>
        <v>4172.0275790556625</v>
      </c>
      <c r="K97" s="396">
        <f>VLOOKUP($B97,'[13]Div 9 forecast'!$D$518:$AF$599,25,FALSE)</f>
        <v>2317.9921993413336</v>
      </c>
      <c r="L97" s="396">
        <f>VLOOKUP($B97,'[13]Div 9 forecast'!$D$518:$AF$599,26,FALSE)</f>
        <v>3367.2511335634836</v>
      </c>
      <c r="M97" s="396">
        <f>VLOOKUP($B97,'[13]Div 9 forecast'!$D$518:$AF$599,27,FALSE)</f>
        <v>4040.8125815806166</v>
      </c>
      <c r="N97" s="396">
        <f>VLOOKUP($B97,'[13]Div 9 forecast'!$D$518:$AF$599,28,FALSE)</f>
        <v>4282.6523760684295</v>
      </c>
      <c r="O97" s="396">
        <f>VLOOKUP($B97,'[13]Div 9 forecast'!$D$518:$AF$599,29,FALSE)</f>
        <v>4756.7545749398332</v>
      </c>
      <c r="P97" s="81">
        <f t="shared" si="7"/>
        <v>45483.023228428916</v>
      </c>
      <c r="Q97" s="81"/>
      <c r="R97" s="153"/>
      <c r="S97" s="81"/>
      <c r="Y97" s="901"/>
    </row>
    <row r="98" spans="1:25">
      <c r="A98" s="854">
        <f t="shared" si="5"/>
        <v>87</v>
      </c>
      <c r="B98" s="706">
        <v>9200</v>
      </c>
      <c r="C98" s="103" t="s">
        <v>1327</v>
      </c>
      <c r="D98" s="396">
        <f>VLOOKUP($B98,'[13]Div 9 forecast'!$D$518:$AF$599,18,FALSE)</f>
        <v>11409.918984015183</v>
      </c>
      <c r="E98" s="396">
        <f>VLOOKUP($B98,'[13]Div 9 forecast'!$D$518:$AF$599,19,FALSE)</f>
        <v>12344.597162329785</v>
      </c>
      <c r="F98" s="396">
        <f>VLOOKUP($B98,'[13]Div 9 forecast'!$D$518:$AF$599,20,FALSE)</f>
        <v>11409.918984015183</v>
      </c>
      <c r="G98" s="396">
        <f>VLOOKUP($B98,'[13]Div 9 forecast'!$D$518:$AF$599,21,FALSE)</f>
        <v>11877.258478780925</v>
      </c>
      <c r="H98" s="396">
        <f>VLOOKUP($B98,'[13]Div 9 forecast'!$D$518:$AF$599,22,FALSE)</f>
        <v>12344.597162329785</v>
      </c>
      <c r="I98" s="396">
        <f>VLOOKUP($B98,'[13]Div 9 forecast'!$D$518:$AF$599,23,FALSE)</f>
        <v>10942.551332907737</v>
      </c>
      <c r="J98" s="396">
        <f>VLOOKUP($B98,'[13]Div 9 forecast'!$D$518:$AF$599,24,FALSE)</f>
        <v>12233.576233144351</v>
      </c>
      <c r="K98" s="396">
        <f>VLOOKUP($B98,'[13]Div 9 forecast'!$D$518:$AF$599,25,FALSE)</f>
        <v>12233.576233144351</v>
      </c>
      <c r="L98" s="396">
        <f>VLOOKUP($B98,'[13]Div 9 forecast'!$D$518:$AF$599,26,FALSE)</f>
        <v>11752.21655353564</v>
      </c>
      <c r="M98" s="396">
        <f>VLOOKUP($B98,'[13]Div 9 forecast'!$D$518:$AF$599,27,FALSE)</f>
        <v>12714.935077199678</v>
      </c>
      <c r="N98" s="396">
        <f>VLOOKUP($B98,'[13]Div 9 forecast'!$D$518:$AF$599,28,FALSE)</f>
        <v>11270.857190557683</v>
      </c>
      <c r="O98" s="396">
        <f>VLOOKUP($B98,'[13]Div 9 forecast'!$D$518:$AF$599,29,FALSE)</f>
        <v>12233.576233144351</v>
      </c>
      <c r="P98" s="81">
        <f t="shared" ref="P98" si="8">SUM(D98:O98)</f>
        <v>142767.57962510464</v>
      </c>
      <c r="Q98" s="81"/>
      <c r="R98" s="153"/>
      <c r="S98" s="81"/>
      <c r="Y98" s="901"/>
    </row>
    <row r="99" spans="1:25">
      <c r="A99" s="854">
        <f t="shared" si="5"/>
        <v>88</v>
      </c>
      <c r="B99" s="706">
        <v>9210</v>
      </c>
      <c r="C99" s="81" t="s">
        <v>952</v>
      </c>
      <c r="D99" s="396">
        <f>VLOOKUP($B99,'[13]Div 9 forecast'!$D$518:$AF$599,18,FALSE)</f>
        <v>276.02232274503115</v>
      </c>
      <c r="E99" s="396">
        <f>VLOOKUP($B99,'[13]Div 9 forecast'!$D$518:$AF$599,19,FALSE)</f>
        <v>-1.7813642583690239</v>
      </c>
      <c r="F99" s="396">
        <f>VLOOKUP($B99,'[13]Div 9 forecast'!$D$518:$AF$599,20,FALSE)</f>
        <v>275.12738362943463</v>
      </c>
      <c r="G99" s="396">
        <f>VLOOKUP($B99,'[13]Div 9 forecast'!$D$518:$AF$599,21,FALSE)</f>
        <v>212.74542055867269</v>
      </c>
      <c r="H99" s="396">
        <f>VLOOKUP($B99,'[13]Div 9 forecast'!$D$518:$AF$599,22,FALSE)</f>
        <v>339.08952270284476</v>
      </c>
      <c r="I99" s="396">
        <f>VLOOKUP($B99,'[13]Div 9 forecast'!$D$518:$AF$599,23,FALSE)</f>
        <v>344.65734059521515</v>
      </c>
      <c r="J99" s="396">
        <f>VLOOKUP($B99,'[13]Div 9 forecast'!$D$518:$AF$599,24,FALSE)</f>
        <v>308.85523548641817</v>
      </c>
      <c r="K99" s="396">
        <f>VLOOKUP($B99,'[13]Div 9 forecast'!$D$518:$AF$599,25,FALSE)</f>
        <v>194.54688484462145</v>
      </c>
      <c r="L99" s="396">
        <f>VLOOKUP($B99,'[13]Div 9 forecast'!$D$518:$AF$599,26,FALSE)</f>
        <v>270.37413966801546</v>
      </c>
      <c r="M99" s="396">
        <f>VLOOKUP($B99,'[13]Div 9 forecast'!$D$518:$AF$599,27,FALSE)</f>
        <v>311.90404145912532</v>
      </c>
      <c r="N99" s="396">
        <f>VLOOKUP($B99,'[13]Div 9 forecast'!$D$518:$AF$599,28,FALSE)</f>
        <v>335.38674505512029</v>
      </c>
      <c r="O99" s="396">
        <f>VLOOKUP($B99,'[13]Div 9 forecast'!$D$518:$AF$599,29,FALSE)</f>
        <v>381.66295727929759</v>
      </c>
      <c r="P99" s="81">
        <f t="shared" si="7"/>
        <v>3248.5906297654274</v>
      </c>
      <c r="Q99" s="81"/>
      <c r="R99" s="153"/>
      <c r="S99" s="81"/>
      <c r="Y99" s="901"/>
    </row>
    <row r="100" spans="1:25">
      <c r="A100" s="854">
        <f t="shared" si="5"/>
        <v>89</v>
      </c>
      <c r="B100" s="706">
        <v>9220</v>
      </c>
      <c r="C100" s="81" t="s">
        <v>953</v>
      </c>
      <c r="D100" s="96">
        <f>-('C.2.2-F 02'!D40+'C.2.2-F 12'!D34+'C.2.2-F 91'!D54)</f>
        <v>1130261.4518681839</v>
      </c>
      <c r="E100" s="96">
        <f>-('C.2.2-F 02'!E40+'C.2.2-F 12'!E34+'C.2.2-F 91'!E54)</f>
        <v>1341586.5165425453</v>
      </c>
      <c r="F100" s="96">
        <f>-('C.2.2-F 02'!F40+'C.2.2-F 12'!F34+'C.2.2-F 91'!F54)</f>
        <v>1109128.0612388612</v>
      </c>
      <c r="G100" s="96">
        <f>-('C.2.2-F 02'!G40+'C.2.2-F 12'!G34+'C.2.2-F 91'!G54)</f>
        <v>1227313.9963896247</v>
      </c>
      <c r="H100" s="96">
        <f>-('C.2.2-F 02'!H40+'C.2.2-F 12'!H34+'C.2.2-F 91'!H54)</f>
        <v>1073977.5463626168</v>
      </c>
      <c r="I100" s="96">
        <f>-('C.2.2-F 02'!I40+'C.2.2-F 12'!I34+'C.2.2-F 91'!I54)</f>
        <v>1082149.5749878115</v>
      </c>
      <c r="J100" s="96">
        <f>-('C.2.2-F 02'!J40+'C.2.2-F 12'!J34+'C.2.2-F 91'!J54)</f>
        <v>1128652.9144877233</v>
      </c>
      <c r="K100" s="96">
        <f>-('C.2.2-F 02'!K40+'C.2.2-F 12'!K34+'C.2.2-F 91'!K54)</f>
        <v>1161122.367336801</v>
      </c>
      <c r="L100" s="96">
        <f>-('C.2.2-F 02'!L40+'C.2.2-F 12'!L34+'C.2.2-F 91'!L54)</f>
        <v>1134121.3818485965</v>
      </c>
      <c r="M100" s="96">
        <f>-('C.2.2-F 02'!M40+'C.2.2-F 12'!M34+'C.2.2-F 91'!M54)</f>
        <v>1216346.9526900069</v>
      </c>
      <c r="N100" s="96">
        <f>-('C.2.2-F 02'!N40+'C.2.2-F 12'!N34+'C.2.2-F 91'!N54)</f>
        <v>1110581.1285678549</v>
      </c>
      <c r="O100" s="96">
        <f>-('C.2.2-F 02'!O40+'C.2.2-F 12'!O34+'C.2.2-F 91'!O54)</f>
        <v>1297158.9379404597</v>
      </c>
      <c r="P100" s="81">
        <f>SUM(D100:O100)</f>
        <v>14012400.830261085</v>
      </c>
      <c r="Q100" s="670"/>
      <c r="R100" s="153"/>
      <c r="S100" s="81"/>
      <c r="Y100" s="901"/>
    </row>
    <row r="101" spans="1:25">
      <c r="A101" s="854">
        <f t="shared" si="5"/>
        <v>90</v>
      </c>
      <c r="B101" s="706">
        <v>9230</v>
      </c>
      <c r="C101" s="81" t="s">
        <v>954</v>
      </c>
      <c r="D101" s="396">
        <f>VLOOKUP($B101,'[13]Div 9 forecast'!$D$518:$AF$599,18,FALSE)</f>
        <v>5442.351102246299</v>
      </c>
      <c r="E101" s="396">
        <f>VLOOKUP($B101,'[13]Div 9 forecast'!$D$518:$AF$599,19,FALSE)</f>
        <v>4813.2924053762554</v>
      </c>
      <c r="F101" s="396">
        <f>VLOOKUP($B101,'[13]Div 9 forecast'!$D$518:$AF$599,20,FALSE)</f>
        <v>11892.230639486997</v>
      </c>
      <c r="G101" s="396">
        <f>VLOOKUP($B101,'[13]Div 9 forecast'!$D$518:$AF$599,21,FALSE)</f>
        <v>10316.727211396368</v>
      </c>
      <c r="H101" s="396">
        <f>VLOOKUP($B101,'[13]Div 9 forecast'!$D$518:$AF$599,22,FALSE)</f>
        <v>5892.1792087130416</v>
      </c>
      <c r="I101" s="396">
        <f>VLOOKUP($B101,'[13]Div 9 forecast'!$D$518:$AF$599,23,FALSE)</f>
        <v>6037.2621747849598</v>
      </c>
      <c r="J101" s="396">
        <f>VLOOKUP($B101,'[13]Div 9 forecast'!$D$518:$AF$599,24,FALSE)</f>
        <v>5045.9183349906152</v>
      </c>
      <c r="K101" s="396">
        <f>VLOOKUP($B101,'[13]Div 9 forecast'!$D$518:$AF$599,25,FALSE)</f>
        <v>5349.0562074909139</v>
      </c>
      <c r="L101" s="396">
        <f>VLOOKUP($B101,'[13]Div 9 forecast'!$D$518:$AF$599,26,FALSE)</f>
        <v>3418.6418831471237</v>
      </c>
      <c r="M101" s="396">
        <f>VLOOKUP($B101,'[13]Div 9 forecast'!$D$518:$AF$599,27,FALSE)</f>
        <v>3879.5675678206553</v>
      </c>
      <c r="N101" s="396">
        <f>VLOOKUP($B101,'[13]Div 9 forecast'!$D$518:$AF$599,28,FALSE)</f>
        <v>3544.5241579758367</v>
      </c>
      <c r="O101" s="396">
        <f>VLOOKUP($B101,'[13]Div 9 forecast'!$D$518:$AF$599,29,FALSE)</f>
        <v>4217.7850731271619</v>
      </c>
      <c r="P101" s="81">
        <f t="shared" si="7"/>
        <v>69849.535966556228</v>
      </c>
      <c r="Q101" s="81"/>
      <c r="R101" s="153"/>
      <c r="S101" s="81"/>
      <c r="Y101" s="901"/>
    </row>
    <row r="102" spans="1:25">
      <c r="A102" s="854">
        <f t="shared" si="5"/>
        <v>91</v>
      </c>
      <c r="B102" s="706">
        <v>9240</v>
      </c>
      <c r="C102" s="81" t="s">
        <v>955</v>
      </c>
      <c r="D102" s="396">
        <f>VLOOKUP($B102,'[13]Div 9 forecast'!$D$518:$AF$599,18,FALSE)</f>
        <v>394.33366306974824</v>
      </c>
      <c r="E102" s="396">
        <f>VLOOKUP($B102,'[13]Div 9 forecast'!$D$518:$AF$599,19,FALSE)</f>
        <v>591.50049460462242</v>
      </c>
      <c r="F102" s="396">
        <f>VLOOKUP($B102,'[13]Div 9 forecast'!$D$518:$AF$599,20,FALSE)</f>
        <v>394.33366306974824</v>
      </c>
      <c r="G102" s="396">
        <f>VLOOKUP($B102,'[13]Div 9 forecast'!$D$518:$AF$599,21,FALSE)</f>
        <v>531.92653645636017</v>
      </c>
      <c r="H102" s="396">
        <f>VLOOKUP($B102,'[13]Div 9 forecast'!$D$518:$AF$599,22,FALSE)</f>
        <v>394.33366306974824</v>
      </c>
      <c r="I102" s="396">
        <f>VLOOKUP($B102,'[13]Div 9 forecast'!$D$518:$AF$599,23,FALSE)</f>
        <v>394.33366306974824</v>
      </c>
      <c r="J102" s="396">
        <f>VLOOKUP($B102,'[13]Div 9 forecast'!$D$518:$AF$599,24,FALSE)</f>
        <v>394.33366306974824</v>
      </c>
      <c r="K102" s="396">
        <f>VLOOKUP($B102,'[13]Div 9 forecast'!$D$518:$AF$599,25,FALSE)</f>
        <v>394.33366306974824</v>
      </c>
      <c r="L102" s="396">
        <f>VLOOKUP($B102,'[13]Div 9 forecast'!$D$518:$AF$599,26,FALSE)</f>
        <v>394.33366306974824</v>
      </c>
      <c r="M102" s="396">
        <f>VLOOKUP($B102,'[13]Div 9 forecast'!$D$518:$AF$599,27,FALSE)</f>
        <v>887.25074190693363</v>
      </c>
      <c r="N102" s="396">
        <f>VLOOKUP($B102,'[13]Div 9 forecast'!$D$518:$AF$599,28,FALSE)</f>
        <v>394.33366306974824</v>
      </c>
      <c r="O102" s="396">
        <f>VLOOKUP($B102,'[13]Div 9 forecast'!$D$518:$AF$599,29,FALSE)</f>
        <v>394.33366306974824</v>
      </c>
      <c r="P102" s="81">
        <f t="shared" si="7"/>
        <v>5559.6807405956506</v>
      </c>
      <c r="Q102" s="81"/>
      <c r="R102" s="153"/>
      <c r="S102" s="81"/>
      <c r="Y102" s="901"/>
    </row>
    <row r="103" spans="1:25">
      <c r="A103" s="854">
        <f t="shared" si="5"/>
        <v>92</v>
      </c>
      <c r="B103" s="706">
        <v>9250</v>
      </c>
      <c r="C103" s="81" t="s">
        <v>956</v>
      </c>
      <c r="D103" s="396">
        <f>VLOOKUP($B103,'[13]Div 9 forecast'!$D$518:$AF$599,18,FALSE)</f>
        <v>1321.15136120696</v>
      </c>
      <c r="E103" s="396">
        <f>VLOOKUP($B103,'[13]Div 9 forecast'!$D$518:$AF$599,19,FALSE)</f>
        <v>1247.1102885828886</v>
      </c>
      <c r="F103" s="396">
        <f>VLOOKUP($B103,'[13]Div 9 forecast'!$D$518:$AF$599,20,FALSE)</f>
        <v>2509.3293258125286</v>
      </c>
      <c r="G103" s="396">
        <f>VLOOKUP($B103,'[13]Div 9 forecast'!$D$518:$AF$599,21,FALSE)</f>
        <v>2074.4124744442711</v>
      </c>
      <c r="H103" s="396">
        <f>VLOOKUP($B103,'[13]Div 9 forecast'!$D$518:$AF$599,22,FALSE)</f>
        <v>1370.6078478838629</v>
      </c>
      <c r="I103" s="396">
        <f>VLOOKUP($B103,'[13]Div 9 forecast'!$D$518:$AF$599,23,FALSE)</f>
        <v>1738.8079264292269</v>
      </c>
      <c r="J103" s="396">
        <f>VLOOKUP($B103,'[13]Div 9 forecast'!$D$518:$AF$599,24,FALSE)</f>
        <v>1404.6870737932436</v>
      </c>
      <c r="K103" s="396">
        <f>VLOOKUP($B103,'[13]Div 9 forecast'!$D$518:$AF$599,25,FALSE)</f>
        <v>1574.4198452007522</v>
      </c>
      <c r="L103" s="396">
        <f>VLOOKUP($B103,'[13]Div 9 forecast'!$D$518:$AF$599,26,FALSE)</f>
        <v>1068.4357395239983</v>
      </c>
      <c r="M103" s="396">
        <f>VLOOKUP($B103,'[13]Div 9 forecast'!$D$518:$AF$599,27,FALSE)</f>
        <v>1191.4984498848471</v>
      </c>
      <c r="N103" s="396">
        <f>VLOOKUP($B103,'[13]Div 9 forecast'!$D$518:$AF$599,28,FALSE)</f>
        <v>1139.3669154324514</v>
      </c>
      <c r="O103" s="396">
        <f>VLOOKUP($B103,'[13]Div 9 forecast'!$D$518:$AF$599,29,FALSE)</f>
        <v>1301.559650884752</v>
      </c>
      <c r="P103" s="81">
        <f t="shared" si="7"/>
        <v>17941.386899079786</v>
      </c>
      <c r="Q103" s="81"/>
      <c r="R103" s="153"/>
      <c r="S103" s="81"/>
      <c r="Y103" s="901"/>
    </row>
    <row r="104" spans="1:25">
      <c r="A104" s="854">
        <f t="shared" si="5"/>
        <v>93</v>
      </c>
      <c r="B104" s="706">
        <v>9260</v>
      </c>
      <c r="C104" s="81" t="s">
        <v>957</v>
      </c>
      <c r="D104" s="396">
        <f>VLOOKUP($B104,'[13]Div 9 forecast'!$D$518:$AF$599,18,FALSE)</f>
        <v>134036.64589471029</v>
      </c>
      <c r="E104" s="396">
        <f>VLOOKUP($B104,'[13]Div 9 forecast'!$D$518:$AF$599,19,FALSE)</f>
        <v>145518.61444494256</v>
      </c>
      <c r="F104" s="396">
        <f>VLOOKUP($B104,'[13]Div 9 forecast'!$D$518:$AF$599,20,FALSE)</f>
        <v>135758.4131632403</v>
      </c>
      <c r="G104" s="396">
        <f>VLOOKUP($B104,'[13]Div 9 forecast'!$D$518:$AF$599,21,FALSE)</f>
        <v>137968.09830108209</v>
      </c>
      <c r="H104" s="396">
        <f>VLOOKUP($B104,'[13]Div 9 forecast'!$D$518:$AF$599,22,FALSE)</f>
        <v>143859.86088830727</v>
      </c>
      <c r="I104" s="396">
        <f>VLOOKUP($B104,'[13]Div 9 forecast'!$D$518:$AF$599,23,FALSE)</f>
        <v>135503.41628060065</v>
      </c>
      <c r="J104" s="396">
        <f>VLOOKUP($B104,'[13]Div 9 forecast'!$D$518:$AF$599,24,FALSE)</f>
        <v>170236.288926373</v>
      </c>
      <c r="K104" s="396">
        <f>VLOOKUP($B104,'[13]Div 9 forecast'!$D$518:$AF$599,25,FALSE)</f>
        <v>173140.01823495477</v>
      </c>
      <c r="L104" s="396">
        <f>VLOOKUP($B104,'[13]Div 9 forecast'!$D$518:$AF$599,26,FALSE)</f>
        <v>162987.83292098774</v>
      </c>
      <c r="M104" s="396">
        <f>VLOOKUP($B104,'[13]Div 9 forecast'!$D$518:$AF$599,27,FALSE)</f>
        <v>175837.16070539309</v>
      </c>
      <c r="N104" s="396">
        <f>VLOOKUP($B104,'[13]Div 9 forecast'!$D$518:$AF$599,28,FALSE)</f>
        <v>157329.40461890862</v>
      </c>
      <c r="O104" s="396">
        <f>VLOOKUP($B104,'[13]Div 9 forecast'!$D$518:$AF$599,29,FALSE)</f>
        <v>171023.60665024107</v>
      </c>
      <c r="P104" s="81">
        <f t="shared" si="7"/>
        <v>1843199.3610297418</v>
      </c>
      <c r="Q104" s="81"/>
      <c r="R104" s="153"/>
      <c r="S104" s="81"/>
      <c r="Y104" s="901"/>
    </row>
    <row r="105" spans="1:25">
      <c r="A105" s="854">
        <f t="shared" si="5"/>
        <v>94</v>
      </c>
      <c r="B105" s="706">
        <v>9270</v>
      </c>
      <c r="C105" s="81" t="s">
        <v>958</v>
      </c>
      <c r="D105" s="396">
        <f>VLOOKUP($B105,'[13]Div 9 forecast'!$D$518:$AF$599,18,FALSE)</f>
        <v>26.295250087442181</v>
      </c>
      <c r="E105" s="396">
        <f>VLOOKUP($B105,'[13]Div 9 forecast'!$D$518:$AF$599,19,FALSE)</f>
        <v>823.80355297940935</v>
      </c>
      <c r="F105" s="396">
        <f>VLOOKUP($B105,'[13]Div 9 forecast'!$D$518:$AF$599,20,FALSE)</f>
        <v>199.98449944893267</v>
      </c>
      <c r="G105" s="396">
        <f>VLOOKUP($B105,'[13]Div 9 forecast'!$D$518:$AF$599,21,FALSE)</f>
        <v>53.75512915158901</v>
      </c>
      <c r="H105" s="396">
        <f>VLOOKUP($B105,'[13]Div 9 forecast'!$D$518:$AF$599,22,FALSE)</f>
        <v>21.136297982106768</v>
      </c>
      <c r="I105" s="396">
        <f>VLOOKUP($B105,'[13]Div 9 forecast'!$D$518:$AF$599,23,FALSE)</f>
        <v>42.785600433579511</v>
      </c>
      <c r="J105" s="396">
        <f>VLOOKUP($B105,'[13]Div 9 forecast'!$D$518:$AF$599,24,FALSE)</f>
        <v>82.987592800505183</v>
      </c>
      <c r="K105" s="396">
        <f>VLOOKUP($B105,'[13]Div 9 forecast'!$D$518:$AF$599,25,FALSE)</f>
        <v>77.835902190061532</v>
      </c>
      <c r="L105" s="396">
        <f>VLOOKUP($B105,'[13]Div 9 forecast'!$D$518:$AF$599,26,FALSE)</f>
        <v>47.88898431433725</v>
      </c>
      <c r="M105" s="396">
        <f>VLOOKUP($B105,'[13]Div 9 forecast'!$D$518:$AF$599,27,FALSE)</f>
        <v>32.664931964851249</v>
      </c>
      <c r="N105" s="396">
        <f>VLOOKUP($B105,'[13]Div 9 forecast'!$D$518:$AF$599,28,FALSE)</f>
        <v>31.569702114790584</v>
      </c>
      <c r="O105" s="396">
        <f>VLOOKUP($B105,'[13]Div 9 forecast'!$D$518:$AF$599,29,FALSE)</f>
        <v>42.328200774064179</v>
      </c>
      <c r="P105" s="81">
        <f t="shared" si="7"/>
        <v>1483.0356442416694</v>
      </c>
      <c r="Q105" s="81"/>
      <c r="R105" s="153"/>
      <c r="S105" s="81"/>
      <c r="Y105" s="901"/>
    </row>
    <row r="106" spans="1:25">
      <c r="A106" s="854">
        <f t="shared" si="5"/>
        <v>95</v>
      </c>
      <c r="B106" s="706">
        <v>9280</v>
      </c>
      <c r="C106" s="81" t="s">
        <v>959</v>
      </c>
      <c r="D106" s="396">
        <f>VLOOKUP($B106,'[13]Div 9 forecast'!$D$518:$AF$599,18,FALSE)</f>
        <v>0</v>
      </c>
      <c r="E106" s="396">
        <f>VLOOKUP($B106,'[13]Div 9 forecast'!$D$518:$AF$599,19,FALSE)</f>
        <v>0</v>
      </c>
      <c r="F106" s="396">
        <f>VLOOKUP($B106,'[13]Div 9 forecast'!$D$518:$AF$599,20,FALSE)</f>
        <v>0</v>
      </c>
      <c r="G106" s="396">
        <f>VLOOKUP($B106,'[13]Div 9 forecast'!$D$518:$AF$599,21,FALSE)</f>
        <v>0</v>
      </c>
      <c r="H106" s="396">
        <f>VLOOKUP($B106,'[13]Div 9 forecast'!$D$518:$AF$599,22,FALSE)</f>
        <v>0</v>
      </c>
      <c r="I106" s="396">
        <f>VLOOKUP($B106,'[13]Div 9 forecast'!$D$518:$AF$599,23,FALSE)</f>
        <v>0</v>
      </c>
      <c r="J106" s="396">
        <f>VLOOKUP($B106,'[13]Div 9 forecast'!$D$518:$AF$599,24,FALSE)</f>
        <v>0</v>
      </c>
      <c r="K106" s="396">
        <f>VLOOKUP($B106,'[13]Div 9 forecast'!$D$518:$AF$599,25,FALSE)</f>
        <v>0</v>
      </c>
      <c r="L106" s="396">
        <f>VLOOKUP($B106,'[13]Div 9 forecast'!$D$518:$AF$599,26,FALSE)</f>
        <v>0</v>
      </c>
      <c r="M106" s="396">
        <f>VLOOKUP($B106,'[13]Div 9 forecast'!$D$518:$AF$599,27,FALSE)</f>
        <v>0</v>
      </c>
      <c r="N106" s="396">
        <f>VLOOKUP($B106,'[13]Div 9 forecast'!$D$518:$AF$599,28,FALSE)</f>
        <v>0</v>
      </c>
      <c r="O106" s="396">
        <f>VLOOKUP($B106,'[13]Div 9 forecast'!$D$518:$AF$599,29,FALSE)</f>
        <v>0</v>
      </c>
      <c r="P106" s="81">
        <f t="shared" si="7"/>
        <v>0</v>
      </c>
      <c r="Q106" s="81"/>
      <c r="R106" s="153"/>
      <c r="S106" s="81"/>
      <c r="Y106" s="901"/>
    </row>
    <row r="107" spans="1:25">
      <c r="A107" s="854">
        <f t="shared" si="5"/>
        <v>96</v>
      </c>
      <c r="B107" s="706">
        <v>9302</v>
      </c>
      <c r="C107" s="81" t="s">
        <v>864</v>
      </c>
      <c r="D107" s="396">
        <f>VLOOKUP($B107,'[13]Div 9 forecast'!$D$518:$AF$599,18,FALSE)</f>
        <v>332.40281215901928</v>
      </c>
      <c r="E107" s="396">
        <f>VLOOKUP($B107,'[13]Div 9 forecast'!$D$518:$AF$599,19,FALSE)</f>
        <v>1976.360423898564</v>
      </c>
      <c r="F107" s="396">
        <f>VLOOKUP($B107,'[13]Div 9 forecast'!$D$518:$AF$599,20,FALSE)</f>
        <v>1165.4206743832085</v>
      </c>
      <c r="G107" s="396">
        <f>VLOOKUP($B107,'[13]Div 9 forecast'!$D$518:$AF$599,21,FALSE)</f>
        <v>11797.878625976371</v>
      </c>
      <c r="H107" s="396">
        <f>VLOOKUP($B107,'[13]Div 9 forecast'!$D$518:$AF$599,22,FALSE)</f>
        <v>1983.9933773629566</v>
      </c>
      <c r="I107" s="396">
        <f>VLOOKUP($B107,'[13]Div 9 forecast'!$D$518:$AF$599,23,FALSE)</f>
        <v>384.52029011481613</v>
      </c>
      <c r="J107" s="396">
        <f>VLOOKUP($B107,'[13]Div 9 forecast'!$D$518:$AF$599,24,FALSE)</f>
        <v>10935.477996652693</v>
      </c>
      <c r="K107" s="396">
        <f>VLOOKUP($B107,'[13]Div 9 forecast'!$D$518:$AF$599,25,FALSE)</f>
        <v>684.21630705275663</v>
      </c>
      <c r="L107" s="396">
        <f>VLOOKUP($B107,'[13]Div 9 forecast'!$D$518:$AF$599,26,FALSE)</f>
        <v>5642.6403298598962</v>
      </c>
      <c r="M107" s="396">
        <f>VLOOKUP($B107,'[13]Div 9 forecast'!$D$518:$AF$599,27,FALSE)</f>
        <v>8408.650308341952</v>
      </c>
      <c r="N107" s="396">
        <f>VLOOKUP($B107,'[13]Div 9 forecast'!$D$518:$AF$599,28,FALSE)</f>
        <v>2802.6727775416689</v>
      </c>
      <c r="O107" s="396">
        <f>VLOOKUP($B107,'[13]Div 9 forecast'!$D$518:$AF$599,29,FALSE)</f>
        <v>3586.6673805800356</v>
      </c>
      <c r="P107" s="81">
        <f t="shared" si="7"/>
        <v>49700.901303923936</v>
      </c>
      <c r="Q107" s="81"/>
      <c r="R107" s="74"/>
      <c r="S107" s="81"/>
      <c r="Y107" s="901"/>
    </row>
    <row r="108" spans="1:25">
      <c r="A108" s="854">
        <f t="shared" si="5"/>
        <v>97</v>
      </c>
      <c r="B108" s="706">
        <v>9310</v>
      </c>
      <c r="C108" s="103" t="s">
        <v>185</v>
      </c>
      <c r="D108" s="396">
        <f>VLOOKUP($B108,'[13]Div 9 forecast'!$D$518:$AF$599,18,FALSE)</f>
        <v>1033.6335084915243</v>
      </c>
      <c r="E108" s="396">
        <f>VLOOKUP($B108,'[13]Div 9 forecast'!$D$518:$AF$599,19,FALSE)</f>
        <v>1086.7207252654891</v>
      </c>
      <c r="F108" s="396">
        <f>VLOOKUP($B108,'[13]Div 9 forecast'!$D$518:$AF$599,20,FALSE)</f>
        <v>1119.3941648888872</v>
      </c>
      <c r="G108" s="396">
        <f>VLOOKUP($B108,'[13]Div 9 forecast'!$D$518:$AF$599,21,FALSE)</f>
        <v>1021.8603753481474</v>
      </c>
      <c r="H108" s="396">
        <f>VLOOKUP($B108,'[13]Div 9 forecast'!$D$518:$AF$599,22,FALSE)</f>
        <v>1071.552357667365</v>
      </c>
      <c r="I108" s="396">
        <f>VLOOKUP($B108,'[13]Div 9 forecast'!$D$518:$AF$599,23,FALSE)</f>
        <v>966.90788596976756</v>
      </c>
      <c r="J108" s="396">
        <f>VLOOKUP($B108,'[13]Div 9 forecast'!$D$518:$AF$599,24,FALSE)</f>
        <v>1031.9730262605183</v>
      </c>
      <c r="K108" s="396">
        <f>VLOOKUP($B108,'[13]Div 9 forecast'!$D$518:$AF$599,25,FALSE)</f>
        <v>1138.6707588720099</v>
      </c>
      <c r="L108" s="396">
        <f>VLOOKUP($B108,'[13]Div 9 forecast'!$D$518:$AF$599,26,FALSE)</f>
        <v>994.05880373996285</v>
      </c>
      <c r="M108" s="396">
        <f>VLOOKUP($B108,'[13]Div 9 forecast'!$D$518:$AF$599,27,FALSE)</f>
        <v>1112.2114043128511</v>
      </c>
      <c r="N108" s="396">
        <f>VLOOKUP($B108,'[13]Div 9 forecast'!$D$518:$AF$599,28,FALSE)</f>
        <v>1112.9056461137895</v>
      </c>
      <c r="O108" s="396">
        <f>VLOOKUP($B108,'[13]Div 9 forecast'!$D$518:$AF$599,29,FALSE)</f>
        <v>1080.9469029778534</v>
      </c>
      <c r="P108" s="81">
        <f t="shared" si="7"/>
        <v>12770.835559908166</v>
      </c>
      <c r="Q108" s="81"/>
      <c r="R108" s="74"/>
      <c r="S108" s="81"/>
      <c r="Y108" s="901"/>
    </row>
    <row r="109" spans="1:25">
      <c r="A109" s="854">
        <f t="shared" si="5"/>
        <v>98</v>
      </c>
      <c r="B109" s="832">
        <v>9320</v>
      </c>
      <c r="C109" s="80" t="s">
        <v>186</v>
      </c>
      <c r="D109" s="396">
        <f>VLOOKUP($B109,'[13]Div 9 forecast'!$D$518:$AF$599,18,FALSE)</f>
        <v>0</v>
      </c>
      <c r="E109" s="396">
        <f>VLOOKUP($B109,'[13]Div 9 forecast'!$D$518:$AF$599,19,FALSE)</f>
        <v>0</v>
      </c>
      <c r="F109" s="396">
        <f>VLOOKUP($B109,'[13]Div 9 forecast'!$D$518:$AF$599,20,FALSE)</f>
        <v>0</v>
      </c>
      <c r="G109" s="396">
        <f>VLOOKUP($B109,'[13]Div 9 forecast'!$D$518:$AF$599,21,FALSE)</f>
        <v>0</v>
      </c>
      <c r="H109" s="396">
        <f>VLOOKUP($B109,'[13]Div 9 forecast'!$D$518:$AF$599,22,FALSE)</f>
        <v>0</v>
      </c>
      <c r="I109" s="396">
        <f>VLOOKUP($B109,'[13]Div 9 forecast'!$D$518:$AF$599,23,FALSE)</f>
        <v>0</v>
      </c>
      <c r="J109" s="396">
        <f>VLOOKUP($B109,'[13]Div 9 forecast'!$D$518:$AF$599,24,FALSE)</f>
        <v>0</v>
      </c>
      <c r="K109" s="396">
        <f>VLOOKUP($B109,'[13]Div 9 forecast'!$D$518:$AF$599,25,FALSE)</f>
        <v>0</v>
      </c>
      <c r="L109" s="396">
        <f>VLOOKUP($B109,'[13]Div 9 forecast'!$D$518:$AF$599,26,FALSE)</f>
        <v>0</v>
      </c>
      <c r="M109" s="396">
        <f>VLOOKUP($B109,'[13]Div 9 forecast'!$D$518:$AF$599,27,FALSE)</f>
        <v>0</v>
      </c>
      <c r="N109" s="396">
        <f>VLOOKUP($B109,'[13]Div 9 forecast'!$D$518:$AF$599,28,FALSE)</f>
        <v>0</v>
      </c>
      <c r="O109" s="396">
        <f>VLOOKUP($B109,'[13]Div 9 forecast'!$D$518:$AF$599,29,FALSE)</f>
        <v>0</v>
      </c>
      <c r="P109" s="81">
        <f>SUM(D109:O109)</f>
        <v>0</v>
      </c>
      <c r="Q109" s="81"/>
      <c r="R109" s="81"/>
      <c r="S109" s="81"/>
      <c r="Y109" s="901"/>
    </row>
    <row r="110" spans="1:25" ht="15.75" thickBot="1">
      <c r="A110" s="854">
        <f t="shared" si="5"/>
        <v>99</v>
      </c>
      <c r="B110" s="81"/>
      <c r="C110" s="81" t="s">
        <v>741</v>
      </c>
      <c r="D110" s="903">
        <f t="shared" ref="D110:O110" si="9">SUM(D14:D109)</f>
        <v>-3152062.2390647312</v>
      </c>
      <c r="E110" s="903">
        <f t="shared" si="9"/>
        <v>-1959864.1420341001</v>
      </c>
      <c r="F110" s="903">
        <f t="shared" si="9"/>
        <v>-1211973.1208892681</v>
      </c>
      <c r="G110" s="903">
        <f t="shared" si="9"/>
        <v>-906070.73170420364</v>
      </c>
      <c r="H110" s="903">
        <f t="shared" si="9"/>
        <v>-1385621.6297896693</v>
      </c>
      <c r="I110" s="903">
        <f t="shared" si="9"/>
        <v>-1328843.491855989</v>
      </c>
      <c r="J110" s="903">
        <f t="shared" si="9"/>
        <v>-1784286.4654753087</v>
      </c>
      <c r="K110" s="903">
        <f t="shared" si="9"/>
        <v>-3160429.5982668223</v>
      </c>
      <c r="L110" s="903">
        <f t="shared" si="9"/>
        <v>-5083890.7186442204</v>
      </c>
      <c r="M110" s="903">
        <f t="shared" si="9"/>
        <v>-5778717.5622429531</v>
      </c>
      <c r="N110" s="903">
        <f t="shared" si="9"/>
        <v>-6033201.8061666247</v>
      </c>
      <c r="O110" s="903">
        <f t="shared" si="9"/>
        <v>-4592587.1393099623</v>
      </c>
      <c r="P110" s="903">
        <f>SUM(P12:P109)</f>
        <v>-29190132.554100174</v>
      </c>
      <c r="Q110" s="904"/>
      <c r="R110" s="81"/>
      <c r="S110" s="81"/>
      <c r="Y110" s="901"/>
    </row>
    <row r="111" spans="1:25" ht="15.75" thickTop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</row>
    <row r="112" spans="1:25">
      <c r="A112" s="81"/>
      <c r="B112" s="81"/>
      <c r="C112" s="81" t="s">
        <v>198</v>
      </c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</row>
    <row r="113" spans="1:19">
      <c r="A113" s="81"/>
      <c r="B113" s="81"/>
      <c r="C113" s="217" t="s">
        <v>1225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</row>
    <row r="114" spans="1:19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103"/>
      <c r="Q114" s="81"/>
      <c r="R114" s="81"/>
      <c r="S114" s="81"/>
    </row>
    <row r="115" spans="1:19">
      <c r="A115" s="81"/>
      <c r="B115" s="81"/>
      <c r="C115" s="81"/>
      <c r="P115" s="103"/>
      <c r="Q115" s="81"/>
      <c r="R115" s="81"/>
      <c r="S115" s="81"/>
    </row>
    <row r="116" spans="1:19">
      <c r="A116" s="81"/>
      <c r="B116" s="81" t="s">
        <v>961</v>
      </c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</row>
    <row r="117" spans="1:19">
      <c r="A117" s="81"/>
      <c r="B117" s="81" t="s">
        <v>1646</v>
      </c>
      <c r="C117" s="81"/>
      <c r="D117" s="827"/>
      <c r="E117" s="827"/>
      <c r="F117" s="827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</row>
    <row r="118" spans="1:19">
      <c r="A118" s="81"/>
      <c r="B118" s="81" t="s">
        <v>1655</v>
      </c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</row>
    <row r="119" spans="1:19">
      <c r="A119" s="81"/>
      <c r="B119" s="81" t="s">
        <v>1656</v>
      </c>
      <c r="C119" s="81"/>
      <c r="Q119" s="81"/>
      <c r="R119" s="81"/>
      <c r="S119" s="81"/>
    </row>
    <row r="120" spans="1:19">
      <c r="A120" s="81"/>
      <c r="B120" s="81"/>
      <c r="C120" s="81"/>
      <c r="P120" s="81"/>
      <c r="Q120" s="81"/>
      <c r="R120" s="81"/>
      <c r="S120" s="81"/>
    </row>
    <row r="121" spans="1:19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103"/>
      <c r="R121" s="81"/>
      <c r="S121" s="81"/>
    </row>
    <row r="122" spans="1:19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170"/>
      <c r="P122" s="81"/>
      <c r="Q122" s="103"/>
      <c r="R122" s="81"/>
      <c r="S122" s="81"/>
    </row>
    <row r="123" spans="1:19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170"/>
      <c r="P123" s="428"/>
      <c r="Q123" s="81"/>
      <c r="R123" s="81"/>
      <c r="S123" s="81"/>
    </row>
    <row r="124" spans="1:19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</row>
    <row r="125" spans="1:19">
      <c r="P125" s="670"/>
    </row>
    <row r="126" spans="1:19">
      <c r="P126" s="732"/>
    </row>
    <row r="127" spans="1:19">
      <c r="C127" s="905"/>
    </row>
    <row r="128" spans="1:19">
      <c r="P128" s="81"/>
    </row>
  </sheetData>
  <mergeCells count="4">
    <mergeCell ref="A1:P1"/>
    <mergeCell ref="A2:P2"/>
    <mergeCell ref="A3:P3"/>
    <mergeCell ref="A4:P4"/>
  </mergeCells>
  <phoneticPr fontId="22" type="noConversion"/>
  <printOptions horizontalCentered="1"/>
  <pageMargins left="0.5" right="0.5" top="0.75" bottom="0.75" header="0.5" footer="0.25"/>
  <pageSetup scale="49" fitToHeight="2" orientation="landscape" verticalDpi="300" r:id="rId1"/>
  <headerFooter alignWithMargins="0">
    <oddFooter>&amp;RSchedule &amp;A
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">
    <pageSetUpPr fitToPage="1"/>
  </sheetPr>
  <dimension ref="A1:Q40"/>
  <sheetViews>
    <sheetView tabSelected="1" view="pageBreakPreview" zoomScale="70" zoomScaleNormal="90" zoomScaleSheetLayoutView="70" workbookViewId="0">
      <selection activeCell="L24" sqref="L24"/>
    </sheetView>
  </sheetViews>
  <sheetFormatPr defaultColWidth="9.6640625" defaultRowHeight="15"/>
  <cols>
    <col min="1" max="1" width="4.6640625" style="40" customWidth="1"/>
    <col min="2" max="2" width="40" style="40" customWidth="1"/>
    <col min="3" max="3" width="12.6640625" style="40" customWidth="1"/>
    <col min="4" max="4" width="1.77734375" style="40" customWidth="1"/>
    <col min="5" max="5" width="13.109375" style="40" bestFit="1" customWidth="1"/>
    <col min="6" max="6" width="3" style="40" customWidth="1"/>
    <col min="7" max="7" width="14.6640625" style="40" customWidth="1"/>
    <col min="8" max="8" width="3" style="40" customWidth="1"/>
    <col min="9" max="9" width="2.109375" style="40" customWidth="1"/>
    <col min="10" max="10" width="11.77734375" style="40" customWidth="1"/>
    <col min="11" max="11" width="2.21875" style="40" customWidth="1"/>
    <col min="12" max="12" width="12.44140625" style="40" customWidth="1"/>
    <col min="13" max="13" width="5.6640625" style="40" customWidth="1"/>
    <col min="14" max="14" width="11.44140625" style="40" customWidth="1"/>
    <col min="15" max="15" width="1.77734375" style="40" customWidth="1"/>
    <col min="16" max="16" width="12" style="40" customWidth="1"/>
    <col min="17" max="17" width="15.6640625" style="40" customWidth="1"/>
    <col min="18" max="18" width="18.6640625" style="40" customWidth="1"/>
    <col min="19" max="19" width="11.6640625" style="40" customWidth="1"/>
    <col min="20" max="20" width="9.6640625" style="40"/>
    <col min="21" max="21" width="23.6640625" style="40" customWidth="1"/>
    <col min="22" max="22" width="14.6640625" style="40" customWidth="1"/>
    <col min="23" max="23" width="18.6640625" style="40" customWidth="1"/>
    <col min="24" max="24" width="13.6640625" style="40" customWidth="1"/>
    <col min="25" max="25" width="29.6640625" style="40" customWidth="1"/>
    <col min="26" max="26" width="9.6640625" style="40"/>
    <col min="27" max="27" width="14.6640625" style="40" customWidth="1"/>
    <col min="28" max="28" width="13.6640625" style="40" customWidth="1"/>
    <col min="29" max="29" width="11.6640625" style="40" customWidth="1"/>
    <col min="30" max="30" width="9.6640625" style="40"/>
    <col min="31" max="31" width="4.6640625" style="40" customWidth="1"/>
    <col min="32" max="32" width="48.6640625" style="40" customWidth="1"/>
    <col min="33" max="33" width="9.6640625" style="40"/>
    <col min="34" max="37" width="10.6640625" style="40" customWidth="1"/>
    <col min="38" max="39" width="9.6640625" style="40"/>
    <col min="40" max="40" width="4.6640625" style="40" customWidth="1"/>
    <col min="41" max="41" width="50.6640625" style="40" customWidth="1"/>
    <col min="42" max="42" width="9.6640625" style="40"/>
    <col min="43" max="43" width="11.6640625" style="40" customWidth="1"/>
    <col min="44" max="44" width="9.6640625" style="40"/>
    <col min="45" max="46" width="4.6640625" style="40" customWidth="1"/>
    <col min="47" max="47" width="40.6640625" style="40" customWidth="1"/>
    <col min="48" max="48" width="1.6640625" style="40" customWidth="1"/>
    <col min="49" max="52" width="11.6640625" style="40" customWidth="1"/>
    <col min="53" max="54" width="9.6640625" style="40"/>
    <col min="55" max="55" width="4.6640625" style="40" customWidth="1"/>
    <col min="56" max="56" width="30.6640625" style="40" customWidth="1"/>
    <col min="57" max="65" width="9.6640625" style="40"/>
    <col min="66" max="66" width="14.6640625" style="40" customWidth="1"/>
    <col min="67" max="68" width="9.6640625" style="40"/>
    <col min="69" max="69" width="12.6640625" style="40" customWidth="1"/>
    <col min="70" max="70" width="10.6640625" style="40" customWidth="1"/>
    <col min="71" max="16384" width="9.6640625" style="40"/>
  </cols>
  <sheetData>
    <row r="1" spans="1:16" s="1" customFormat="1">
      <c r="A1" s="31" t="str">
        <f>'Table of Contents'!A1:C1</f>
        <v>Atmos Energy Corporation, Kentucky/Mid-States Division</v>
      </c>
      <c r="B1" s="30"/>
      <c r="C1" s="30"/>
      <c r="D1" s="30"/>
      <c r="E1" s="30"/>
      <c r="F1" s="30"/>
      <c r="G1" s="30"/>
      <c r="H1" s="30"/>
    </row>
    <row r="2" spans="1:16" s="1" customFormat="1">
      <c r="A2" s="31" t="str">
        <f>'Table of Contents'!A2:C2</f>
        <v>Kentucky Jurisdiction Case No. 2017-00349</v>
      </c>
      <c r="B2" s="30"/>
      <c r="C2" s="30"/>
      <c r="D2" s="30"/>
      <c r="E2" s="30"/>
      <c r="F2" s="30"/>
      <c r="G2" s="30"/>
      <c r="H2" s="30"/>
    </row>
    <row r="3" spans="1:16" s="1" customFormat="1">
      <c r="A3" s="31" t="s">
        <v>1008</v>
      </c>
      <c r="B3" s="30"/>
      <c r="C3" s="30"/>
      <c r="D3" s="30"/>
      <c r="E3" s="30"/>
      <c r="F3" s="30"/>
      <c r="G3" s="30"/>
      <c r="H3" s="30"/>
    </row>
    <row r="4" spans="1:16" s="1" customFormat="1">
      <c r="A4" s="31" t="str">
        <f>'Table of Contents'!A4:C4</f>
        <v>Forecasted Test Period: Twelve Months Ended March 31, 2019</v>
      </c>
      <c r="B4" s="30"/>
      <c r="C4" s="30"/>
      <c r="D4" s="30"/>
      <c r="E4" s="30"/>
      <c r="F4" s="30"/>
      <c r="G4" s="30"/>
      <c r="H4" s="30"/>
    </row>
    <row r="5" spans="1:16" s="1" customFormat="1">
      <c r="A5" s="31"/>
      <c r="B5" s="30"/>
      <c r="C5" s="30"/>
      <c r="D5" s="30"/>
      <c r="E5" s="30"/>
      <c r="F5" s="30"/>
      <c r="G5" s="30"/>
      <c r="H5" s="30"/>
    </row>
    <row r="6" spans="1:16" s="1" customFormat="1">
      <c r="D6" s="3"/>
      <c r="E6" s="3"/>
      <c r="F6" s="3"/>
    </row>
    <row r="7" spans="1:16" s="1" customFormat="1">
      <c r="A7" s="4" t="s">
        <v>414</v>
      </c>
      <c r="G7" s="375" t="s">
        <v>1429</v>
      </c>
      <c r="H7" s="4"/>
      <c r="I7" s="767"/>
    </row>
    <row r="8" spans="1:16" s="1" customFormat="1">
      <c r="A8" s="4" t="s">
        <v>621</v>
      </c>
      <c r="G8" s="487" t="s">
        <v>58</v>
      </c>
      <c r="H8" s="4"/>
      <c r="I8" s="767"/>
    </row>
    <row r="9" spans="1:16" s="1" customFormat="1">
      <c r="A9" s="5" t="s">
        <v>369</v>
      </c>
      <c r="B9" s="6"/>
      <c r="C9" s="6"/>
      <c r="D9" s="7"/>
      <c r="E9" s="7"/>
      <c r="F9" s="7"/>
      <c r="G9" s="548" t="s">
        <v>1205</v>
      </c>
      <c r="H9" s="5"/>
      <c r="I9" s="768"/>
    </row>
    <row r="10" spans="1:16" s="1" customFormat="1">
      <c r="D10" s="8"/>
      <c r="E10" s="2" t="s">
        <v>45</v>
      </c>
      <c r="F10" s="8"/>
      <c r="G10" s="2" t="s">
        <v>44</v>
      </c>
      <c r="I10" s="767"/>
    </row>
    <row r="11" spans="1:16" s="1" customFormat="1">
      <c r="C11" s="2" t="s">
        <v>1195</v>
      </c>
      <c r="D11" s="8"/>
      <c r="E11" s="2" t="s">
        <v>98</v>
      </c>
      <c r="F11" s="8"/>
      <c r="G11" s="2" t="s">
        <v>98</v>
      </c>
      <c r="I11" s="767"/>
    </row>
    <row r="12" spans="1:16" s="1" customFormat="1">
      <c r="A12" s="2" t="s">
        <v>94</v>
      </c>
      <c r="C12" s="2" t="s">
        <v>59</v>
      </c>
      <c r="D12" s="8"/>
      <c r="E12" s="2" t="s">
        <v>601</v>
      </c>
      <c r="F12" s="8"/>
      <c r="G12" s="2" t="s">
        <v>601</v>
      </c>
      <c r="I12" s="767"/>
      <c r="J12" s="735"/>
      <c r="K12" s="736"/>
      <c r="L12" s="735"/>
      <c r="M12" s="735"/>
      <c r="N12" s="735"/>
      <c r="O12" s="735"/>
      <c r="P12" s="735"/>
    </row>
    <row r="13" spans="1:16" s="1" customFormat="1">
      <c r="A13" s="9" t="s">
        <v>100</v>
      </c>
      <c r="B13" s="433" t="s">
        <v>993</v>
      </c>
      <c r="C13" s="433" t="s">
        <v>102</v>
      </c>
      <c r="D13" s="1029"/>
      <c r="E13" s="433" t="s">
        <v>999</v>
      </c>
      <c r="F13" s="1029"/>
      <c r="G13" s="433" t="s">
        <v>999</v>
      </c>
      <c r="H13" s="6"/>
      <c r="I13" s="768"/>
      <c r="J13" s="735"/>
      <c r="K13" s="735"/>
      <c r="L13" s="735"/>
      <c r="M13" s="735"/>
      <c r="N13" s="735"/>
      <c r="O13" s="735"/>
      <c r="P13" s="735"/>
    </row>
    <row r="14" spans="1:16" s="1" customFormat="1">
      <c r="B14" s="1030" t="s">
        <v>757</v>
      </c>
      <c r="C14" s="1030" t="s">
        <v>758</v>
      </c>
      <c r="D14" s="1031"/>
      <c r="E14" s="1030" t="s">
        <v>415</v>
      </c>
      <c r="F14" s="1031"/>
      <c r="G14" s="1030" t="s">
        <v>759</v>
      </c>
      <c r="I14" s="767"/>
      <c r="J14" s="737"/>
      <c r="K14" s="738"/>
      <c r="L14" s="737"/>
      <c r="M14" s="735"/>
      <c r="N14" s="737"/>
      <c r="O14" s="738"/>
      <c r="P14" s="737"/>
    </row>
    <row r="15" spans="1:16" s="1" customFormat="1">
      <c r="B15" s="81"/>
      <c r="C15" s="81"/>
      <c r="D15" s="1031"/>
      <c r="E15" s="1031"/>
      <c r="F15" s="1031"/>
      <c r="G15" s="73"/>
      <c r="H15" s="10"/>
      <c r="I15" s="769"/>
      <c r="J15" s="735"/>
      <c r="K15" s="735"/>
      <c r="L15" s="735"/>
      <c r="M15" s="735"/>
      <c r="N15" s="735"/>
      <c r="O15" s="735"/>
      <c r="P15" s="735"/>
    </row>
    <row r="16" spans="1:16" s="1" customFormat="1">
      <c r="A16" s="2">
        <v>1</v>
      </c>
      <c r="B16" s="88" t="s">
        <v>272</v>
      </c>
      <c r="C16" s="858" t="s">
        <v>371</v>
      </c>
      <c r="D16" s="81"/>
      <c r="E16" s="345">
        <f>'B.1 B'!F27</f>
        <v>358900188.19539595</v>
      </c>
      <c r="F16" s="81"/>
      <c r="G16" s="305">
        <f>'B.1 F '!F27</f>
        <v>427151221.15514958</v>
      </c>
      <c r="H16" s="10"/>
      <c r="I16" s="768"/>
      <c r="J16" s="735"/>
      <c r="K16" s="735"/>
      <c r="L16" s="735"/>
      <c r="M16" s="735"/>
      <c r="N16" s="735"/>
      <c r="O16" s="735"/>
      <c r="P16" s="735"/>
    </row>
    <row r="17" spans="1:17" s="1" customFormat="1">
      <c r="B17" s="81"/>
      <c r="C17" s="81"/>
      <c r="D17" s="81"/>
      <c r="E17" s="81"/>
      <c r="F17" s="81"/>
      <c r="G17" s="73"/>
      <c r="H17" s="10"/>
      <c r="I17" s="768"/>
      <c r="J17" s="735"/>
      <c r="K17" s="735"/>
      <c r="L17" s="735"/>
      <c r="M17" s="735"/>
      <c r="N17" s="735"/>
      <c r="O17" s="735"/>
      <c r="P17" s="735"/>
    </row>
    <row r="18" spans="1:17" s="1" customFormat="1">
      <c r="A18" s="2">
        <v>2</v>
      </c>
      <c r="B18" s="88" t="s">
        <v>125</v>
      </c>
      <c r="C18" s="858" t="s">
        <v>373</v>
      </c>
      <c r="D18" s="81"/>
      <c r="E18" s="305">
        <f>C.1!D26</f>
        <v>32171309.927559599</v>
      </c>
      <c r="F18" s="81"/>
      <c r="G18" s="305">
        <f>C.1!F26</f>
        <v>30590336.951886833</v>
      </c>
      <c r="H18" s="10"/>
      <c r="I18" s="770"/>
      <c r="J18" s="735"/>
      <c r="K18" s="735"/>
      <c r="L18" s="735"/>
      <c r="M18" s="735"/>
      <c r="N18" s="735"/>
      <c r="O18" s="735"/>
      <c r="P18" s="735"/>
    </row>
    <row r="19" spans="1:17" s="1" customFormat="1">
      <c r="B19" s="81"/>
      <c r="C19" s="81"/>
      <c r="D19" s="81"/>
      <c r="E19" s="81"/>
      <c r="F19" s="81"/>
      <c r="G19" s="73"/>
      <c r="H19" s="10"/>
      <c r="I19" s="768"/>
      <c r="J19" s="735"/>
      <c r="K19" s="735"/>
      <c r="L19" s="735"/>
      <c r="M19" s="735"/>
      <c r="N19" s="735"/>
      <c r="O19" s="735"/>
      <c r="P19" s="735"/>
    </row>
    <row r="20" spans="1:17" s="1" customFormat="1">
      <c r="A20" s="2">
        <v>3</v>
      </c>
      <c r="B20" s="88" t="s">
        <v>416</v>
      </c>
      <c r="C20" s="860" t="s">
        <v>143</v>
      </c>
      <c r="D20" s="81"/>
      <c r="E20" s="112">
        <f>ROUND(E18/E16,4)</f>
        <v>8.9599999999999999E-2</v>
      </c>
      <c r="F20" s="81"/>
      <c r="G20" s="112">
        <f>ROUND(G18/G16,4)</f>
        <v>7.1599999999999997E-2</v>
      </c>
      <c r="H20" s="11"/>
      <c r="I20" s="771"/>
      <c r="J20" s="735"/>
      <c r="K20" s="735"/>
      <c r="L20" s="735"/>
      <c r="M20" s="735"/>
      <c r="N20" s="735"/>
      <c r="O20" s="735"/>
      <c r="P20" s="735"/>
    </row>
    <row r="21" spans="1:17" s="1" customFormat="1">
      <c r="B21" s="81"/>
      <c r="C21" s="81"/>
      <c r="D21" s="81"/>
      <c r="E21" s="81"/>
      <c r="F21" s="81"/>
      <c r="G21" s="73"/>
      <c r="H21" s="10"/>
      <c r="I21" s="768"/>
      <c r="J21" s="735"/>
      <c r="K21" s="735"/>
      <c r="L21" s="735"/>
      <c r="M21" s="735"/>
      <c r="N21" s="735"/>
      <c r="O21" s="735"/>
      <c r="P21" s="735"/>
    </row>
    <row r="22" spans="1:17" s="1" customFormat="1">
      <c r="A22" s="2">
        <v>4</v>
      </c>
      <c r="B22" s="88" t="s">
        <v>288</v>
      </c>
      <c r="C22" s="858" t="s">
        <v>1144</v>
      </c>
      <c r="D22" s="81"/>
      <c r="E22" s="827">
        <f>'J-1 Base'!M27</f>
        <v>7.8199999999999992E-2</v>
      </c>
      <c r="F22" s="81"/>
      <c r="G22" s="112">
        <f>'J-1 F'!M28</f>
        <v>7.7200000000000005E-2</v>
      </c>
      <c r="H22" s="11"/>
      <c r="I22" s="772"/>
      <c r="J22" s="739"/>
      <c r="K22" s="735"/>
      <c r="L22" s="739"/>
      <c r="M22" s="735"/>
      <c r="N22" s="739"/>
      <c r="O22" s="735"/>
      <c r="P22" s="739"/>
      <c r="Q22" s="591"/>
    </row>
    <row r="23" spans="1:17" s="1" customFormat="1">
      <c r="B23" s="81"/>
      <c r="C23" s="81"/>
      <c r="D23" s="81"/>
      <c r="E23" s="81"/>
      <c r="F23" s="81"/>
      <c r="G23" s="73"/>
      <c r="H23" s="10"/>
      <c r="I23" s="768"/>
      <c r="J23" s="735"/>
      <c r="K23" s="735"/>
      <c r="L23" s="735"/>
      <c r="M23" s="735"/>
      <c r="N23" s="735"/>
      <c r="O23" s="735"/>
      <c r="P23" s="735"/>
    </row>
    <row r="24" spans="1:17" s="1" customFormat="1">
      <c r="A24" s="2">
        <v>5</v>
      </c>
      <c r="B24" s="88" t="s">
        <v>417</v>
      </c>
      <c r="C24" s="860" t="s">
        <v>373</v>
      </c>
      <c r="D24" s="81"/>
      <c r="E24" s="305">
        <f>ROUND(E16*E22,0)</f>
        <v>28065995</v>
      </c>
      <c r="F24" s="81"/>
      <c r="G24" s="305">
        <f>ROUND(G16*G22,0)</f>
        <v>32976074</v>
      </c>
      <c r="H24" s="10"/>
      <c r="I24" s="770"/>
      <c r="J24" s="735"/>
      <c r="K24" s="735"/>
      <c r="L24" s="735"/>
      <c r="M24" s="735"/>
      <c r="N24" s="735"/>
      <c r="O24" s="735"/>
      <c r="P24" s="735"/>
    </row>
    <row r="25" spans="1:17" s="1" customFormat="1">
      <c r="B25" s="81"/>
      <c r="C25" s="81"/>
      <c r="D25" s="81"/>
      <c r="E25" s="81"/>
      <c r="F25" s="81"/>
      <c r="G25" s="73"/>
      <c r="H25" s="10"/>
      <c r="I25" s="768"/>
      <c r="J25" s="735"/>
      <c r="K25" s="735"/>
      <c r="L25" s="735"/>
      <c r="M25" s="735"/>
      <c r="N25" s="735"/>
      <c r="O25" s="735"/>
      <c r="P25" s="735"/>
    </row>
    <row r="26" spans="1:17" s="1" customFormat="1">
      <c r="A26" s="2">
        <v>6</v>
      </c>
      <c r="B26" s="88" t="s">
        <v>418</v>
      </c>
      <c r="C26" s="860" t="s">
        <v>373</v>
      </c>
      <c r="D26" s="81"/>
      <c r="E26" s="305">
        <f>(E24-E18)</f>
        <v>-4105314.9275595993</v>
      </c>
      <c r="F26" s="81"/>
      <c r="G26" s="305">
        <f>(G24-G18)</f>
        <v>2385737.0481131673</v>
      </c>
      <c r="H26" s="10"/>
      <c r="I26" s="770"/>
      <c r="J26" s="735"/>
      <c r="K26" s="735"/>
      <c r="L26" s="735"/>
      <c r="M26" s="735"/>
      <c r="N26" s="735"/>
      <c r="O26" s="735"/>
      <c r="P26" s="735"/>
    </row>
    <row r="27" spans="1:17" s="1" customFormat="1">
      <c r="B27" s="81"/>
      <c r="C27" s="81"/>
      <c r="D27" s="81"/>
      <c r="E27" s="81"/>
      <c r="F27" s="81"/>
      <c r="G27" s="73"/>
      <c r="H27" s="10"/>
      <c r="I27" s="768"/>
      <c r="J27" s="735"/>
      <c r="K27" s="735"/>
      <c r="L27" s="735"/>
      <c r="M27" s="735"/>
      <c r="N27" s="735"/>
      <c r="O27" s="735"/>
      <c r="P27" s="735"/>
    </row>
    <row r="28" spans="1:17" s="1" customFormat="1">
      <c r="A28" s="2">
        <v>7</v>
      </c>
      <c r="B28" s="88" t="s">
        <v>127</v>
      </c>
      <c r="C28" s="858" t="s">
        <v>379</v>
      </c>
      <c r="D28" s="81"/>
      <c r="E28" s="486">
        <f>H.1!D34</f>
        <v>1.356107</v>
      </c>
      <c r="F28" s="81"/>
      <c r="G28" s="486">
        <f>H.1!E34</f>
        <v>1.356107</v>
      </c>
      <c r="H28" s="10"/>
      <c r="I28" s="773"/>
      <c r="J28" s="735"/>
      <c r="K28" s="735"/>
      <c r="L28" s="735"/>
      <c r="M28" s="735"/>
      <c r="N28" s="735"/>
      <c r="O28" s="735"/>
      <c r="P28" s="735"/>
    </row>
    <row r="29" spans="1:17" s="1" customFormat="1">
      <c r="E29" s="81"/>
      <c r="F29" s="81"/>
      <c r="G29" s="73"/>
      <c r="H29" s="10"/>
      <c r="I29" s="768"/>
      <c r="J29" s="735"/>
      <c r="K29" s="735"/>
      <c r="L29" s="735"/>
      <c r="M29" s="735"/>
      <c r="N29" s="735"/>
      <c r="O29" s="735"/>
      <c r="P29" s="735"/>
    </row>
    <row r="30" spans="1:17" ht="15.75">
      <c r="A30" s="2">
        <v>8</v>
      </c>
      <c r="B30" s="66" t="s">
        <v>419</v>
      </c>
      <c r="C30" s="240"/>
      <c r="D30" s="62"/>
      <c r="E30" s="339">
        <f>ROUND(E26*E28,0)</f>
        <v>-5567246</v>
      </c>
      <c r="F30" s="96"/>
      <c r="G30" s="339">
        <f>ROUND(G26*G28,0)</f>
        <v>3235315</v>
      </c>
      <c r="I30" s="774"/>
      <c r="J30" s="735"/>
      <c r="K30" s="735"/>
      <c r="L30" s="735"/>
      <c r="M30" s="740"/>
      <c r="N30" s="735"/>
      <c r="O30" s="735"/>
      <c r="P30" s="735"/>
    </row>
    <row r="31" spans="1:17">
      <c r="E31" s="196"/>
      <c r="F31" s="196"/>
      <c r="G31" s="224"/>
      <c r="H31" s="188"/>
      <c r="I31" s="775"/>
      <c r="J31" s="735"/>
      <c r="K31" s="735"/>
      <c r="L31" s="735"/>
      <c r="M31" s="735"/>
      <c r="N31" s="735"/>
      <c r="O31" s="735"/>
      <c r="P31" s="735"/>
    </row>
    <row r="32" spans="1:17">
      <c r="A32" s="189">
        <v>9</v>
      </c>
      <c r="B32" s="40" t="s">
        <v>1701</v>
      </c>
      <c r="C32" s="78" t="s">
        <v>1702</v>
      </c>
      <c r="E32" s="196"/>
      <c r="F32" s="196"/>
      <c r="G32" s="306">
        <f>'WP B.5 F1'!D11</f>
        <v>-1471233.1991666667</v>
      </c>
      <c r="H32" s="188"/>
      <c r="I32" s="775"/>
      <c r="J32" s="735"/>
      <c r="K32" s="735"/>
      <c r="L32" s="735"/>
      <c r="M32" s="735"/>
      <c r="N32" s="735"/>
      <c r="O32" s="735"/>
      <c r="P32" s="735"/>
    </row>
    <row r="33" spans="1:16">
      <c r="E33" s="196"/>
      <c r="F33" s="196"/>
      <c r="G33" s="224"/>
      <c r="H33" s="188"/>
      <c r="I33" s="775"/>
      <c r="J33" s="735"/>
      <c r="K33" s="735"/>
      <c r="L33" s="735"/>
      <c r="M33" s="735"/>
      <c r="N33" s="735"/>
      <c r="O33" s="735"/>
      <c r="P33" s="735"/>
    </row>
    <row r="34" spans="1:16" ht="15.75">
      <c r="A34" s="78">
        <v>10</v>
      </c>
      <c r="B34" s="1172" t="s">
        <v>1122</v>
      </c>
      <c r="C34" s="102"/>
      <c r="D34" s="102"/>
      <c r="E34" s="102"/>
      <c r="F34" s="102"/>
      <c r="G34" s="102">
        <f>G30+G32</f>
        <v>1764081.8008333333</v>
      </c>
      <c r="H34" s="188"/>
      <c r="I34" s="775"/>
      <c r="J34" s="735"/>
      <c r="K34" s="735"/>
      <c r="L34" s="735"/>
      <c r="M34" s="735"/>
      <c r="N34" s="735"/>
      <c r="O34" s="735"/>
      <c r="P34" s="735"/>
    </row>
    <row r="35" spans="1:16">
      <c r="H35" s="188"/>
      <c r="I35" s="775"/>
      <c r="J35" s="735"/>
      <c r="K35" s="735"/>
      <c r="L35" s="735"/>
      <c r="M35" s="735"/>
      <c r="N35" s="735"/>
      <c r="O35" s="735"/>
      <c r="P35" s="735"/>
    </row>
    <row r="36" spans="1:16">
      <c r="A36" s="189">
        <v>11</v>
      </c>
      <c r="B36" s="181" t="s">
        <v>1196</v>
      </c>
      <c r="C36" s="189" t="s">
        <v>373</v>
      </c>
      <c r="E36" s="196"/>
      <c r="F36" s="196"/>
      <c r="G36" s="306">
        <f>C.1!F15</f>
        <v>170729275.9114207</v>
      </c>
      <c r="I36" s="192"/>
      <c r="J36" s="192"/>
      <c r="K36" s="192"/>
    </row>
    <row r="37" spans="1:16">
      <c r="E37" s="196"/>
      <c r="F37" s="196"/>
      <c r="G37" s="224"/>
      <c r="H37" s="735"/>
      <c r="I37" s="192"/>
      <c r="J37" s="192"/>
      <c r="K37" s="192"/>
    </row>
    <row r="38" spans="1:16">
      <c r="A38" s="189">
        <v>12</v>
      </c>
      <c r="B38" s="181" t="s">
        <v>420</v>
      </c>
      <c r="C38" s="189"/>
      <c r="E38" s="196"/>
      <c r="F38" s="196"/>
      <c r="G38" s="306">
        <f>G34+G36</f>
        <v>172493357.71225405</v>
      </c>
      <c r="H38" s="735"/>
    </row>
    <row r="39" spans="1:16">
      <c r="G39" s="735"/>
    </row>
    <row r="40" spans="1:16">
      <c r="G40" s="735"/>
    </row>
  </sheetData>
  <phoneticPr fontId="22" type="noConversion"/>
  <printOptions horizontalCentered="1"/>
  <pageMargins left="0.8" right="0.6" top="0.75" bottom="0.94" header="0.5" footer="0.37"/>
  <pageSetup scale="84" orientation="portrait" verticalDpi="300" r:id="rId1"/>
  <headerFooter alignWithMargins="0">
    <oddFooter>&amp;RSchedule &amp;A
Page &amp;P of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R52"/>
  <sheetViews>
    <sheetView view="pageBreakPreview" zoomScale="70" zoomScaleNormal="75" zoomScaleSheetLayoutView="70" workbookViewId="0">
      <pane xSplit="3" ySplit="11" topLeftCell="D12" activePane="bottomRight" state="frozen"/>
      <selection activeCell="F55" sqref="F55"/>
      <selection pane="topRight" activeCell="F55" sqref="F55"/>
      <selection pane="bottomLeft" activeCell="F55" sqref="F55"/>
      <selection pane="bottomRight" activeCell="K54" sqref="K54"/>
    </sheetView>
  </sheetViews>
  <sheetFormatPr defaultColWidth="7.109375" defaultRowHeight="15"/>
  <cols>
    <col min="1" max="1" width="4.6640625" style="80" customWidth="1"/>
    <col min="2" max="2" width="6.6640625" style="80" customWidth="1"/>
    <col min="3" max="3" width="38.88671875" style="80" customWidth="1"/>
    <col min="4" max="4" width="12.5546875" style="80" bestFit="1" customWidth="1"/>
    <col min="5" max="5" width="11.88671875" style="80" bestFit="1" customWidth="1"/>
    <col min="6" max="6" width="11.109375" style="80" customWidth="1"/>
    <col min="7" max="8" width="11.88671875" style="80" bestFit="1" customWidth="1"/>
    <col min="9" max="9" width="11.109375" style="80" customWidth="1"/>
    <col min="10" max="10" width="13.109375" style="80" bestFit="1" customWidth="1"/>
    <col min="11" max="14" width="11.77734375" style="80" bestFit="1" customWidth="1"/>
    <col min="15" max="15" width="12.44140625" style="80" customWidth="1"/>
    <col min="16" max="16" width="12.44140625" style="80" bestFit="1" customWidth="1"/>
    <col min="17" max="17" width="9.6640625" style="80" customWidth="1"/>
    <col min="18" max="18" width="12.5546875" style="80" customWidth="1"/>
    <col min="19" max="16384" width="7.109375" style="80"/>
  </cols>
  <sheetData>
    <row r="1" spans="1:18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1190"/>
      <c r="Q1" s="81"/>
    </row>
    <row r="2" spans="1:18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81"/>
    </row>
    <row r="3" spans="1:18" ht="15.75">
      <c r="A3" s="1190" t="s">
        <v>187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81"/>
    </row>
    <row r="4" spans="1:18">
      <c r="A4" s="1190" t="str">
        <f>'Table of Contents'!A4:C4</f>
        <v>Forecasted Test Period: Twelve Months Ended March 31, 2019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81"/>
    </row>
    <row r="5" spans="1:18">
      <c r="A5" s="81"/>
      <c r="B5" s="150"/>
      <c r="C5" s="150"/>
      <c r="D5" s="150"/>
      <c r="E5" s="150"/>
      <c r="F5" s="150"/>
      <c r="G5" s="873"/>
      <c r="H5" s="150"/>
      <c r="I5" s="150"/>
      <c r="J5" s="150"/>
      <c r="K5" s="150"/>
      <c r="L5" s="150"/>
      <c r="M5" s="150"/>
      <c r="N5" s="150"/>
      <c r="O5" s="150"/>
      <c r="P5" s="81"/>
      <c r="Q5" s="81"/>
    </row>
    <row r="6" spans="1:18" ht="15.75">
      <c r="A6" s="88" t="str">
        <f>'C.2.1 F'!A6</f>
        <v>Data:________Base Period___X____Forecasted Period</v>
      </c>
      <c r="B6" s="81"/>
      <c r="C6" s="88"/>
      <c r="D6" s="81"/>
      <c r="E6" s="81"/>
      <c r="F6" s="906"/>
      <c r="G6" s="81"/>
      <c r="H6" s="81"/>
      <c r="I6" s="81"/>
      <c r="J6" s="81"/>
      <c r="K6" s="81"/>
      <c r="L6" s="81"/>
      <c r="M6" s="81"/>
      <c r="N6" s="81"/>
      <c r="O6" s="81"/>
      <c r="P6" s="170" t="s">
        <v>1454</v>
      </c>
      <c r="Q6" s="81"/>
    </row>
    <row r="7" spans="1:18">
      <c r="A7" s="88" t="str">
        <f>'C.2.1 F'!A7</f>
        <v>Type of Filing:___X____Original________Updated ________Revised</v>
      </c>
      <c r="B7" s="81"/>
      <c r="C7" s="88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507" t="s">
        <v>38</v>
      </c>
      <c r="Q7" s="81"/>
    </row>
    <row r="8" spans="1:18">
      <c r="A8" s="390" t="str">
        <f>'C.2.1 F'!A8</f>
        <v>Workpaper Reference No(s).____________________</v>
      </c>
      <c r="B8" s="82"/>
      <c r="C8" s="431"/>
      <c r="D8" s="151"/>
      <c r="E8" s="151"/>
      <c r="F8" s="151"/>
      <c r="G8" s="151"/>
      <c r="H8" s="151"/>
      <c r="I8" s="151"/>
      <c r="J8" s="151"/>
      <c r="K8" s="151"/>
      <c r="L8" s="151"/>
      <c r="M8" s="82"/>
      <c r="N8" s="82"/>
      <c r="O8" s="82"/>
      <c r="P8" s="508" t="str">
        <f>C.1!J9</f>
        <v>Witness: Waller, Martin</v>
      </c>
      <c r="Q8" s="81"/>
    </row>
    <row r="9" spans="1:18">
      <c r="A9" s="391" t="s">
        <v>94</v>
      </c>
      <c r="B9" s="829" t="s">
        <v>101</v>
      </c>
      <c r="C9" s="907"/>
      <c r="D9" s="895" t="s">
        <v>44</v>
      </c>
      <c r="E9" s="851" t="s">
        <v>44</v>
      </c>
      <c r="F9" s="851" t="s">
        <v>44</v>
      </c>
      <c r="G9" s="851" t="s">
        <v>44</v>
      </c>
      <c r="H9" s="851" t="s">
        <v>44</v>
      </c>
      <c r="I9" s="851" t="s">
        <v>44</v>
      </c>
      <c r="J9" s="851" t="s">
        <v>44</v>
      </c>
      <c r="K9" s="851" t="s">
        <v>44</v>
      </c>
      <c r="L9" s="851" t="s">
        <v>44</v>
      </c>
      <c r="M9" s="851" t="s">
        <v>44</v>
      </c>
      <c r="N9" s="851" t="s">
        <v>44</v>
      </c>
      <c r="O9" s="851" t="s">
        <v>44</v>
      </c>
      <c r="P9" s="908"/>
      <c r="Q9" s="81"/>
    </row>
    <row r="10" spans="1:18">
      <c r="A10" s="392" t="s">
        <v>100</v>
      </c>
      <c r="B10" s="82" t="s">
        <v>100</v>
      </c>
      <c r="C10" s="909" t="s">
        <v>960</v>
      </c>
      <c r="D10" s="612">
        <f>'C.2.2-F 09'!D10</f>
        <v>43191</v>
      </c>
      <c r="E10" s="612">
        <f>'C.2.2-F 09'!F10</f>
        <v>43252</v>
      </c>
      <c r="F10" s="612">
        <f>'C.2.2-F 09'!F10</f>
        <v>43252</v>
      </c>
      <c r="G10" s="612">
        <f>'C.2.2-F 09'!G10</f>
        <v>43282</v>
      </c>
      <c r="H10" s="612">
        <f>'C.2.2-F 09'!H10</f>
        <v>43313</v>
      </c>
      <c r="I10" s="612">
        <f>'C.2.2-F 09'!I10</f>
        <v>43344</v>
      </c>
      <c r="J10" s="612">
        <f>'C.2.2-F 09'!J10</f>
        <v>43374</v>
      </c>
      <c r="K10" s="612">
        <f>'C.2.2-F 09'!K10</f>
        <v>43405</v>
      </c>
      <c r="L10" s="612">
        <f>'C.2.2-F 09'!L10</f>
        <v>43435</v>
      </c>
      <c r="M10" s="612">
        <f>'C.2.2-F 09'!M10</f>
        <v>43466</v>
      </c>
      <c r="N10" s="612">
        <f>'C.2.2-F 09'!N10</f>
        <v>43497</v>
      </c>
      <c r="O10" s="612">
        <f>'C.2.2-F 09'!O10</f>
        <v>43525</v>
      </c>
      <c r="P10" s="362" t="str">
        <f>'C.2.2 B 09'!P10</f>
        <v>Total</v>
      </c>
      <c r="Q10" s="81"/>
    </row>
    <row r="11" spans="1:18">
      <c r="A11" s="81"/>
      <c r="B11" s="81"/>
      <c r="C11" s="81"/>
      <c r="D11" s="852" t="s">
        <v>147</v>
      </c>
      <c r="E11" s="852" t="s">
        <v>147</v>
      </c>
      <c r="F11" s="852" t="s">
        <v>147</v>
      </c>
      <c r="G11" s="852" t="s">
        <v>147</v>
      </c>
      <c r="H11" s="852" t="s">
        <v>147</v>
      </c>
      <c r="I11" s="852" t="s">
        <v>147</v>
      </c>
      <c r="J11" s="852" t="s">
        <v>147</v>
      </c>
      <c r="K11" s="852" t="s">
        <v>147</v>
      </c>
      <c r="L11" s="852" t="s">
        <v>147</v>
      </c>
      <c r="M11" s="852" t="s">
        <v>147</v>
      </c>
      <c r="N11" s="852" t="s">
        <v>147</v>
      </c>
      <c r="O11" s="852" t="s">
        <v>147</v>
      </c>
      <c r="P11" s="852" t="s">
        <v>147</v>
      </c>
      <c r="Q11" s="81"/>
    </row>
    <row r="12" spans="1:18">
      <c r="A12" s="854">
        <v>1</v>
      </c>
      <c r="B12" s="706">
        <v>4030</v>
      </c>
      <c r="C12" s="81" t="s">
        <v>92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81">
        <f t="shared" ref="P12:P35" si="0">SUM(D12:O12)</f>
        <v>0</v>
      </c>
      <c r="Q12" s="81"/>
    </row>
    <row r="13" spans="1:18">
      <c r="A13" s="854">
        <f>A12+1</f>
        <v>2</v>
      </c>
      <c r="B13" s="706">
        <v>4081</v>
      </c>
      <c r="C13" s="81" t="s">
        <v>869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81">
        <f t="shared" si="0"/>
        <v>0</v>
      </c>
      <c r="Q13" s="81"/>
    </row>
    <row r="14" spans="1:18">
      <c r="A14" s="854">
        <f>A13+1</f>
        <v>3</v>
      </c>
      <c r="B14" s="364">
        <v>8210</v>
      </c>
      <c r="C14" s="103" t="s">
        <v>898</v>
      </c>
      <c r="D14" s="596">
        <f>VLOOKUP($B14, '[13]Div 2 forecast'!$D$290:$AF$366,18,FALSE)</f>
        <v>417.46373235735962</v>
      </c>
      <c r="E14" s="596">
        <f>VLOOKUP($B14, '[13]Div 2 forecast'!$D$290:$AF$366,19,FALSE)</f>
        <v>436.57968857395281</v>
      </c>
      <c r="F14" s="596">
        <f>VLOOKUP($B14, '[13]Div 2 forecast'!$D$290:$AF$366,20,FALSE)</f>
        <v>470.88487777219672</v>
      </c>
      <c r="G14" s="596">
        <f>VLOOKUP($B14, '[13]Div 2 forecast'!$D$290:$AF$366,21,FALSE)</f>
        <v>448.43989123283143</v>
      </c>
      <c r="H14" s="596">
        <f>VLOOKUP($B14, '[13]Div 2 forecast'!$D$290:$AF$366,22,FALSE)</f>
        <v>416.30580876683024</v>
      </c>
      <c r="I14" s="596">
        <f>VLOOKUP($B14, '[13]Div 2 forecast'!$D$290:$AF$366,23,FALSE)</f>
        <v>517.84719351221304</v>
      </c>
      <c r="J14" s="596">
        <f>VLOOKUP($B14, '[13]Div 2 forecast'!$D$290:$AF$366,24,FALSE)</f>
        <v>470.91723151957916</v>
      </c>
      <c r="K14" s="596">
        <f>VLOOKUP($B14, '[13]Div 2 forecast'!$D$290:$AF$366,25,FALSE)</f>
        <v>414.64895633508735</v>
      </c>
      <c r="L14" s="596">
        <f>VLOOKUP($B14, '[13]Div 2 forecast'!$D$290:$AF$366,26,FALSE)</f>
        <v>452.31893526110503</v>
      </c>
      <c r="M14" s="596">
        <f>VLOOKUP($B14, '[13]Div 2 forecast'!$D$290:$AF$366,27,FALSE)</f>
        <v>409.06367783959246</v>
      </c>
      <c r="N14" s="596">
        <f>VLOOKUP($B14, '[13]Div 2 forecast'!$D$290:$AF$366,28,FALSE)</f>
        <v>415.07466353748788</v>
      </c>
      <c r="O14" s="596">
        <f>VLOOKUP($B14, '[13]Div 2 forecast'!$D$290:$AF$366,29,FALSE)</f>
        <v>464.99309009097345</v>
      </c>
      <c r="P14" s="81">
        <f t="shared" si="0"/>
        <v>5334.5377467992093</v>
      </c>
      <c r="Q14" s="81"/>
    </row>
    <row r="15" spans="1:18">
      <c r="A15" s="854">
        <f t="shared" ref="A15:A19" si="1">A14+1</f>
        <v>4</v>
      </c>
      <c r="B15" s="706">
        <v>8560</v>
      </c>
      <c r="C15" s="81" t="s">
        <v>917</v>
      </c>
      <c r="D15" s="596">
        <f>VLOOKUP($B15, '[13]Div 2 forecast'!$D$290:$AF$366,18,FALSE)</f>
        <v>0</v>
      </c>
      <c r="E15" s="596">
        <f>VLOOKUP($B15, '[13]Div 2 forecast'!$D$290:$AF$366,19,FALSE)</f>
        <v>0</v>
      </c>
      <c r="F15" s="596">
        <f>VLOOKUP($B15, '[13]Div 2 forecast'!$D$290:$AF$366,20,FALSE)</f>
        <v>0</v>
      </c>
      <c r="G15" s="596">
        <f>VLOOKUP($B15, '[13]Div 2 forecast'!$D$290:$AF$366,21,FALSE)</f>
        <v>0</v>
      </c>
      <c r="H15" s="596">
        <f>VLOOKUP($B15, '[13]Div 2 forecast'!$D$290:$AF$366,22,FALSE)</f>
        <v>0</v>
      </c>
      <c r="I15" s="596">
        <f>VLOOKUP($B15, '[13]Div 2 forecast'!$D$290:$AF$366,23,FALSE)</f>
        <v>0</v>
      </c>
      <c r="J15" s="596">
        <f>VLOOKUP($B15, '[13]Div 2 forecast'!$D$290:$AF$366,24,FALSE)</f>
        <v>0</v>
      </c>
      <c r="K15" s="596">
        <f>VLOOKUP($B15, '[13]Div 2 forecast'!$D$290:$AF$366,25,FALSE)</f>
        <v>0</v>
      </c>
      <c r="L15" s="596">
        <f>VLOOKUP($B15, '[13]Div 2 forecast'!$D$290:$AF$366,26,FALSE)</f>
        <v>0</v>
      </c>
      <c r="M15" s="596">
        <f>VLOOKUP($B15, '[13]Div 2 forecast'!$D$290:$AF$366,27,FALSE)</f>
        <v>0</v>
      </c>
      <c r="N15" s="596">
        <f>VLOOKUP($B15, '[13]Div 2 forecast'!$D$290:$AF$366,28,FALSE)</f>
        <v>0</v>
      </c>
      <c r="O15" s="596">
        <f>VLOOKUP($B15, '[13]Div 2 forecast'!$D$290:$AF$366,29,FALSE)</f>
        <v>0</v>
      </c>
      <c r="P15" s="81">
        <f t="shared" si="0"/>
        <v>0</v>
      </c>
      <c r="Q15" s="81"/>
      <c r="R15" s="690"/>
    </row>
    <row r="16" spans="1:18">
      <c r="A16" s="854">
        <f t="shared" si="1"/>
        <v>5</v>
      </c>
      <c r="B16" s="706">
        <v>8700</v>
      </c>
      <c r="C16" s="81" t="s">
        <v>921</v>
      </c>
      <c r="D16" s="596">
        <f>VLOOKUP($B16, '[13]Div 2 forecast'!$D$290:$AF$366,18,FALSE)</f>
        <v>508.90621179521736</v>
      </c>
      <c r="E16" s="596">
        <f>VLOOKUP($B16, '[13]Div 2 forecast'!$D$290:$AF$366,19,FALSE)</f>
        <v>540.06035883715663</v>
      </c>
      <c r="F16" s="596">
        <f>VLOOKUP($B16, '[13]Div 2 forecast'!$D$290:$AF$366,20,FALSE)</f>
        <v>513.81428516460392</v>
      </c>
      <c r="G16" s="596">
        <f>VLOOKUP($B16, '[13]Div 2 forecast'!$D$290:$AF$366,21,FALSE)</f>
        <v>527.34126942515866</v>
      </c>
      <c r="H16" s="596">
        <f>VLOOKUP($B16, '[13]Div 2 forecast'!$D$290:$AF$366,22,FALSE)</f>
        <v>508.29090289009031</v>
      </c>
      <c r="I16" s="596">
        <f>VLOOKUP($B16, '[13]Div 2 forecast'!$D$290:$AF$366,23,FALSE)</f>
        <v>518.66000878530724</v>
      </c>
      <c r="J16" s="596">
        <f>VLOOKUP($B16, '[13]Div 2 forecast'!$D$290:$AF$366,24,FALSE)</f>
        <v>515.94392051725686</v>
      </c>
      <c r="K16" s="596">
        <f>VLOOKUP($B16, '[13]Div 2 forecast'!$D$290:$AF$366,25,FALSE)</f>
        <v>508.70830816446272</v>
      </c>
      <c r="L16" s="596">
        <f>VLOOKUP($B16, '[13]Div 2 forecast'!$D$290:$AF$366,26,FALSE)</f>
        <v>509.26962536070243</v>
      </c>
      <c r="M16" s="596">
        <f>VLOOKUP($B16, '[13]Div 2 forecast'!$D$290:$AF$366,27,FALSE)</f>
        <v>513.99497939214859</v>
      </c>
      <c r="N16" s="596">
        <f>VLOOKUP($B16, '[13]Div 2 forecast'!$D$290:$AF$366,28,FALSE)</f>
        <v>503.04711720972074</v>
      </c>
      <c r="O16" s="596">
        <f>VLOOKUP($B16, '[13]Div 2 forecast'!$D$290:$AF$366,29,FALSE)</f>
        <v>515.06840441550742</v>
      </c>
      <c r="P16" s="81">
        <f t="shared" si="0"/>
        <v>6183.1053919573333</v>
      </c>
      <c r="Q16" s="81"/>
      <c r="R16" s="690"/>
    </row>
    <row r="17" spans="1:18">
      <c r="A17" s="854">
        <f t="shared" si="1"/>
        <v>6</v>
      </c>
      <c r="B17" s="706">
        <v>8740</v>
      </c>
      <c r="C17" s="81" t="s">
        <v>923</v>
      </c>
      <c r="D17" s="596">
        <f>VLOOKUP($B17, '[13]Div 2 forecast'!$D$290:$AF$366,18,FALSE)</f>
        <v>4744.4151891841402</v>
      </c>
      <c r="E17" s="596">
        <f>VLOOKUP($B17, '[13]Div 2 forecast'!$D$290:$AF$366,19,FALSE)</f>
        <v>4744.2715873156612</v>
      </c>
      <c r="F17" s="596">
        <f>VLOOKUP($B17, '[13]Div 2 forecast'!$D$290:$AF$366,20,FALSE)</f>
        <v>4744.2889501411091</v>
      </c>
      <c r="G17" s="596">
        <f>VLOOKUP($B17, '[13]Div 2 forecast'!$D$290:$AF$366,21,FALSE)</f>
        <v>4744.3413690861498</v>
      </c>
      <c r="H17" s="596">
        <f>VLOOKUP($B17, '[13]Div 2 forecast'!$D$290:$AF$366,22,FALSE)</f>
        <v>4744.1763462365998</v>
      </c>
      <c r="I17" s="596">
        <f>VLOOKUP($B17, '[13]Div 2 forecast'!$D$290:$AF$366,23,FALSE)</f>
        <v>4748.2941069315812</v>
      </c>
      <c r="J17" s="596">
        <f>VLOOKUP($B17, '[13]Div 2 forecast'!$D$290:$AF$366,24,FALSE)</f>
        <v>4744.3711112690626</v>
      </c>
      <c r="K17" s="596">
        <f>VLOOKUP($B17, '[13]Div 2 forecast'!$D$290:$AF$366,25,FALSE)</f>
        <v>4744.1859430476197</v>
      </c>
      <c r="L17" s="596">
        <f>VLOOKUP($B17, '[13]Div 2 forecast'!$D$290:$AF$366,26,FALSE)</f>
        <v>4744.2454274134461</v>
      </c>
      <c r="M17" s="596">
        <f>VLOOKUP($B17, '[13]Div 2 forecast'!$D$290:$AF$366,27,FALSE)</f>
        <v>4744.3474497102125</v>
      </c>
      <c r="N17" s="596">
        <f>VLOOKUP($B17, '[13]Div 2 forecast'!$D$290:$AF$366,28,FALSE)</f>
        <v>4744.1872583130416</v>
      </c>
      <c r="O17" s="596">
        <f>VLOOKUP($B17, '[13]Div 2 forecast'!$D$290:$AF$366,29,FALSE)</f>
        <v>4744.3220564953781</v>
      </c>
      <c r="P17" s="81">
        <f t="shared" si="0"/>
        <v>56935.446795144002</v>
      </c>
      <c r="Q17" s="81"/>
    </row>
    <row r="18" spans="1:18">
      <c r="A18" s="854">
        <f t="shared" si="1"/>
        <v>7</v>
      </c>
      <c r="B18" s="364">
        <v>8780</v>
      </c>
      <c r="C18" s="211" t="s">
        <v>927</v>
      </c>
      <c r="D18" s="596">
        <f>VLOOKUP($B18, '[13]Div 2 forecast'!$D$290:$AF$366,18,FALSE)</f>
        <v>0</v>
      </c>
      <c r="E18" s="596">
        <f>VLOOKUP($B18, '[13]Div 2 forecast'!$D$290:$AF$366,19,FALSE)</f>
        <v>0</v>
      </c>
      <c r="F18" s="596">
        <f>VLOOKUP($B18, '[13]Div 2 forecast'!$D$290:$AF$366,20,FALSE)</f>
        <v>0</v>
      </c>
      <c r="G18" s="596">
        <f>VLOOKUP($B18, '[13]Div 2 forecast'!$D$290:$AF$366,21,FALSE)</f>
        <v>0</v>
      </c>
      <c r="H18" s="596">
        <f>VLOOKUP($B18, '[13]Div 2 forecast'!$D$290:$AF$366,22,FALSE)</f>
        <v>0</v>
      </c>
      <c r="I18" s="596">
        <f>VLOOKUP($B18, '[13]Div 2 forecast'!$D$290:$AF$366,23,FALSE)</f>
        <v>0</v>
      </c>
      <c r="J18" s="596">
        <f>VLOOKUP($B18, '[13]Div 2 forecast'!$D$290:$AF$366,24,FALSE)</f>
        <v>0</v>
      </c>
      <c r="K18" s="596">
        <f>VLOOKUP($B18, '[13]Div 2 forecast'!$D$290:$AF$366,25,FALSE)</f>
        <v>0</v>
      </c>
      <c r="L18" s="596">
        <f>VLOOKUP($B18, '[13]Div 2 forecast'!$D$290:$AF$366,26,FALSE)</f>
        <v>0</v>
      </c>
      <c r="M18" s="596">
        <f>VLOOKUP($B18, '[13]Div 2 forecast'!$D$290:$AF$366,27,FALSE)</f>
        <v>0</v>
      </c>
      <c r="N18" s="596">
        <f>VLOOKUP($B18, '[13]Div 2 forecast'!$D$290:$AF$366,28,FALSE)</f>
        <v>0</v>
      </c>
      <c r="O18" s="596">
        <f>VLOOKUP($B18, '[13]Div 2 forecast'!$D$290:$AF$366,29,FALSE)</f>
        <v>0</v>
      </c>
      <c r="P18" s="81">
        <f t="shared" si="0"/>
        <v>0</v>
      </c>
      <c r="Q18" s="81"/>
    </row>
    <row r="19" spans="1:18">
      <c r="A19" s="854">
        <f t="shared" si="1"/>
        <v>8</v>
      </c>
      <c r="B19" s="706">
        <v>8800</v>
      </c>
      <c r="C19" s="81" t="s">
        <v>929</v>
      </c>
      <c r="D19" s="596">
        <f>VLOOKUP($B19, '[13]Div 2 forecast'!$D$290:$AF$366,18,FALSE)</f>
        <v>21.15653579553663</v>
      </c>
      <c r="E19" s="596">
        <f>VLOOKUP($B19, '[13]Div 2 forecast'!$D$290:$AF$366,19,FALSE)</f>
        <v>18.166293736737067</v>
      </c>
      <c r="F19" s="596">
        <f>VLOOKUP($B19, '[13]Div 2 forecast'!$D$290:$AF$366,20,FALSE)</f>
        <v>18.757342280266776</v>
      </c>
      <c r="G19" s="596">
        <f>VLOOKUP($B19, '[13]Div 2 forecast'!$D$290:$AF$366,21,FALSE)</f>
        <v>19.051192112180289</v>
      </c>
      <c r="H19" s="596">
        <f>VLOOKUP($B19, '[13]Div 2 forecast'!$D$290:$AF$366,22,FALSE)</f>
        <v>18.192361605583159</v>
      </c>
      <c r="I19" s="596">
        <f>VLOOKUP($B19, '[13]Div 2 forecast'!$D$290:$AF$366,23,FALSE)</f>
        <v>20.680445539830188</v>
      </c>
      <c r="J19" s="596">
        <f>VLOOKUP($B19, '[13]Div 2 forecast'!$D$290:$AF$366,24,FALSE)</f>
        <v>18.78563811721375</v>
      </c>
      <c r="K19" s="596">
        <f>VLOOKUP($B19, '[13]Div 2 forecast'!$D$290:$AF$366,25,FALSE)</f>
        <v>18.85924639169987</v>
      </c>
      <c r="L19" s="596">
        <f>VLOOKUP($B19, '[13]Div 2 forecast'!$D$290:$AF$366,26,FALSE)</f>
        <v>19.790766511887888</v>
      </c>
      <c r="M19" s="596">
        <f>VLOOKUP($B19, '[13]Div 2 forecast'!$D$290:$AF$366,27,FALSE)</f>
        <v>19.359849275904793</v>
      </c>
      <c r="N19" s="596">
        <f>VLOOKUP($B19, '[13]Div 2 forecast'!$D$290:$AF$366,28,FALSE)</f>
        <v>18.237161179599195</v>
      </c>
      <c r="O19" s="596">
        <f>VLOOKUP($B19, '[13]Div 2 forecast'!$D$290:$AF$366,29,FALSE)</f>
        <v>18.816872362928592</v>
      </c>
      <c r="P19" s="81">
        <f t="shared" si="0"/>
        <v>229.85370490936819</v>
      </c>
      <c r="Q19" s="81"/>
    </row>
    <row r="20" spans="1:18">
      <c r="A20" s="854">
        <f>A19+1</f>
        <v>9</v>
      </c>
      <c r="B20" s="364">
        <v>8900</v>
      </c>
      <c r="C20" s="80" t="s">
        <v>935</v>
      </c>
      <c r="D20" s="596">
        <f>VLOOKUP($B20, '[13]Div 2 forecast'!$D$290:$AF$366,18,FALSE)</f>
        <v>51.8900586577086</v>
      </c>
      <c r="E20" s="596">
        <f>VLOOKUP($B20, '[13]Div 2 forecast'!$D$290:$AF$366,19,FALSE)</f>
        <v>51.774414776016194</v>
      </c>
      <c r="F20" s="596">
        <f>VLOOKUP($B20, '[13]Div 2 forecast'!$D$290:$AF$366,20,FALSE)</f>
        <v>51.65760864425652</v>
      </c>
      <c r="G20" s="596">
        <f>VLOOKUP($B20, '[13]Div 2 forecast'!$D$290:$AF$366,21,FALSE)</f>
        <v>51.889477532674967</v>
      </c>
      <c r="H20" s="596">
        <f>VLOOKUP($B20, '[13]Div 2 forecast'!$D$290:$AF$366,22,FALSE)</f>
        <v>52.180621174523694</v>
      </c>
      <c r="I20" s="596">
        <f>VLOOKUP($B20, '[13]Div 2 forecast'!$D$290:$AF$366,23,FALSE)</f>
        <v>51.566953139010209</v>
      </c>
      <c r="J20" s="596">
        <f>VLOOKUP($B20, '[13]Div 2 forecast'!$D$290:$AF$366,24,FALSE)</f>
        <v>52.488036317314069</v>
      </c>
      <c r="K20" s="596">
        <f>VLOOKUP($B20, '[13]Div 2 forecast'!$D$290:$AF$366,25,FALSE)</f>
        <v>52.053354792158686</v>
      </c>
      <c r="L20" s="596">
        <f>VLOOKUP($B20, '[13]Div 2 forecast'!$D$290:$AF$366,26,FALSE)</f>
        <v>51.845893155152702</v>
      </c>
      <c r="M20" s="596">
        <f>VLOOKUP($B20, '[13]Div 2 forecast'!$D$290:$AF$366,27,FALSE)</f>
        <v>52.44154631462365</v>
      </c>
      <c r="N20" s="596">
        <f>VLOOKUP($B20, '[13]Div 2 forecast'!$D$290:$AF$366,28,FALSE)</f>
        <v>51.774414776016194</v>
      </c>
      <c r="O20" s="596">
        <f>VLOOKUP($B20, '[13]Div 2 forecast'!$D$290:$AF$366,29,FALSE)</f>
        <v>51.658189769290153</v>
      </c>
      <c r="P20" s="81">
        <f t="shared" si="0"/>
        <v>623.22056904874569</v>
      </c>
      <c r="Q20" s="81"/>
    </row>
    <row r="21" spans="1:18">
      <c r="A21" s="854">
        <f t="shared" ref="A21:A40" si="2">A20+1</f>
        <v>10</v>
      </c>
      <c r="B21" s="706">
        <v>9010</v>
      </c>
      <c r="C21" s="81" t="s">
        <v>182</v>
      </c>
      <c r="D21" s="596">
        <f>VLOOKUP($B21, '[13]Div 2 forecast'!$D$290:$AF$366,18,FALSE)</f>
        <v>1323.6362661933515</v>
      </c>
      <c r="E21" s="596">
        <f>VLOOKUP($B21, '[13]Div 2 forecast'!$D$290:$AF$366,19,FALSE)</f>
        <v>1418.4566428797943</v>
      </c>
      <c r="F21" s="596">
        <f>VLOOKUP($B21, '[13]Div 2 forecast'!$D$290:$AF$366,20,FALSE)</f>
        <v>1489.608387917503</v>
      </c>
      <c r="G21" s="596">
        <f>VLOOKUP($B21, '[13]Div 2 forecast'!$D$290:$AF$366,21,FALSE)</f>
        <v>1434.9585764327373</v>
      </c>
      <c r="H21" s="596">
        <f>VLOOKUP($B21, '[13]Div 2 forecast'!$D$290:$AF$366,22,FALSE)</f>
        <v>1314.1628608343522</v>
      </c>
      <c r="I21" s="596">
        <f>VLOOKUP($B21, '[13]Div 2 forecast'!$D$290:$AF$366,23,FALSE)</f>
        <v>1628.5806517155875</v>
      </c>
      <c r="J21" s="596">
        <f>VLOOKUP($B21, '[13]Div 2 forecast'!$D$290:$AF$366,24,FALSE)</f>
        <v>1489.0660069452254</v>
      </c>
      <c r="K21" s="596">
        <f>VLOOKUP($B21, '[13]Div 2 forecast'!$D$290:$AF$366,25,FALSE)</f>
        <v>1319.3353415886788</v>
      </c>
      <c r="L21" s="596">
        <f>VLOOKUP($B21, '[13]Div 2 forecast'!$D$290:$AF$366,26,FALSE)</f>
        <v>1434.3382072361674</v>
      </c>
      <c r="M21" s="596">
        <f>VLOOKUP($B21, '[13]Div 2 forecast'!$D$290:$AF$366,27,FALSE)</f>
        <v>1302.2221565150094</v>
      </c>
      <c r="N21" s="596">
        <f>VLOOKUP($B21, '[13]Div 2 forecast'!$D$290:$AF$366,28,FALSE)</f>
        <v>1319.7720001331138</v>
      </c>
      <c r="O21" s="596">
        <f>VLOOKUP($B21, '[13]Div 2 forecast'!$D$290:$AF$366,29,FALSE)</f>
        <v>1474.2320374641797</v>
      </c>
      <c r="P21" s="81">
        <f t="shared" si="0"/>
        <v>16948.369135855701</v>
      </c>
      <c r="Q21" s="81"/>
    </row>
    <row r="22" spans="1:18">
      <c r="A22" s="854">
        <f t="shared" si="2"/>
        <v>11</v>
      </c>
      <c r="B22" s="706">
        <v>9030</v>
      </c>
      <c r="C22" s="81" t="s">
        <v>945</v>
      </c>
      <c r="D22" s="596">
        <f>VLOOKUP($B22, '[13]Div 2 forecast'!$D$290:$AF$366,18,FALSE)</f>
        <v>25696.228821413784</v>
      </c>
      <c r="E22" s="596">
        <f>VLOOKUP($B22, '[13]Div 2 forecast'!$D$290:$AF$366,19,FALSE)</f>
        <v>28212.10507232797</v>
      </c>
      <c r="F22" s="596">
        <f>VLOOKUP($B22, '[13]Div 2 forecast'!$D$290:$AF$366,20,FALSE)</f>
        <v>25797.908135714308</v>
      </c>
      <c r="G22" s="596">
        <f>VLOOKUP($B22, '[13]Div 2 forecast'!$D$290:$AF$366,21,FALSE)</f>
        <v>26904.603336032284</v>
      </c>
      <c r="H22" s="596">
        <f>VLOOKUP($B22, '[13]Div 2 forecast'!$D$290:$AF$366,22,FALSE)</f>
        <v>28276.764910942598</v>
      </c>
      <c r="I22" s="596">
        <f>VLOOKUP($B22, '[13]Div 2 forecast'!$D$290:$AF$366,23,FALSE)</f>
        <v>24783.296081379282</v>
      </c>
      <c r="J22" s="596">
        <f>VLOOKUP($B22, '[13]Div 2 forecast'!$D$290:$AF$366,24,FALSE)</f>
        <v>27702.095076540092</v>
      </c>
      <c r="K22" s="596">
        <f>VLOOKUP($B22, '[13]Div 2 forecast'!$D$290:$AF$366,25,FALSE)</f>
        <v>27575.990692556479</v>
      </c>
      <c r="L22" s="596">
        <f>VLOOKUP($B22, '[13]Div 2 forecast'!$D$290:$AF$366,26,FALSE)</f>
        <v>26433.895411848811</v>
      </c>
      <c r="M22" s="596">
        <f>VLOOKUP($B22, '[13]Div 2 forecast'!$D$290:$AF$366,27,FALSE)</f>
        <v>28701.170208768079</v>
      </c>
      <c r="N22" s="596">
        <f>VLOOKUP($B22, '[13]Div 2 forecast'!$D$290:$AF$366,28,FALSE)</f>
        <v>25172.179378131699</v>
      </c>
      <c r="O22" s="596">
        <f>VLOOKUP($B22, '[13]Div 2 forecast'!$D$290:$AF$366,29,FALSE)</f>
        <v>27743.910717740171</v>
      </c>
      <c r="P22" s="81">
        <f t="shared" si="0"/>
        <v>323000.14784339559</v>
      </c>
      <c r="Q22" s="81"/>
    </row>
    <row r="23" spans="1:18">
      <c r="A23" s="854">
        <f t="shared" si="2"/>
        <v>12</v>
      </c>
      <c r="B23" s="706">
        <v>9100</v>
      </c>
      <c r="C23" s="81" t="s">
        <v>948</v>
      </c>
      <c r="D23" s="596">
        <f>VLOOKUP($B23, '[13]Div 2 forecast'!$D$290:$AF$366,18,FALSE)</f>
        <v>2401.0132324353349</v>
      </c>
      <c r="E23" s="596">
        <f>VLOOKUP($B23, '[13]Div 2 forecast'!$D$290:$AF$366,19,FALSE)</f>
        <v>2069.1394378469809</v>
      </c>
      <c r="F23" s="596">
        <f>VLOOKUP($B23, '[13]Div 2 forecast'!$D$290:$AF$366,20,FALSE)</f>
        <v>2138.3852163707752</v>
      </c>
      <c r="G23" s="596">
        <f>VLOOKUP($B23, '[13]Div 2 forecast'!$D$290:$AF$366,21,FALSE)</f>
        <v>2169.0283212923969</v>
      </c>
      <c r="H23" s="596">
        <f>VLOOKUP($B23, '[13]Div 2 forecast'!$D$290:$AF$366,22,FALSE)</f>
        <v>2070.1065908948967</v>
      </c>
      <c r="I23" s="596">
        <f>VLOOKUP($B23, '[13]Div 2 forecast'!$D$290:$AF$366,23,FALSE)</f>
        <v>2357.4979386603754</v>
      </c>
      <c r="J23" s="596">
        <f>VLOOKUP($B23, '[13]Div 2 forecast'!$D$290:$AF$366,24,FALSE)</f>
        <v>2141.5460724897412</v>
      </c>
      <c r="K23" s="596">
        <f>VLOOKUP($B23, '[13]Div 2 forecast'!$D$290:$AF$366,25,FALSE)</f>
        <v>2144.370853633749</v>
      </c>
      <c r="L23" s="596">
        <f>VLOOKUP($B23, '[13]Div 2 forecast'!$D$290:$AF$366,26,FALSE)</f>
        <v>2251.9348601014171</v>
      </c>
      <c r="M23" s="596">
        <f>VLOOKUP($B23, '[13]Div 2 forecast'!$D$290:$AF$366,27,FALSE)</f>
        <v>2199.7021081306343</v>
      </c>
      <c r="N23" s="596">
        <f>VLOOKUP($B23, '[13]Div 2 forecast'!$D$290:$AF$366,28,FALSE)</f>
        <v>2074.9882036871295</v>
      </c>
      <c r="O23" s="596">
        <f>VLOOKUP($B23, '[13]Div 2 forecast'!$D$290:$AF$366,29,FALSE)</f>
        <v>2144.4642961507034</v>
      </c>
      <c r="P23" s="81">
        <f t="shared" si="0"/>
        <v>26162.177131694138</v>
      </c>
      <c r="Q23" s="81"/>
    </row>
    <row r="24" spans="1:18">
      <c r="A24" s="854">
        <f t="shared" si="2"/>
        <v>13</v>
      </c>
      <c r="B24" s="706">
        <v>9120</v>
      </c>
      <c r="C24" s="103" t="s">
        <v>1235</v>
      </c>
      <c r="D24" s="596">
        <f>VLOOKUP($B24, '[13]Div 2 forecast'!$D$290:$AF$366,18,FALSE)</f>
        <v>172.68807242914534</v>
      </c>
      <c r="E24" s="596">
        <f>VLOOKUP($B24, '[13]Div 2 forecast'!$D$290:$AF$366,19,FALSE)</f>
        <v>193.26686370902161</v>
      </c>
      <c r="F24" s="596">
        <f>VLOOKUP($B24, '[13]Div 2 forecast'!$D$290:$AF$366,20,FALSE)</f>
        <v>180.89527721054554</v>
      </c>
      <c r="G24" s="596">
        <f>VLOOKUP($B24, '[13]Div 2 forecast'!$D$290:$AF$366,21,FALSE)</f>
        <v>172.6879965498365</v>
      </c>
      <c r="H24" s="596">
        <f>VLOOKUP($B24, '[13]Div 2 forecast'!$D$290:$AF$366,22,FALSE)</f>
        <v>172.72601208356213</v>
      </c>
      <c r="I24" s="596">
        <f>VLOOKUP($B24, '[13]Div 2 forecast'!$D$290:$AF$366,23,FALSE)</f>
        <v>203.02599192362919</v>
      </c>
      <c r="J24" s="596">
        <f>VLOOKUP($B24, '[13]Div 2 forecast'!$D$290:$AF$366,24,FALSE)</f>
        <v>213.95393476260338</v>
      </c>
      <c r="K24" s="596">
        <f>VLOOKUP($B24, '[13]Div 2 forecast'!$D$290:$AF$366,25,FALSE)</f>
        <v>172.70939451492757</v>
      </c>
      <c r="L24" s="596">
        <f>VLOOKUP($B24, '[13]Div 2 forecast'!$D$290:$AF$366,26,FALSE)</f>
        <v>220.04825550504253</v>
      </c>
      <c r="M24" s="596">
        <f>VLOOKUP($B24, '[13]Div 2 forecast'!$D$290:$AF$366,27,FALSE)</f>
        <v>211.47659746641662</v>
      </c>
      <c r="N24" s="596">
        <f>VLOOKUP($B24, '[13]Div 2 forecast'!$D$290:$AF$366,28,FALSE)</f>
        <v>188.7362076313081</v>
      </c>
      <c r="O24" s="596">
        <f>VLOOKUP($B24, '[13]Div 2 forecast'!$D$290:$AF$366,29,FALSE)</f>
        <v>207.2555339056421</v>
      </c>
      <c r="P24" s="81">
        <f t="shared" si="0"/>
        <v>2309.470137691681</v>
      </c>
      <c r="Q24" s="81"/>
    </row>
    <row r="25" spans="1:18">
      <c r="A25" s="854">
        <f t="shared" si="2"/>
        <v>14</v>
      </c>
      <c r="B25" s="706">
        <v>9200</v>
      </c>
      <c r="C25" s="81" t="s">
        <v>183</v>
      </c>
      <c r="D25" s="596">
        <f>VLOOKUP($B25, '[13]Div 2 forecast'!$D$290:$AF$366,18,FALSE)</f>
        <v>-1510951.8448527134</v>
      </c>
      <c r="E25" s="596">
        <f>VLOOKUP($B25, '[13]Div 2 forecast'!$D$290:$AF$366,19,FALSE)</f>
        <v>-2048872.4094489198</v>
      </c>
      <c r="F25" s="596">
        <f>VLOOKUP($B25, '[13]Div 2 forecast'!$D$290:$AF$366,20,FALSE)</f>
        <v>-1401000.2014029068</v>
      </c>
      <c r="G25" s="596">
        <f>VLOOKUP($B25, '[13]Div 2 forecast'!$D$290:$AF$366,21,FALSE)</f>
        <v>-1599328.7463470688</v>
      </c>
      <c r="H25" s="596">
        <f>VLOOKUP($B25, '[13]Div 2 forecast'!$D$290:$AF$366,22,FALSE)</f>
        <v>-963122.90090656653</v>
      </c>
      <c r="I25" s="596">
        <f>VLOOKUP($B25, '[13]Div 2 forecast'!$D$290:$AF$366,23,FALSE)</f>
        <v>-1370313.2275293521</v>
      </c>
      <c r="J25" s="596">
        <f>VLOOKUP($B25, '[13]Div 2 forecast'!$D$290:$AF$366,24,FALSE)</f>
        <v>-1148299.2070958791</v>
      </c>
      <c r="K25" s="596">
        <f>VLOOKUP($B25, '[13]Div 2 forecast'!$D$290:$AF$366,25,FALSE)</f>
        <v>-1180629.1912470041</v>
      </c>
      <c r="L25" s="596">
        <f>VLOOKUP($B25, '[13]Div 2 forecast'!$D$290:$AF$366,26,FALSE)</f>
        <v>-1315705.1224379386</v>
      </c>
      <c r="M25" s="596">
        <f>VLOOKUP($B25, '[13]Div 2 forecast'!$D$290:$AF$366,27,FALSE)</f>
        <v>-1215814.3147207061</v>
      </c>
      <c r="N25" s="596">
        <f>VLOOKUP($B25, '[13]Div 2 forecast'!$D$290:$AF$366,28,FALSE)</f>
        <v>-1397856.5223813434</v>
      </c>
      <c r="O25" s="596">
        <f>VLOOKUP($B25, '[13]Div 2 forecast'!$D$290:$AF$366,29,FALSE)</f>
        <v>-1911772.9041612968</v>
      </c>
      <c r="P25" s="81">
        <f t="shared" si="0"/>
        <v>-17063666.592531696</v>
      </c>
      <c r="Q25" s="81"/>
    </row>
    <row r="26" spans="1:18">
      <c r="A26" s="854">
        <f t="shared" si="2"/>
        <v>15</v>
      </c>
      <c r="B26" s="706">
        <v>9210</v>
      </c>
      <c r="C26" s="81" t="s">
        <v>952</v>
      </c>
      <c r="D26" s="596">
        <f>VLOOKUP($B26, '[13]Div 2 forecast'!$D$290:$AF$366,18,FALSE)</f>
        <v>2668114.0041461242</v>
      </c>
      <c r="E26" s="596">
        <f>VLOOKUP($B26, '[13]Div 2 forecast'!$D$290:$AF$366,19,FALSE)</f>
        <v>2624703.2944104914</v>
      </c>
      <c r="F26" s="596">
        <f>VLOOKUP($B26, '[13]Div 2 forecast'!$D$290:$AF$366,20,FALSE)</f>
        <v>2585457.7481587417</v>
      </c>
      <c r="G26" s="596">
        <f>VLOOKUP($B26, '[13]Div 2 forecast'!$D$290:$AF$366,21,FALSE)</f>
        <v>2639147.9396634516</v>
      </c>
      <c r="H26" s="596">
        <f>VLOOKUP($B26, '[13]Div 2 forecast'!$D$290:$AF$366,22,FALSE)</f>
        <v>2596631.7574786907</v>
      </c>
      <c r="I26" s="596">
        <f>VLOOKUP($B26, '[13]Div 2 forecast'!$D$290:$AF$366,23,FALSE)</f>
        <v>2789719.5015507694</v>
      </c>
      <c r="J26" s="596">
        <f>VLOOKUP($B26, '[13]Div 2 forecast'!$D$290:$AF$366,24,FALSE)</f>
        <v>2947347.0606119558</v>
      </c>
      <c r="K26" s="596">
        <f>VLOOKUP($B26, '[13]Div 2 forecast'!$D$290:$AF$366,25,FALSE)</f>
        <v>2478371.1901257671</v>
      </c>
      <c r="L26" s="596">
        <f>VLOOKUP($B26, '[13]Div 2 forecast'!$D$290:$AF$366,26,FALSE)</f>
        <v>2661407.3268217808</v>
      </c>
      <c r="M26" s="596">
        <f>VLOOKUP($B26, '[13]Div 2 forecast'!$D$290:$AF$366,27,FALSE)</f>
        <v>2572877.7591287256</v>
      </c>
      <c r="N26" s="596">
        <f>VLOOKUP($B26, '[13]Div 2 forecast'!$D$290:$AF$366,28,FALSE)</f>
        <v>2472793.6948613296</v>
      </c>
      <c r="O26" s="596">
        <f>VLOOKUP($B26, '[13]Div 2 forecast'!$D$290:$AF$366,29,FALSE)</f>
        <v>2635976.8364414549</v>
      </c>
      <c r="P26" s="81">
        <f t="shared" si="0"/>
        <v>31672548.113399282</v>
      </c>
      <c r="Q26" s="81"/>
    </row>
    <row r="27" spans="1:18">
      <c r="A27" s="854">
        <f t="shared" si="2"/>
        <v>16</v>
      </c>
      <c r="B27" s="706">
        <v>9220</v>
      </c>
      <c r="C27" s="81" t="s">
        <v>953</v>
      </c>
      <c r="D27" s="96">
        <f t="shared" ref="D27:O27" si="3">-(SUM(D12:D26,D28:D35))</f>
        <v>-8149412.0779545931</v>
      </c>
      <c r="E27" s="96">
        <f t="shared" si="3"/>
        <v>-11290391.094896812</v>
      </c>
      <c r="F27" s="96">
        <f t="shared" si="3"/>
        <v>-8345078.483152464</v>
      </c>
      <c r="G27" s="96">
        <f t="shared" si="3"/>
        <v>-9582779.1766251251</v>
      </c>
      <c r="H27" s="96">
        <f t="shared" si="3"/>
        <v>-7929889.0864029462</v>
      </c>
      <c r="I27" s="96">
        <f t="shared" si="3"/>
        <v>-7842749.0782723716</v>
      </c>
      <c r="J27" s="96">
        <f t="shared" si="3"/>
        <v>-8614674.3972411696</v>
      </c>
      <c r="K27" s="96">
        <f t="shared" si="3"/>
        <v>-8594391.0521940887</v>
      </c>
      <c r="L27" s="96">
        <f t="shared" si="3"/>
        <v>-8663954.3290609606</v>
      </c>
      <c r="M27" s="96">
        <f t="shared" si="3"/>
        <v>-8843933.6049652249</v>
      </c>
      <c r="N27" s="96">
        <f t="shared" si="3"/>
        <v>-8225187.8621448707</v>
      </c>
      <c r="O27" s="96">
        <f t="shared" si="3"/>
        <v>-10839628.965703387</v>
      </c>
      <c r="P27" s="81">
        <f t="shared" si="0"/>
        <v>-106922069.20861401</v>
      </c>
      <c r="Q27" s="81"/>
    </row>
    <row r="28" spans="1:18">
      <c r="A28" s="854">
        <f t="shared" si="2"/>
        <v>17</v>
      </c>
      <c r="B28" s="706">
        <v>9230</v>
      </c>
      <c r="C28" s="81" t="s">
        <v>954</v>
      </c>
      <c r="D28" s="596">
        <f>VLOOKUP($B28, '[13]Div 2 forecast'!$D$290:$AF$366,18,FALSE)</f>
        <v>1011978.358727075</v>
      </c>
      <c r="E28" s="596">
        <f>VLOOKUP($B28, '[13]Div 2 forecast'!$D$290:$AF$366,19,FALSE)</f>
        <v>870890.81186934386</v>
      </c>
      <c r="F28" s="596">
        <f>VLOOKUP($B28, '[13]Div 2 forecast'!$D$290:$AF$366,20,FALSE)</f>
        <v>898792.34168862773</v>
      </c>
      <c r="G28" s="596">
        <f>VLOOKUP($B28, '[13]Div 2 forecast'!$D$290:$AF$366,21,FALSE)</f>
        <v>913195.17386625218</v>
      </c>
      <c r="H28" s="596">
        <f>VLOOKUP($B28, '[13]Div 2 forecast'!$D$290:$AF$366,22,FALSE)</f>
        <v>872293.79998339224</v>
      </c>
      <c r="I28" s="596">
        <f>VLOOKUP($B28, '[13]Div 2 forecast'!$D$290:$AF$366,23,FALSE)</f>
        <v>991299.4412941332</v>
      </c>
      <c r="J28" s="596">
        <f>VLOOKUP($B28, '[13]Div 2 forecast'!$D$290:$AF$366,24,FALSE)</f>
        <v>904989.26648231968</v>
      </c>
      <c r="K28" s="596">
        <f>VLOOKUP($B28, '[13]Div 2 forecast'!$D$290:$AF$366,25,FALSE)</f>
        <v>902452.16740749427</v>
      </c>
      <c r="L28" s="596">
        <f>VLOOKUP($B28, '[13]Div 2 forecast'!$D$290:$AF$366,26,FALSE)</f>
        <v>947969.71947690879</v>
      </c>
      <c r="M28" s="596">
        <f>VLOOKUP($B28, '[13]Div 2 forecast'!$D$290:$AF$366,27,FALSE)</f>
        <v>927072.06836201495</v>
      </c>
      <c r="N28" s="596">
        <f>VLOOKUP($B28, '[13]Div 2 forecast'!$D$290:$AF$366,28,FALSE)</f>
        <v>873525.90986351634</v>
      </c>
      <c r="O28" s="596">
        <f>VLOOKUP($B28, '[13]Div 2 forecast'!$D$290:$AF$366,29,FALSE)</f>
        <v>901082.54023610323</v>
      </c>
      <c r="P28" s="81">
        <f t="shared" si="0"/>
        <v>11015541.59925718</v>
      </c>
      <c r="Q28" s="81"/>
    </row>
    <row r="29" spans="1:18">
      <c r="A29" s="854">
        <f t="shared" si="2"/>
        <v>18</v>
      </c>
      <c r="B29" s="706">
        <v>9240</v>
      </c>
      <c r="C29" s="81" t="s">
        <v>955</v>
      </c>
      <c r="D29" s="596">
        <f>VLOOKUP($B29, '[13]Div 2 forecast'!$D$290:$AF$366,18,FALSE)</f>
        <v>21412.89676616382</v>
      </c>
      <c r="E29" s="596">
        <f>VLOOKUP($B29, '[13]Div 2 forecast'!$D$290:$AF$366,19,FALSE)</f>
        <v>20958.717229047084</v>
      </c>
      <c r="F29" s="596">
        <f>VLOOKUP($B29, '[13]Div 2 forecast'!$D$290:$AF$366,20,FALSE)</f>
        <v>21062.299903714676</v>
      </c>
      <c r="G29" s="596">
        <f>VLOOKUP($B29, '[13]Div 2 forecast'!$D$290:$AF$366,21,FALSE)</f>
        <v>21269.158136648184</v>
      </c>
      <c r="H29" s="596">
        <f>VLOOKUP($B29, '[13]Div 2 forecast'!$D$290:$AF$366,22,FALSE)</f>
        <v>21117.760476401767</v>
      </c>
      <c r="I29" s="596">
        <f>VLOOKUP($B29, '[13]Div 2 forecast'!$D$290:$AF$366,23,FALSE)</f>
        <v>21241.418265050321</v>
      </c>
      <c r="J29" s="596">
        <f>VLOOKUP($B29, '[13]Div 2 forecast'!$D$290:$AF$366,24,FALSE)</f>
        <v>22658.948268776498</v>
      </c>
      <c r="K29" s="596">
        <f>VLOOKUP($B29, '[13]Div 2 forecast'!$D$290:$AF$366,25,FALSE)</f>
        <v>20756.558708245342</v>
      </c>
      <c r="L29" s="596">
        <f>VLOOKUP($B29, '[13]Div 2 forecast'!$D$290:$AF$366,26,FALSE)</f>
        <v>21456.099886766111</v>
      </c>
      <c r="M29" s="596">
        <f>VLOOKUP($B29, '[13]Div 2 forecast'!$D$290:$AF$366,27,FALSE)</f>
        <v>21070.048212049205</v>
      </c>
      <c r="N29" s="596">
        <f>VLOOKUP($B29, '[13]Div 2 forecast'!$D$290:$AF$366,28,FALSE)</f>
        <v>20788.827818773883</v>
      </c>
      <c r="O29" s="596">
        <f>VLOOKUP($B29, '[13]Div 2 forecast'!$D$290:$AF$366,29,FALSE)</f>
        <v>20853.019654988144</v>
      </c>
      <c r="P29" s="81">
        <f t="shared" si="0"/>
        <v>254645.75332662504</v>
      </c>
      <c r="Q29" s="81"/>
    </row>
    <row r="30" spans="1:18">
      <c r="A30" s="854">
        <f t="shared" si="2"/>
        <v>19</v>
      </c>
      <c r="B30" s="706">
        <v>9250</v>
      </c>
      <c r="C30" s="81" t="s">
        <v>956</v>
      </c>
      <c r="D30" s="596">
        <f>VLOOKUP($B30, '[13]Div 2 forecast'!$D$290:$AF$366,18,FALSE)</f>
        <v>1744153.8208850448</v>
      </c>
      <c r="E30" s="596">
        <f>VLOOKUP($B30, '[13]Div 2 forecast'!$D$290:$AF$366,19,FALSE)</f>
        <v>1745185.0711671284</v>
      </c>
      <c r="F30" s="596">
        <f>VLOOKUP($B30, '[13]Div 2 forecast'!$D$290:$AF$366,20,FALSE)</f>
        <v>1744152.787552597</v>
      </c>
      <c r="G30" s="596">
        <f>VLOOKUP($B30, '[13]Div 2 forecast'!$D$290:$AF$366,21,FALSE)</f>
        <v>1744669.7043513651</v>
      </c>
      <c r="H30" s="596">
        <f>VLOOKUP($B30, '[13]Div 2 forecast'!$D$290:$AF$366,22,FALSE)</f>
        <v>1745185.0711671284</v>
      </c>
      <c r="I30" s="596">
        <f>VLOOKUP($B30, '[13]Div 2 forecast'!$D$290:$AF$366,23,FALSE)</f>
        <v>1743636.8787508537</v>
      </c>
      <c r="J30" s="596">
        <f>VLOOKUP($B30, '[13]Div 2 forecast'!$D$290:$AF$366,24,FALSE)</f>
        <v>1728868.7379848175</v>
      </c>
      <c r="K30" s="596">
        <f>VLOOKUP($B30, '[13]Div 2 forecast'!$D$290:$AF$366,25,FALSE)</f>
        <v>1743578.9110492105</v>
      </c>
      <c r="L30" s="596">
        <f>VLOOKUP($B30, '[13]Div 2 forecast'!$D$290:$AF$366,26,FALSE)</f>
        <v>1743062.6846219201</v>
      </c>
      <c r="M30" s="596">
        <f>VLOOKUP($B30, '[13]Div 2 forecast'!$D$290:$AF$366,27,FALSE)</f>
        <v>1744059.0983710168</v>
      </c>
      <c r="N30" s="596">
        <f>VLOOKUP($B30, '[13]Div 2 forecast'!$D$290:$AF$366,28,FALSE)</f>
        <v>1742591.6913638581</v>
      </c>
      <c r="O30" s="596">
        <f>VLOOKUP($B30, '[13]Div 2 forecast'!$D$290:$AF$366,29,FALSE)</f>
        <v>1744182.849553619</v>
      </c>
      <c r="P30" s="81">
        <f t="shared" si="0"/>
        <v>20913327.306818556</v>
      </c>
      <c r="Q30" s="81"/>
      <c r="R30" s="690"/>
    </row>
    <row r="31" spans="1:18">
      <c r="A31" s="854">
        <f t="shared" si="2"/>
        <v>20</v>
      </c>
      <c r="B31" s="706">
        <v>9260</v>
      </c>
      <c r="C31" s="81" t="s">
        <v>957</v>
      </c>
      <c r="D31" s="596">
        <f>VLOOKUP($B31, '[13]Div 2 forecast'!$D$290:$AF$366,18,FALSE)</f>
        <v>3340906.7499115812</v>
      </c>
      <c r="E31" s="596">
        <f>VLOOKUP($B31, '[13]Div 2 forecast'!$D$290:$AF$366,19,FALSE)</f>
        <v>7254891.0700546764</v>
      </c>
      <c r="F31" s="596">
        <f>VLOOKUP($B31, '[13]Div 2 forecast'!$D$290:$AF$366,20,FALSE)</f>
        <v>3400033.837087071</v>
      </c>
      <c r="G31" s="596">
        <f>VLOOKUP($B31, '[13]Div 2 forecast'!$D$290:$AF$366,21,FALSE)</f>
        <v>5038132.3728565508</v>
      </c>
      <c r="H31" s="596">
        <f>VLOOKUP($B31, '[13]Div 2 forecast'!$D$290:$AF$366,22,FALSE)</f>
        <v>2828315.8391657374</v>
      </c>
      <c r="I31" s="596">
        <f>VLOOKUP($B31, '[13]Div 2 forecast'!$D$290:$AF$366,23,FALSE)</f>
        <v>2651093.0287964768</v>
      </c>
      <c r="J31" s="596">
        <f>VLOOKUP($B31, '[13]Div 2 forecast'!$D$290:$AF$366,24,FALSE)</f>
        <v>3309324.5149138803</v>
      </c>
      <c r="K31" s="596">
        <f>VLOOKUP($B31, '[13]Div 2 forecast'!$D$290:$AF$366,25,FALSE)</f>
        <v>3809076.2416086351</v>
      </c>
      <c r="L31" s="596">
        <f>VLOOKUP($B31, '[13]Div 2 forecast'!$D$290:$AF$366,26,FALSE)</f>
        <v>3575065.2186541674</v>
      </c>
      <c r="M31" s="596">
        <f>VLOOKUP($B31, '[13]Div 2 forecast'!$D$290:$AF$366,27,FALSE)</f>
        <v>3876193.8081836943</v>
      </c>
      <c r="N31" s="596">
        <f>VLOOKUP($B31, '[13]Div 2 forecast'!$D$290:$AF$366,28,FALSE)</f>
        <v>3606055.5071672285</v>
      </c>
      <c r="O31" s="596">
        <f>VLOOKUP($B31, '[13]Div 2 forecast'!$D$290:$AF$366,29,FALSE)</f>
        <v>3710378.4655436999</v>
      </c>
      <c r="P31" s="81">
        <f t="shared" si="0"/>
        <v>46399466.653943397</v>
      </c>
      <c r="Q31" s="81"/>
    </row>
    <row r="32" spans="1:18">
      <c r="A32" s="854">
        <f t="shared" si="2"/>
        <v>21</v>
      </c>
      <c r="B32" s="706">
        <v>9301</v>
      </c>
      <c r="C32" s="81" t="s">
        <v>184</v>
      </c>
      <c r="D32" s="596">
        <f>VLOOKUP($B32, '[13]Div 2 forecast'!$D$290:$AF$366,18,FALSE)</f>
        <v>0</v>
      </c>
      <c r="E32" s="596">
        <f>VLOOKUP($B32, '[13]Div 2 forecast'!$D$290:$AF$366,19,FALSE)</f>
        <v>0</v>
      </c>
      <c r="F32" s="596">
        <f>VLOOKUP($B32, '[13]Div 2 forecast'!$D$290:$AF$366,20,FALSE)</f>
        <v>0</v>
      </c>
      <c r="G32" s="596">
        <f>VLOOKUP($B32, '[13]Div 2 forecast'!$D$290:$AF$366,21,FALSE)</f>
        <v>0</v>
      </c>
      <c r="H32" s="596">
        <f>VLOOKUP($B32, '[13]Div 2 forecast'!$D$290:$AF$366,22,FALSE)</f>
        <v>0</v>
      </c>
      <c r="I32" s="596">
        <f>VLOOKUP($B32, '[13]Div 2 forecast'!$D$290:$AF$366,23,FALSE)</f>
        <v>0</v>
      </c>
      <c r="J32" s="596">
        <f>VLOOKUP($B32, '[13]Div 2 forecast'!$D$290:$AF$366,24,FALSE)</f>
        <v>0</v>
      </c>
      <c r="K32" s="596">
        <f>VLOOKUP($B32, '[13]Div 2 forecast'!$D$290:$AF$366,25,FALSE)</f>
        <v>0</v>
      </c>
      <c r="L32" s="596">
        <f>VLOOKUP($B32, '[13]Div 2 forecast'!$D$290:$AF$366,26,FALSE)</f>
        <v>0</v>
      </c>
      <c r="M32" s="596">
        <f>VLOOKUP($B32, '[13]Div 2 forecast'!$D$290:$AF$366,27,FALSE)</f>
        <v>0</v>
      </c>
      <c r="N32" s="596">
        <f>VLOOKUP($B32, '[13]Div 2 forecast'!$D$290:$AF$366,28,FALSE)</f>
        <v>0</v>
      </c>
      <c r="O32" s="596">
        <f>VLOOKUP($B32, '[13]Div 2 forecast'!$D$290:$AF$366,29,FALSE)</f>
        <v>0</v>
      </c>
      <c r="P32" s="81">
        <f t="shared" si="0"/>
        <v>0</v>
      </c>
      <c r="Q32" s="81"/>
    </row>
    <row r="33" spans="1:17">
      <c r="A33" s="854">
        <f t="shared" si="2"/>
        <v>22</v>
      </c>
      <c r="B33" s="706">
        <v>9302</v>
      </c>
      <c r="C33" s="81" t="s">
        <v>864</v>
      </c>
      <c r="D33" s="596">
        <f>VLOOKUP($B33, '[13]Div 2 forecast'!$D$290:$AF$366,18,FALSE)</f>
        <v>319096.14360692439</v>
      </c>
      <c r="E33" s="596">
        <f>VLOOKUP($B33, '[13]Div 2 forecast'!$D$290:$AF$366,19,FALSE)</f>
        <v>268389.20282109</v>
      </c>
      <c r="F33" s="596">
        <f>VLOOKUP($B33, '[13]Div 2 forecast'!$D$290:$AF$366,20,FALSE)</f>
        <v>544004.01733116969</v>
      </c>
      <c r="G33" s="596">
        <f>VLOOKUP($B33, '[13]Div 2 forecast'!$D$290:$AF$366,21,FALSE)</f>
        <v>271141.85482186795</v>
      </c>
      <c r="H33" s="596">
        <f>VLOOKUP($B33, '[13]Div 2 forecast'!$D$290:$AF$366,22,FALSE)</f>
        <v>274702.21475933818</v>
      </c>
      <c r="I33" s="596">
        <f>VLOOKUP($B33, '[13]Div 2 forecast'!$D$290:$AF$366,23,FALSE)</f>
        <v>462706.62925572234</v>
      </c>
      <c r="J33" s="596">
        <f>VLOOKUP($B33, '[13]Div 2 forecast'!$D$290:$AF$366,24,FALSE)</f>
        <v>256849.68235021725</v>
      </c>
      <c r="K33" s="596">
        <f>VLOOKUP($B33, '[13]Div 2 forecast'!$D$290:$AF$366,25,FALSE)</f>
        <v>236088.82688873549</v>
      </c>
      <c r="L33" s="596">
        <f>VLOOKUP($B33, '[13]Div 2 forecast'!$D$290:$AF$366,26,FALSE)</f>
        <v>475499.21606570622</v>
      </c>
      <c r="M33" s="596">
        <f>VLOOKUP($B33, '[13]Div 2 forecast'!$D$290:$AF$366,27,FALSE)</f>
        <v>362896.88558530266</v>
      </c>
      <c r="N33" s="596">
        <f>VLOOKUP($B33, '[13]Div 2 forecast'!$D$290:$AF$366,28,FALSE)</f>
        <v>356861.98855914682</v>
      </c>
      <c r="O33" s="596">
        <f>VLOOKUP($B33, '[13]Div 2 forecast'!$D$290:$AF$366,29,FALSE)</f>
        <v>3185191.5625060443</v>
      </c>
      <c r="P33" s="81">
        <f t="shared" si="0"/>
        <v>7013428.2245512651</v>
      </c>
      <c r="Q33" s="81"/>
    </row>
    <row r="34" spans="1:17">
      <c r="A34" s="854">
        <f t="shared" si="2"/>
        <v>23</v>
      </c>
      <c r="B34" s="706">
        <v>9310</v>
      </c>
      <c r="C34" s="81" t="s">
        <v>185</v>
      </c>
      <c r="D34" s="596">
        <f>VLOOKUP($B34, '[13]Div 2 forecast'!$D$290:$AF$366,18,FALSE)</f>
        <v>485861.10153526528</v>
      </c>
      <c r="E34" s="596">
        <f>VLOOKUP($B34, '[13]Div 2 forecast'!$D$290:$AF$366,19,FALSE)</f>
        <v>484564.40095544909</v>
      </c>
      <c r="F34" s="596">
        <f>VLOOKUP($B34, '[13]Div 2 forecast'!$D$290:$AF$366,20,FALSE)</f>
        <v>484825.0526888899</v>
      </c>
      <c r="G34" s="596">
        <f>VLOOKUP($B34, '[13]Div 2 forecast'!$D$290:$AF$366,21,FALSE)</f>
        <v>485004.95491631149</v>
      </c>
      <c r="H34" s="596">
        <f>VLOOKUP($B34, '[13]Div 2 forecast'!$D$290:$AF$366,22,FALSE)</f>
        <v>484626.01813811035</v>
      </c>
      <c r="I34" s="596">
        <f>VLOOKUP($B34, '[13]Div 2 forecast'!$D$290:$AF$366,23,FALSE)</f>
        <v>485628.05937894864</v>
      </c>
      <c r="J34" s="596">
        <f>VLOOKUP($B34, '[13]Div 2 forecast'!$D$290:$AF$366,24,FALSE)</f>
        <v>516849.59033918037</v>
      </c>
      <c r="K34" s="596">
        <f>VLOOKUP($B34, '[13]Div 2 forecast'!$D$290:$AF$366,25,FALSE)</f>
        <v>516228.91780010139</v>
      </c>
      <c r="L34" s="596">
        <f>VLOOKUP($B34, '[13]Div 2 forecast'!$D$290:$AF$366,26,FALSE)</f>
        <v>485351.08633891132</v>
      </c>
      <c r="M34" s="596">
        <f>VLOOKUP($B34, '[13]Div 2 forecast'!$D$290:$AF$366,27,FALSE)</f>
        <v>485061.3100018471</v>
      </c>
      <c r="N34" s="596">
        <f>VLOOKUP($B34, '[13]Div 2 forecast'!$D$290:$AF$366,28,FALSE)</f>
        <v>484538.29619715386</v>
      </c>
      <c r="O34" s="596">
        <f>VLOOKUP($B34, '[13]Div 2 forecast'!$D$290:$AF$366,29,FALSE)</f>
        <v>484780.49106873869</v>
      </c>
      <c r="P34" s="81">
        <f t="shared" si="0"/>
        <v>5883319.2793589076</v>
      </c>
      <c r="Q34" s="81"/>
    </row>
    <row r="35" spans="1:17">
      <c r="A35" s="854">
        <f t="shared" si="2"/>
        <v>24</v>
      </c>
      <c r="B35" s="706">
        <v>9320</v>
      </c>
      <c r="C35" s="81" t="s">
        <v>186</v>
      </c>
      <c r="D35" s="596">
        <f>VLOOKUP($B35, '[13]Div 2 forecast'!$D$290:$AF$366,18,FALSE)</f>
        <v>33503.449108866414</v>
      </c>
      <c r="E35" s="596">
        <f>VLOOKUP($B35, '[13]Div 2 forecast'!$D$290:$AF$366,19,FALSE)</f>
        <v>31997.115478500029</v>
      </c>
      <c r="F35" s="596">
        <f>VLOOKUP($B35, '[13]Div 2 forecast'!$D$290:$AF$366,20,FALSE)</f>
        <v>32344.400063343295</v>
      </c>
      <c r="G35" s="596">
        <f>VLOOKUP($B35, '[13]Div 2 forecast'!$D$290:$AF$366,21,FALSE)</f>
        <v>33074.422930050569</v>
      </c>
      <c r="H35" s="596">
        <f>VLOOKUP($B35, '[13]Div 2 forecast'!$D$290:$AF$366,22,FALSE)</f>
        <v>32566.61972528421</v>
      </c>
      <c r="I35" s="596">
        <f>VLOOKUP($B35, '[13]Div 2 forecast'!$D$290:$AF$366,23,FALSE)</f>
        <v>32907.899138181725</v>
      </c>
      <c r="J35" s="596">
        <f>VLOOKUP($B35, '[13]Div 2 forecast'!$D$290:$AF$366,24,FALSE)</f>
        <v>38736.636357422547</v>
      </c>
      <c r="K35" s="596">
        <f>VLOOKUP($B35, '[13]Div 2 forecast'!$D$290:$AF$366,25,FALSE)</f>
        <v>31516.567761880207</v>
      </c>
      <c r="L35" s="596">
        <f>VLOOKUP($B35, '[13]Div 2 forecast'!$D$290:$AF$366,26,FALSE)</f>
        <v>33730.41225034363</v>
      </c>
      <c r="M35" s="596">
        <f>VLOOKUP($B35, '[13]Div 2 forecast'!$D$290:$AF$366,27,FALSE)</f>
        <v>32363.163267866981</v>
      </c>
      <c r="N35" s="596">
        <f>VLOOKUP($B35, '[13]Div 2 forecast'!$D$290:$AF$366,28,FALSE)</f>
        <v>31400.472290608275</v>
      </c>
      <c r="O35" s="596">
        <f>VLOOKUP($B35, '[13]Div 2 forecast'!$D$290:$AF$366,29,FALSE)</f>
        <v>31591.383661638134</v>
      </c>
      <c r="P35" s="81">
        <f t="shared" si="0"/>
        <v>395732.54203398607</v>
      </c>
      <c r="Q35" s="81"/>
    </row>
    <row r="36" spans="1:17" ht="15.75" thickBot="1">
      <c r="A36" s="854">
        <f t="shared" si="2"/>
        <v>25</v>
      </c>
      <c r="B36" s="81" t="s">
        <v>741</v>
      </c>
      <c r="C36" s="81"/>
      <c r="D36" s="903">
        <f t="shared" ref="D36:P36" si="4">SUM(D12:D35)</f>
        <v>-6.7666405811905861E-10</v>
      </c>
      <c r="E36" s="903">
        <f t="shared" si="4"/>
        <v>-2.2082531359046698E-9</v>
      </c>
      <c r="F36" s="903">
        <f t="shared" si="4"/>
        <v>-5.0931703299283981E-11</v>
      </c>
      <c r="G36" s="903">
        <f t="shared" si="4"/>
        <v>6.2573235481977463E-10</v>
      </c>
      <c r="H36" s="903">
        <f t="shared" si="4"/>
        <v>-2.4738255888223648E-10</v>
      </c>
      <c r="I36" s="903">
        <f t="shared" si="4"/>
        <v>-9.6770236268639565E-10</v>
      </c>
      <c r="J36" s="903">
        <f t="shared" si="4"/>
        <v>-1.964508555829525E-10</v>
      </c>
      <c r="K36" s="903">
        <f t="shared" si="4"/>
        <v>3.8562575355172157E-10</v>
      </c>
      <c r="L36" s="903">
        <f t="shared" si="4"/>
        <v>-1.8262653611600399E-9</v>
      </c>
      <c r="M36" s="903">
        <f t="shared" si="4"/>
        <v>2.1464074961841106E-10</v>
      </c>
      <c r="N36" s="903">
        <f t="shared" si="4"/>
        <v>8.149072527885437E-10</v>
      </c>
      <c r="O36" s="903">
        <f t="shared" si="4"/>
        <v>-3.8962753023952246E-9</v>
      </c>
      <c r="P36" s="903">
        <f t="shared" si="4"/>
        <v>-2.9103830456733704E-9</v>
      </c>
      <c r="Q36" s="81"/>
    </row>
    <row r="37" spans="1:17" ht="15.75" thickTop="1">
      <c r="A37" s="854">
        <f t="shared" si="2"/>
        <v>26</v>
      </c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</row>
    <row r="38" spans="1:17">
      <c r="A38" s="854">
        <f t="shared" si="2"/>
        <v>27</v>
      </c>
      <c r="B38" s="706">
        <f t="shared" ref="B38:O38" si="5">B27</f>
        <v>9220</v>
      </c>
      <c r="C38" s="81" t="str">
        <f t="shared" si="5"/>
        <v>A&amp;G-Administrative expense transferred-Credit</v>
      </c>
      <c r="D38" s="81">
        <f t="shared" si="5"/>
        <v>-8149412.0779545931</v>
      </c>
      <c r="E38" s="81">
        <f t="shared" si="5"/>
        <v>-11290391.094896812</v>
      </c>
      <c r="F38" s="81">
        <f t="shared" si="5"/>
        <v>-8345078.483152464</v>
      </c>
      <c r="G38" s="81">
        <f t="shared" si="5"/>
        <v>-9582779.1766251251</v>
      </c>
      <c r="H38" s="81">
        <f t="shared" si="5"/>
        <v>-7929889.0864029462</v>
      </c>
      <c r="I38" s="81">
        <f t="shared" si="5"/>
        <v>-7842749.0782723716</v>
      </c>
      <c r="J38" s="81">
        <f t="shared" si="5"/>
        <v>-8614674.3972411696</v>
      </c>
      <c r="K38" s="81">
        <f t="shared" si="5"/>
        <v>-8594391.0521940887</v>
      </c>
      <c r="L38" s="81">
        <f t="shared" si="5"/>
        <v>-8663954.3290609606</v>
      </c>
      <c r="M38" s="81">
        <f t="shared" si="5"/>
        <v>-8843933.6049652249</v>
      </c>
      <c r="N38" s="81">
        <f t="shared" si="5"/>
        <v>-8225187.8621448707</v>
      </c>
      <c r="O38" s="81">
        <f t="shared" si="5"/>
        <v>-10839628.965703387</v>
      </c>
      <c r="P38" s="81"/>
      <c r="Q38" s="81"/>
    </row>
    <row r="39" spans="1:17">
      <c r="A39" s="854">
        <f t="shared" si="2"/>
        <v>28</v>
      </c>
      <c r="B39" s="81"/>
      <c r="C39" s="81" t="s">
        <v>196</v>
      </c>
      <c r="D39" s="910">
        <f>Allocation!$E$14</f>
        <v>5.2010158342223917E-2</v>
      </c>
      <c r="E39" s="910">
        <f>D39</f>
        <v>5.2010158342223917E-2</v>
      </c>
      <c r="F39" s="910">
        <f t="shared" ref="F39:O39" si="6">E39</f>
        <v>5.2010158342223917E-2</v>
      </c>
      <c r="G39" s="910">
        <f t="shared" si="6"/>
        <v>5.2010158342223917E-2</v>
      </c>
      <c r="H39" s="910">
        <f t="shared" si="6"/>
        <v>5.2010158342223917E-2</v>
      </c>
      <c r="I39" s="910">
        <f t="shared" si="6"/>
        <v>5.2010158342223917E-2</v>
      </c>
      <c r="J39" s="910">
        <f t="shared" si="6"/>
        <v>5.2010158342223917E-2</v>
      </c>
      <c r="K39" s="910">
        <f t="shared" si="6"/>
        <v>5.2010158342223917E-2</v>
      </c>
      <c r="L39" s="910">
        <f t="shared" si="6"/>
        <v>5.2010158342223917E-2</v>
      </c>
      <c r="M39" s="910">
        <f t="shared" si="6"/>
        <v>5.2010158342223917E-2</v>
      </c>
      <c r="N39" s="910">
        <f t="shared" si="6"/>
        <v>5.2010158342223917E-2</v>
      </c>
      <c r="O39" s="910">
        <f t="shared" si="6"/>
        <v>5.2010158342223917E-2</v>
      </c>
      <c r="P39" s="74"/>
      <c r="Q39" s="81"/>
    </row>
    <row r="40" spans="1:17">
      <c r="A40" s="854">
        <f t="shared" si="2"/>
        <v>29</v>
      </c>
      <c r="B40" s="81"/>
      <c r="C40" s="81" t="s">
        <v>211</v>
      </c>
      <c r="D40" s="81">
        <f t="shared" ref="D40:N40" si="7">ROUND(D38*D39,3)</f>
        <v>-423852.21299999999</v>
      </c>
      <c r="E40" s="81">
        <f t="shared" si="7"/>
        <v>-587215.02899999998</v>
      </c>
      <c r="F40" s="81">
        <f t="shared" si="7"/>
        <v>-434028.853</v>
      </c>
      <c r="G40" s="81">
        <f t="shared" si="7"/>
        <v>-498401.86200000002</v>
      </c>
      <c r="H40" s="81">
        <f t="shared" si="7"/>
        <v>-412434.78700000001</v>
      </c>
      <c r="I40" s="81">
        <f t="shared" si="7"/>
        <v>-407902.62099999998</v>
      </c>
      <c r="J40" s="81">
        <f t="shared" si="7"/>
        <v>-448050.57900000003</v>
      </c>
      <c r="K40" s="81">
        <f t="shared" si="7"/>
        <v>-446995.63900000002</v>
      </c>
      <c r="L40" s="81">
        <f t="shared" si="7"/>
        <v>-450613.63699999999</v>
      </c>
      <c r="M40" s="81">
        <f t="shared" si="7"/>
        <v>-459974.38699999999</v>
      </c>
      <c r="N40" s="81">
        <f t="shared" si="7"/>
        <v>-427793.32299999997</v>
      </c>
      <c r="O40" s="81">
        <f>ROUND(O38*O39,3)</f>
        <v>-563770.81900000002</v>
      </c>
      <c r="P40" s="81">
        <f>SUM(D40:O40)</f>
        <v>-5561033.7489999998</v>
      </c>
      <c r="Q40" s="911"/>
    </row>
    <row r="41" spans="1:17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</row>
    <row r="42" spans="1:17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</row>
    <row r="43" spans="1:17">
      <c r="A43" s="81"/>
      <c r="B43" s="81" t="s">
        <v>568</v>
      </c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74"/>
      <c r="P43" s="885"/>
      <c r="Q43" s="81"/>
    </row>
    <row r="44" spans="1:17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</row>
    <row r="45" spans="1:17">
      <c r="A45" s="81"/>
      <c r="B45" s="81"/>
      <c r="C45" s="170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74"/>
      <c r="Q45" s="81"/>
    </row>
    <row r="46" spans="1:17">
      <c r="A46" s="81"/>
      <c r="B46" s="81" t="s">
        <v>961</v>
      </c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74"/>
      <c r="Q46" s="81"/>
    </row>
    <row r="47" spans="1:17">
      <c r="A47" s="81"/>
      <c r="B47" s="81" t="s">
        <v>1646</v>
      </c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74"/>
      <c r="Q47" s="81"/>
    </row>
    <row r="48" spans="1:17">
      <c r="A48" s="81"/>
      <c r="B48" s="81"/>
      <c r="C48" s="81"/>
      <c r="D48" s="428"/>
      <c r="E48" s="428"/>
      <c r="F48" s="428"/>
      <c r="G48" s="428"/>
      <c r="H48" s="428"/>
      <c r="I48" s="428"/>
      <c r="J48" s="428"/>
      <c r="K48" s="827"/>
      <c r="L48" s="827"/>
      <c r="M48" s="827"/>
      <c r="N48" s="827"/>
      <c r="O48" s="827"/>
      <c r="P48" s="827"/>
      <c r="Q48" s="81"/>
    </row>
    <row r="49" spans="1:17">
      <c r="A49" s="81"/>
      <c r="B49" s="81"/>
      <c r="C49" s="81"/>
      <c r="D49" s="827"/>
      <c r="E49" s="827"/>
      <c r="F49" s="827"/>
      <c r="G49" s="827"/>
      <c r="H49" s="827"/>
      <c r="I49" s="827"/>
      <c r="J49" s="827"/>
      <c r="K49" s="81"/>
      <c r="L49" s="81"/>
      <c r="M49" s="81"/>
      <c r="N49" s="81"/>
      <c r="O49" s="827"/>
      <c r="P49" s="827"/>
      <c r="Q49" s="81"/>
    </row>
    <row r="50" spans="1:17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27"/>
      <c r="P50" s="827"/>
      <c r="Q50" s="81"/>
    </row>
    <row r="51" spans="1:17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27"/>
      <c r="P51" s="827"/>
      <c r="Q51" s="81"/>
    </row>
    <row r="52" spans="1:17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27"/>
      <c r="P52" s="827"/>
      <c r="Q52" s="81"/>
    </row>
  </sheetData>
  <mergeCells count="4">
    <mergeCell ref="A1:P1"/>
    <mergeCell ref="A2:P2"/>
    <mergeCell ref="A3:P3"/>
    <mergeCell ref="A4:P4"/>
  </mergeCells>
  <phoneticPr fontId="22" type="noConversion"/>
  <printOptions horizontalCentered="1"/>
  <pageMargins left="0.5" right="0.5" top="0.75" bottom="0.5" header="0.5" footer="0.25"/>
  <pageSetup scale="49" fitToHeight="2" orientation="landscape" verticalDpi="300" r:id="rId1"/>
  <headerFooter alignWithMargins="0">
    <oddFooter>&amp;RSchedule &amp;A
Page &amp;P of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A1:Q45"/>
  <sheetViews>
    <sheetView view="pageBreakPreview" zoomScale="70" zoomScaleNormal="75" zoomScaleSheetLayoutView="70" workbookViewId="0">
      <pane xSplit="3" ySplit="11" topLeftCell="D12" activePane="bottomRight" state="frozen"/>
      <selection activeCell="F55" sqref="F55"/>
      <selection pane="topRight" activeCell="F55" sqref="F55"/>
      <selection pane="bottomLeft" activeCell="F55" sqref="F55"/>
      <selection pane="bottomRight" activeCell="J50" sqref="J50"/>
    </sheetView>
  </sheetViews>
  <sheetFormatPr defaultColWidth="7.109375" defaultRowHeight="15"/>
  <cols>
    <col min="1" max="1" width="4.6640625" style="80" customWidth="1"/>
    <col min="2" max="2" width="7.21875" style="80" customWidth="1"/>
    <col min="3" max="3" width="43.21875" style="80" customWidth="1"/>
    <col min="4" max="4" width="12.44140625" style="80" bestFit="1" customWidth="1"/>
    <col min="5" max="6" width="11.109375" style="80" customWidth="1"/>
    <col min="7" max="7" width="11.77734375" style="80" bestFit="1" customWidth="1"/>
    <col min="8" max="8" width="11.33203125" style="80" bestFit="1" customWidth="1"/>
    <col min="9" max="9" width="11.109375" style="80" customWidth="1"/>
    <col min="10" max="10" width="10.88671875" style="80" customWidth="1"/>
    <col min="11" max="14" width="11.33203125" style="80" bestFit="1" customWidth="1"/>
    <col min="15" max="15" width="12.44140625" style="80" customWidth="1"/>
    <col min="16" max="16" width="12.44140625" style="80" bestFit="1" customWidth="1"/>
    <col min="17" max="17" width="12.44140625" style="80" customWidth="1"/>
    <col min="18" max="18" width="12.5546875" style="80" customWidth="1"/>
    <col min="19" max="19" width="11.33203125" style="80" bestFit="1" customWidth="1"/>
    <col min="20" max="16384" width="7.109375" style="80"/>
  </cols>
  <sheetData>
    <row r="1" spans="1:17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1190"/>
      <c r="Q1" s="81"/>
    </row>
    <row r="2" spans="1:17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81"/>
    </row>
    <row r="3" spans="1:17" ht="15.75">
      <c r="A3" s="1190" t="s">
        <v>188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81"/>
    </row>
    <row r="4" spans="1:17">
      <c r="A4" s="1190" t="str">
        <f>'Table of Contents'!A4:C4</f>
        <v>Forecasted Test Period: Twelve Months Ended March 31, 2019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81"/>
    </row>
    <row r="5" spans="1:17">
      <c r="A5" s="81"/>
      <c r="B5" s="150"/>
      <c r="C5" s="150"/>
      <c r="D5" s="150"/>
      <c r="E5" s="150"/>
      <c r="F5" s="150"/>
      <c r="G5" s="873"/>
      <c r="H5" s="150"/>
      <c r="I5" s="150"/>
      <c r="J5" s="150"/>
      <c r="K5" s="150"/>
      <c r="L5" s="150"/>
      <c r="M5" s="150"/>
      <c r="N5" s="150"/>
      <c r="O5" s="150"/>
      <c r="P5" s="81"/>
      <c r="Q5" s="81"/>
    </row>
    <row r="6" spans="1:17" ht="15.75">
      <c r="A6" s="88" t="str">
        <f>'C.2.1 F'!A6</f>
        <v>Data:________Base Period___X____Forecasted Period</v>
      </c>
      <c r="B6" s="81"/>
      <c r="C6" s="88"/>
      <c r="D6" s="81"/>
      <c r="E6" s="906"/>
      <c r="F6" s="81"/>
      <c r="G6" s="81"/>
      <c r="H6" s="81"/>
      <c r="I6" s="81"/>
      <c r="J6" s="81"/>
      <c r="K6" s="81"/>
      <c r="L6" s="81"/>
      <c r="M6" s="81"/>
      <c r="N6" s="81"/>
      <c r="O6" s="81"/>
      <c r="P6" s="170" t="s">
        <v>1454</v>
      </c>
      <c r="Q6" s="81"/>
    </row>
    <row r="7" spans="1:17">
      <c r="A7" s="88" t="str">
        <f>'C.2.1 F'!A7</f>
        <v>Type of Filing:___X____Original________Updated ________Revised</v>
      </c>
      <c r="B7" s="81"/>
      <c r="C7" s="88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507" t="s">
        <v>38</v>
      </c>
      <c r="Q7" s="81"/>
    </row>
    <row r="8" spans="1:17">
      <c r="A8" s="390" t="str">
        <f>'C.2.1 F'!A8</f>
        <v>Workpaper Reference No(s).____________________</v>
      </c>
      <c r="B8" s="82"/>
      <c r="C8" s="431"/>
      <c r="D8" s="151"/>
      <c r="E8" s="151"/>
      <c r="F8" s="151"/>
      <c r="G8" s="151"/>
      <c r="H8" s="151"/>
      <c r="I8" s="151"/>
      <c r="J8" s="151"/>
      <c r="K8" s="151"/>
      <c r="L8" s="151"/>
      <c r="M8" s="82"/>
      <c r="N8" s="82"/>
      <c r="O8" s="82"/>
      <c r="P8" s="508" t="str">
        <f>C.1!J9</f>
        <v>Witness: Waller, Martin</v>
      </c>
      <c r="Q8" s="81"/>
    </row>
    <row r="9" spans="1:17">
      <c r="A9" s="391" t="s">
        <v>94</v>
      </c>
      <c r="B9" s="829" t="s">
        <v>101</v>
      </c>
      <c r="C9" s="907"/>
      <c r="D9" s="895" t="s">
        <v>44</v>
      </c>
      <c r="E9" s="851" t="s">
        <v>44</v>
      </c>
      <c r="F9" s="851" t="s">
        <v>44</v>
      </c>
      <c r="G9" s="851" t="s">
        <v>44</v>
      </c>
      <c r="H9" s="851" t="s">
        <v>44</v>
      </c>
      <c r="I9" s="851" t="s">
        <v>44</v>
      </c>
      <c r="J9" s="851" t="s">
        <v>44</v>
      </c>
      <c r="K9" s="851" t="s">
        <v>44</v>
      </c>
      <c r="L9" s="851" t="s">
        <v>44</v>
      </c>
      <c r="M9" s="851" t="s">
        <v>44</v>
      </c>
      <c r="N9" s="851" t="s">
        <v>44</v>
      </c>
      <c r="O9" s="851" t="s">
        <v>44</v>
      </c>
      <c r="P9" s="908"/>
      <c r="Q9" s="81"/>
    </row>
    <row r="10" spans="1:17">
      <c r="A10" s="392" t="s">
        <v>100</v>
      </c>
      <c r="B10" s="82" t="s">
        <v>100</v>
      </c>
      <c r="C10" s="909" t="s">
        <v>960</v>
      </c>
      <c r="D10" s="612">
        <f>'C.2.2-F 09'!D10</f>
        <v>43191</v>
      </c>
      <c r="E10" s="612">
        <f>'C.2.2-F 09'!F10</f>
        <v>43252</v>
      </c>
      <c r="F10" s="612">
        <f>'C.2.2-F 09'!F10</f>
        <v>43252</v>
      </c>
      <c r="G10" s="612">
        <f>'C.2.2-F 09'!G10</f>
        <v>43282</v>
      </c>
      <c r="H10" s="612">
        <f>'C.2.2-F 09'!H10</f>
        <v>43313</v>
      </c>
      <c r="I10" s="612">
        <f>'C.2.2-F 09'!I10</f>
        <v>43344</v>
      </c>
      <c r="J10" s="612">
        <f>'C.2.2-F 09'!J10</f>
        <v>43374</v>
      </c>
      <c r="K10" s="612">
        <f>'C.2.2-F 09'!K10</f>
        <v>43405</v>
      </c>
      <c r="L10" s="612">
        <f>'C.2.2-F 09'!L10</f>
        <v>43435</v>
      </c>
      <c r="M10" s="612">
        <f>'C.2.2-F 09'!M10</f>
        <v>43466</v>
      </c>
      <c r="N10" s="612">
        <f>'C.2.2-F 09'!N10</f>
        <v>43497</v>
      </c>
      <c r="O10" s="612">
        <f>'C.2.2-F 09'!O10</f>
        <v>43525</v>
      </c>
      <c r="P10" s="362" t="str">
        <f>'C.2.2 B 09'!P10</f>
        <v>Total</v>
      </c>
      <c r="Q10" s="76"/>
    </row>
    <row r="11" spans="1:17">
      <c r="A11" s="81"/>
      <c r="B11" s="81"/>
      <c r="C11" s="81"/>
      <c r="D11" s="852" t="s">
        <v>147</v>
      </c>
      <c r="E11" s="852" t="s">
        <v>147</v>
      </c>
      <c r="F11" s="852" t="s">
        <v>147</v>
      </c>
      <c r="G11" s="852" t="s">
        <v>147</v>
      </c>
      <c r="H11" s="852" t="s">
        <v>147</v>
      </c>
      <c r="I11" s="852" t="s">
        <v>147</v>
      </c>
      <c r="J11" s="852" t="s">
        <v>147</v>
      </c>
      <c r="K11" s="852" t="s">
        <v>147</v>
      </c>
      <c r="L11" s="852" t="s">
        <v>147</v>
      </c>
      <c r="M11" s="852" t="s">
        <v>147</v>
      </c>
      <c r="N11" s="852" t="s">
        <v>147</v>
      </c>
      <c r="O11" s="852" t="s">
        <v>147</v>
      </c>
      <c r="P11" s="852" t="s">
        <v>147</v>
      </c>
      <c r="Q11" s="852"/>
    </row>
    <row r="12" spans="1:17">
      <c r="A12" s="854">
        <v>1</v>
      </c>
      <c r="B12" s="706">
        <v>4030</v>
      </c>
      <c r="C12" s="81" t="s">
        <v>92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81">
        <f t="shared" ref="P12:P28" si="0">SUM(D12:O12)</f>
        <v>0</v>
      </c>
      <c r="Q12" s="81"/>
    </row>
    <row r="13" spans="1:17">
      <c r="A13" s="854">
        <f>A12+1</f>
        <v>2</v>
      </c>
      <c r="B13" s="706">
        <v>4081</v>
      </c>
      <c r="C13" s="81" t="s">
        <v>869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81">
        <f t="shared" si="0"/>
        <v>0</v>
      </c>
      <c r="Q13" s="81"/>
    </row>
    <row r="14" spans="1:17">
      <c r="A14" s="854">
        <f t="shared" ref="A14:A34" si="1">A13+1</f>
        <v>3</v>
      </c>
      <c r="B14" s="706">
        <v>8700</v>
      </c>
      <c r="C14" s="81" t="s">
        <v>921</v>
      </c>
      <c r="D14" s="96">
        <f>VLOOKUP($B14,'[13]Div 12 forecast'!$D$169:$AF$245,18,FALSE)</f>
        <v>0</v>
      </c>
      <c r="E14" s="96">
        <f>VLOOKUP($B14,'[13]Div 12 forecast'!$D$169:$AF$245,19,FALSE)</f>
        <v>0</v>
      </c>
      <c r="F14" s="96">
        <f>VLOOKUP($B14,'[13]Div 12 forecast'!$D$169:$AF$245,20,FALSE)</f>
        <v>0</v>
      </c>
      <c r="G14" s="96">
        <f>VLOOKUP($B14,'[13]Div 12 forecast'!$D$169:$AF$245,21,FALSE)</f>
        <v>0</v>
      </c>
      <c r="H14" s="96">
        <f>VLOOKUP($B14,'[13]Div 12 forecast'!$D$169:$AF$245,22,FALSE)</f>
        <v>0</v>
      </c>
      <c r="I14" s="96">
        <f>VLOOKUP($B14,'[13]Div 12 forecast'!$D$169:$AF$245,23,FALSE)</f>
        <v>0</v>
      </c>
      <c r="J14" s="96">
        <f>VLOOKUP($B14,'[13]Div 12 forecast'!$D$169:$AF$245,24,FALSE)</f>
        <v>0</v>
      </c>
      <c r="K14" s="96">
        <f>VLOOKUP($B14,'[13]Div 12 forecast'!$D$169:$AF$245,25,FALSE)</f>
        <v>0</v>
      </c>
      <c r="L14" s="96">
        <f>VLOOKUP($B14,'[13]Div 12 forecast'!$D$169:$AF$245,26,FALSE)</f>
        <v>0</v>
      </c>
      <c r="M14" s="96">
        <f>VLOOKUP($B14,'[13]Div 12 forecast'!$D$169:$AF$245,27,FALSE)</f>
        <v>0</v>
      </c>
      <c r="N14" s="96">
        <f>VLOOKUP($B14,'[13]Div 12 forecast'!$D$169:$AF$245,28,FALSE)</f>
        <v>0</v>
      </c>
      <c r="O14" s="96">
        <f>VLOOKUP($B14,'[13]Div 12 forecast'!$D$169:$AF$245,29,FALSE)</f>
        <v>0</v>
      </c>
      <c r="P14" s="81">
        <f t="shared" si="0"/>
        <v>0</v>
      </c>
      <c r="Q14" s="81"/>
    </row>
    <row r="15" spans="1:17">
      <c r="A15" s="854">
        <f t="shared" si="1"/>
        <v>4</v>
      </c>
      <c r="B15" s="706">
        <v>8740</v>
      </c>
      <c r="C15" s="81" t="s">
        <v>923</v>
      </c>
      <c r="D15" s="96">
        <f>VLOOKUP($B15,'[13]Div 12 forecast'!$D$169:$AF$245,18,FALSE)</f>
        <v>1699.7957741350851</v>
      </c>
      <c r="E15" s="96">
        <f>VLOOKUP($B15,'[13]Div 12 forecast'!$D$169:$AF$245,19,FALSE)</f>
        <v>1699.7957741350851</v>
      </c>
      <c r="F15" s="96">
        <f>VLOOKUP($B15,'[13]Div 12 forecast'!$D$169:$AF$245,20,FALSE)</f>
        <v>1699.7957741350851</v>
      </c>
      <c r="G15" s="96">
        <f>VLOOKUP($B15,'[13]Div 12 forecast'!$D$169:$AF$245,21,FALSE)</f>
        <v>1699.7957741350851</v>
      </c>
      <c r="H15" s="96">
        <f>VLOOKUP($B15,'[13]Div 12 forecast'!$D$169:$AF$245,22,FALSE)</f>
        <v>1699.7957741350851</v>
      </c>
      <c r="I15" s="96">
        <f>VLOOKUP($B15,'[13]Div 12 forecast'!$D$169:$AF$245,23,FALSE)</f>
        <v>1699.7957741350851</v>
      </c>
      <c r="J15" s="96">
        <f>VLOOKUP($B15,'[13]Div 12 forecast'!$D$169:$AF$245,24,FALSE)</f>
        <v>1699.7957741350851</v>
      </c>
      <c r="K15" s="96">
        <f>VLOOKUP($B15,'[13]Div 12 forecast'!$D$169:$AF$245,25,FALSE)</f>
        <v>1699.7957741350851</v>
      </c>
      <c r="L15" s="96">
        <f>VLOOKUP($B15,'[13]Div 12 forecast'!$D$169:$AF$245,26,FALSE)</f>
        <v>1699.7957741350851</v>
      </c>
      <c r="M15" s="96">
        <f>VLOOKUP($B15,'[13]Div 12 forecast'!$D$169:$AF$245,27,FALSE)</f>
        <v>1699.7957741350851</v>
      </c>
      <c r="N15" s="96">
        <f>VLOOKUP($B15,'[13]Div 12 forecast'!$D$169:$AF$245,28,FALSE)</f>
        <v>1699.7957741350851</v>
      </c>
      <c r="O15" s="96">
        <f>VLOOKUP($B15,'[13]Div 12 forecast'!$D$169:$AF$245,29,FALSE)</f>
        <v>1699.7957741350851</v>
      </c>
      <c r="P15" s="81">
        <f t="shared" si="0"/>
        <v>20397.54928962102</v>
      </c>
      <c r="Q15" s="81"/>
    </row>
    <row r="16" spans="1:17">
      <c r="A16" s="854">
        <f t="shared" si="1"/>
        <v>5</v>
      </c>
      <c r="B16" s="706">
        <v>8800</v>
      </c>
      <c r="C16" s="81" t="s">
        <v>929</v>
      </c>
      <c r="D16" s="96">
        <f>VLOOKUP($B16,'[13]Div 12 forecast'!$D$169:$AF$245,18,FALSE)</f>
        <v>0</v>
      </c>
      <c r="E16" s="96">
        <f>VLOOKUP($B16,'[13]Div 12 forecast'!$D$169:$AF$245,19,FALSE)</f>
        <v>0</v>
      </c>
      <c r="F16" s="96">
        <f>VLOOKUP($B16,'[13]Div 12 forecast'!$D$169:$AF$245,20,FALSE)</f>
        <v>0</v>
      </c>
      <c r="G16" s="96">
        <f>VLOOKUP($B16,'[13]Div 12 forecast'!$D$169:$AF$245,21,FALSE)</f>
        <v>0</v>
      </c>
      <c r="H16" s="96">
        <f>VLOOKUP($B16,'[13]Div 12 forecast'!$D$169:$AF$245,22,FALSE)</f>
        <v>0</v>
      </c>
      <c r="I16" s="96">
        <f>VLOOKUP($B16,'[13]Div 12 forecast'!$D$169:$AF$245,23,FALSE)</f>
        <v>0</v>
      </c>
      <c r="J16" s="96">
        <f>VLOOKUP($B16,'[13]Div 12 forecast'!$D$169:$AF$245,24,FALSE)</f>
        <v>0</v>
      </c>
      <c r="K16" s="96">
        <f>VLOOKUP($B16,'[13]Div 12 forecast'!$D$169:$AF$245,25,FALSE)</f>
        <v>0</v>
      </c>
      <c r="L16" s="96">
        <f>VLOOKUP($B16,'[13]Div 12 forecast'!$D$169:$AF$245,26,FALSE)</f>
        <v>0</v>
      </c>
      <c r="M16" s="96">
        <f>VLOOKUP($B16,'[13]Div 12 forecast'!$D$169:$AF$245,27,FALSE)</f>
        <v>0</v>
      </c>
      <c r="N16" s="96">
        <f>VLOOKUP($B16,'[13]Div 12 forecast'!$D$169:$AF$245,28,FALSE)</f>
        <v>0</v>
      </c>
      <c r="O16" s="96">
        <f>VLOOKUP($B16,'[13]Div 12 forecast'!$D$169:$AF$245,29,FALSE)</f>
        <v>0</v>
      </c>
      <c r="P16" s="81">
        <f t="shared" si="0"/>
        <v>0</v>
      </c>
      <c r="Q16" s="81"/>
    </row>
    <row r="17" spans="1:17">
      <c r="A17" s="854">
        <f t="shared" si="1"/>
        <v>6</v>
      </c>
      <c r="B17" s="706">
        <v>9010</v>
      </c>
      <c r="C17" s="81" t="s">
        <v>182</v>
      </c>
      <c r="D17" s="96">
        <f>VLOOKUP($B17,'[13]Div 12 forecast'!$D$169:$AF$245,18,FALSE)</f>
        <v>407599.36327151145</v>
      </c>
      <c r="E17" s="96">
        <f>VLOOKUP($B17,'[13]Div 12 forecast'!$D$169:$AF$245,19,FALSE)</f>
        <v>436719.28370387777</v>
      </c>
      <c r="F17" s="96">
        <f>VLOOKUP($B17,'[13]Div 12 forecast'!$D$169:$AF$245,20,FALSE)</f>
        <v>402897.05270495708</v>
      </c>
      <c r="G17" s="96">
        <f>VLOOKUP($B17,'[13]Div 12 forecast'!$D$169:$AF$245,21,FALSE)</f>
        <v>418719.15317620337</v>
      </c>
      <c r="H17" s="96">
        <f>VLOOKUP($B17,'[13]Div 12 forecast'!$D$169:$AF$245,22,FALSE)</f>
        <v>432868.3221602572</v>
      </c>
      <c r="I17" s="96">
        <f>VLOOKUP($B17,'[13]Div 12 forecast'!$D$169:$AF$245,23,FALSE)</f>
        <v>380184.34138356434</v>
      </c>
      <c r="J17" s="96">
        <f>VLOOKUP($B17,'[13]Div 12 forecast'!$D$169:$AF$245,24,FALSE)</f>
        <v>426374.65589182265</v>
      </c>
      <c r="K17" s="96">
        <f>VLOOKUP($B17,'[13]Div 12 forecast'!$D$169:$AF$245,25,FALSE)</f>
        <v>421077.81170969491</v>
      </c>
      <c r="L17" s="96">
        <f>VLOOKUP($B17,'[13]Div 12 forecast'!$D$169:$AF$245,26,FALSE)</f>
        <v>405044.69080865697</v>
      </c>
      <c r="M17" s="96">
        <f>VLOOKUP($B17,'[13]Div 12 forecast'!$D$169:$AF$245,27,FALSE)</f>
        <v>452625.47371053754</v>
      </c>
      <c r="N17" s="96">
        <f>VLOOKUP($B17,'[13]Div 12 forecast'!$D$169:$AF$245,28,FALSE)</f>
        <v>397417.33528187376</v>
      </c>
      <c r="O17" s="96">
        <f>VLOOKUP($B17,'[13]Div 12 forecast'!$D$169:$AF$245,29,FALSE)</f>
        <v>432086.5376381324</v>
      </c>
      <c r="P17" s="81">
        <f t="shared" si="0"/>
        <v>5013614.0214410899</v>
      </c>
      <c r="Q17" s="81"/>
    </row>
    <row r="18" spans="1:17">
      <c r="A18" s="854">
        <f t="shared" si="1"/>
        <v>7</v>
      </c>
      <c r="B18" s="364">
        <v>9020</v>
      </c>
      <c r="C18" s="211" t="s">
        <v>940</v>
      </c>
      <c r="D18" s="96">
        <f>VLOOKUP($B18,'[13]Div 12 forecast'!$D$169:$AF$245,18,FALSE)</f>
        <v>3133.9621198343475</v>
      </c>
      <c r="E18" s="96">
        <f>VLOOKUP($B18,'[13]Div 12 forecast'!$D$169:$AF$245,19,FALSE)</f>
        <v>3417.4371457716729</v>
      </c>
      <c r="F18" s="96">
        <f>VLOOKUP($B18,'[13]Div 12 forecast'!$D$169:$AF$245,20,FALSE)</f>
        <v>3127.79310076308</v>
      </c>
      <c r="G18" s="96">
        <f>VLOOKUP($B18,'[13]Div 12 forecast'!$D$169:$AF$245,21,FALSE)</f>
        <v>3200.6432567223255</v>
      </c>
      <c r="H18" s="96">
        <f>VLOOKUP($B18,'[13]Div 12 forecast'!$D$169:$AF$245,22,FALSE)</f>
        <v>3345.4652483815262</v>
      </c>
      <c r="I18" s="96">
        <f>VLOOKUP($B18,'[13]Div 12 forecast'!$D$169:$AF$245,23,FALSE)</f>
        <v>2910.9992240517713</v>
      </c>
      <c r="J18" s="96">
        <f>VLOOKUP($B18,'[13]Div 12 forecast'!$D$169:$AF$245,24,FALSE)</f>
        <v>3303.0166440674016</v>
      </c>
      <c r="K18" s="96">
        <f>VLOOKUP($B18,'[13]Div 12 forecast'!$D$169:$AF$245,25,FALSE)</f>
        <v>3303.0166440674016</v>
      </c>
      <c r="L18" s="96">
        <f>VLOOKUP($B18,'[13]Div 12 forecast'!$D$169:$AF$245,26,FALSE)</f>
        <v>3153.8499418257074</v>
      </c>
      <c r="M18" s="96">
        <f>VLOOKUP($B18,'[13]Div 12 forecast'!$D$169:$AF$245,27,FALSE)</f>
        <v>3526.3143497882279</v>
      </c>
      <c r="N18" s="96">
        <f>VLOOKUP($B18,'[13]Div 12 forecast'!$D$169:$AF$245,28,FALSE)</f>
        <v>3078.8143320204013</v>
      </c>
      <c r="O18" s="96">
        <f>VLOOKUP($B18,'[13]Div 12 forecast'!$D$169:$AF$245,29,FALSE)</f>
        <v>3377.1476856710724</v>
      </c>
      <c r="P18" s="81">
        <f t="shared" si="0"/>
        <v>38878.459692964934</v>
      </c>
      <c r="Q18" s="81"/>
    </row>
    <row r="19" spans="1:17">
      <c r="A19" s="854">
        <f t="shared" si="1"/>
        <v>8</v>
      </c>
      <c r="B19" s="706">
        <v>9030</v>
      </c>
      <c r="C19" s="81" t="s">
        <v>945</v>
      </c>
      <c r="D19" s="96">
        <f>VLOOKUP($B19,'[13]Div 12 forecast'!$D$169:$AF$245,18,FALSE)</f>
        <v>1810743.5387934013</v>
      </c>
      <c r="E19" s="96">
        <f>VLOOKUP($B19,'[13]Div 12 forecast'!$D$169:$AF$245,19,FALSE)</f>
        <v>1916149.9811762383</v>
      </c>
      <c r="F19" s="96">
        <f>VLOOKUP($B19,'[13]Div 12 forecast'!$D$169:$AF$245,20,FALSE)</f>
        <v>1756419.3714492139</v>
      </c>
      <c r="G19" s="96">
        <f>VLOOKUP($B19,'[13]Div 12 forecast'!$D$169:$AF$245,21,FALSE)</f>
        <v>1848983.6486440636</v>
      </c>
      <c r="H19" s="96">
        <f>VLOOKUP($B19,'[13]Div 12 forecast'!$D$169:$AF$245,22,FALSE)</f>
        <v>1878423.3582467132</v>
      </c>
      <c r="I19" s="96">
        <f>VLOOKUP($B19,'[13]Div 12 forecast'!$D$169:$AF$245,23,FALSE)</f>
        <v>1638038.4648303357</v>
      </c>
      <c r="J19" s="96">
        <f>VLOOKUP($B19,'[13]Div 12 forecast'!$D$169:$AF$245,24,FALSE)</f>
        <v>1903327.1774114186</v>
      </c>
      <c r="K19" s="96">
        <f>VLOOKUP($B19,'[13]Div 12 forecast'!$D$169:$AF$245,25,FALSE)</f>
        <v>1851811.1719959832</v>
      </c>
      <c r="L19" s="96">
        <f>VLOOKUP($B19,'[13]Div 12 forecast'!$D$169:$AF$245,26,FALSE)</f>
        <v>1770550.9292635352</v>
      </c>
      <c r="M19" s="96">
        <f>VLOOKUP($B19,'[13]Div 12 forecast'!$D$169:$AF$245,27,FALSE)</f>
        <v>2026702.4010319656</v>
      </c>
      <c r="N19" s="96">
        <f>VLOOKUP($B19,'[13]Div 12 forecast'!$D$169:$AF$245,28,FALSE)</f>
        <v>1729318.0757703185</v>
      </c>
      <c r="O19" s="96">
        <f>VLOOKUP($B19,'[13]Div 12 forecast'!$D$169:$AF$245,29,FALSE)</f>
        <v>1893775.2897617989</v>
      </c>
      <c r="P19" s="81">
        <f t="shared" si="0"/>
        <v>22024243.408374988</v>
      </c>
      <c r="Q19" s="81"/>
    </row>
    <row r="20" spans="1:17">
      <c r="A20" s="854">
        <f t="shared" si="1"/>
        <v>9</v>
      </c>
      <c r="B20" s="706">
        <v>9200</v>
      </c>
      <c r="C20" s="81" t="s">
        <v>183</v>
      </c>
      <c r="D20" s="96">
        <f>VLOOKUP($B20,'[13]Div 12 forecast'!$D$169:$AF$245,18,FALSE)</f>
        <v>422125.92733578169</v>
      </c>
      <c r="E20" s="96">
        <f>VLOOKUP($B20,'[13]Div 12 forecast'!$D$169:$AF$245,19,FALSE)</f>
        <v>460308.31551558943</v>
      </c>
      <c r="F20" s="96">
        <f>VLOOKUP($B20,'[13]Div 12 forecast'!$D$169:$AF$245,20,FALSE)</f>
        <v>421294.99741492211</v>
      </c>
      <c r="G20" s="96">
        <f>VLOOKUP($B20,'[13]Div 12 forecast'!$D$169:$AF$245,21,FALSE)</f>
        <v>431107.47710197023</v>
      </c>
      <c r="H20" s="96">
        <f>VLOOKUP($B20,'[13]Div 12 forecast'!$D$169:$AF$245,22,FALSE)</f>
        <v>450614.13199765427</v>
      </c>
      <c r="I20" s="96">
        <f>VLOOKUP($B20,'[13]Div 12 forecast'!$D$169:$AF$245,23,FALSE)</f>
        <v>392094.16066316282</v>
      </c>
      <c r="J20" s="96">
        <f>VLOOKUP($B20,'[13]Div 12 forecast'!$D$169:$AF$245,24,FALSE)</f>
        <v>444896.55923351471</v>
      </c>
      <c r="K20" s="96">
        <f>VLOOKUP($B20,'[13]Div 12 forecast'!$D$169:$AF$245,25,FALSE)</f>
        <v>444896.55923351471</v>
      </c>
      <c r="L20" s="96">
        <f>VLOOKUP($B20,'[13]Div 12 forecast'!$D$169:$AF$245,26,FALSE)</f>
        <v>424804.69784409774</v>
      </c>
      <c r="M20" s="96">
        <f>VLOOKUP($B20,'[13]Div 12 forecast'!$D$169:$AF$245,27,FALSE)</f>
        <v>474973.42279954249</v>
      </c>
      <c r="N20" s="96">
        <f>VLOOKUP($B20,'[13]Div 12 forecast'!$D$169:$AF$245,28,FALSE)</f>
        <v>414697.85061330057</v>
      </c>
      <c r="O20" s="96">
        <f>VLOOKUP($B20,'[13]Div 12 forecast'!$D$169:$AF$245,29,FALSE)</f>
        <v>454881.56654527225</v>
      </c>
      <c r="P20" s="81">
        <f t="shared" si="0"/>
        <v>5236695.6662983233</v>
      </c>
      <c r="Q20" s="81"/>
    </row>
    <row r="21" spans="1:17">
      <c r="A21" s="854">
        <f t="shared" si="1"/>
        <v>10</v>
      </c>
      <c r="B21" s="706">
        <v>9210</v>
      </c>
      <c r="C21" s="81" t="s">
        <v>952</v>
      </c>
      <c r="D21" s="96">
        <f>VLOOKUP($B21,'[13]Div 12 forecast'!$D$169:$AF$245,18,FALSE)</f>
        <v>220901.63119032327</v>
      </c>
      <c r="E21" s="96">
        <f>VLOOKUP($B21,'[13]Div 12 forecast'!$D$169:$AF$245,19,FALSE)</f>
        <v>217062.7867699824</v>
      </c>
      <c r="F21" s="96">
        <f>VLOOKUP($B21,'[13]Div 12 forecast'!$D$169:$AF$245,20,FALSE)</f>
        <v>251609.24847679827</v>
      </c>
      <c r="G21" s="96">
        <f>VLOOKUP($B21,'[13]Div 12 forecast'!$D$169:$AF$245,21,FALSE)</f>
        <v>214350.12512404061</v>
      </c>
      <c r="H21" s="96">
        <f>VLOOKUP($B21,'[13]Div 12 forecast'!$D$169:$AF$245,22,FALSE)</f>
        <v>204019.953695089</v>
      </c>
      <c r="I21" s="96">
        <f>VLOOKUP($B21,'[13]Div 12 forecast'!$D$169:$AF$245,23,FALSE)</f>
        <v>204958.40533856474</v>
      </c>
      <c r="J21" s="96">
        <f>VLOOKUP($B21,'[13]Div 12 forecast'!$D$169:$AF$245,24,FALSE)</f>
        <v>206587.02536539073</v>
      </c>
      <c r="K21" s="96">
        <f>VLOOKUP($B21,'[13]Div 12 forecast'!$D$169:$AF$245,25,FALSE)</f>
        <v>197708.2494321322</v>
      </c>
      <c r="L21" s="96">
        <f>VLOOKUP($B21,'[13]Div 12 forecast'!$D$169:$AF$245,26,FALSE)</f>
        <v>202317.90444773136</v>
      </c>
      <c r="M21" s="96">
        <f>VLOOKUP($B21,'[13]Div 12 forecast'!$D$169:$AF$245,27,FALSE)</f>
        <v>204424.76377439094</v>
      </c>
      <c r="N21" s="96">
        <f>VLOOKUP($B21,'[13]Div 12 forecast'!$D$169:$AF$245,28,FALSE)</f>
        <v>204475.14723120874</v>
      </c>
      <c r="O21" s="96">
        <f>VLOOKUP($B21,'[13]Div 12 forecast'!$D$169:$AF$245,29,FALSE)</f>
        <v>221037.62208828915</v>
      </c>
      <c r="P21" s="81">
        <f t="shared" si="0"/>
        <v>2549452.8629339417</v>
      </c>
      <c r="Q21" s="81"/>
    </row>
    <row r="22" spans="1:17">
      <c r="A22" s="854">
        <f t="shared" si="1"/>
        <v>11</v>
      </c>
      <c r="B22" s="706">
        <v>9220</v>
      </c>
      <c r="C22" s="81" t="s">
        <v>953</v>
      </c>
      <c r="D22" s="96">
        <f t="shared" ref="D22:O22" si="2">-(SUM(D12:D21)+SUM(D23:D28))</f>
        <v>-3907670.4829000006</v>
      </c>
      <c r="E22" s="96">
        <f t="shared" si="2"/>
        <v>-4194183.1487000012</v>
      </c>
      <c r="F22" s="96">
        <f t="shared" si="2"/>
        <v>-3893524.4295000006</v>
      </c>
      <c r="G22" s="96">
        <f t="shared" si="2"/>
        <v>-3977652.7277999995</v>
      </c>
      <c r="H22" s="96">
        <f t="shared" si="2"/>
        <v>-4067299.7337000002</v>
      </c>
      <c r="I22" s="96">
        <f t="shared" si="2"/>
        <v>-3611820.8709000009</v>
      </c>
      <c r="J22" s="96">
        <f t="shared" si="2"/>
        <v>-4091130.5630900292</v>
      </c>
      <c r="K22" s="96">
        <f t="shared" si="2"/>
        <v>-4036197.2706900295</v>
      </c>
      <c r="L22" s="96">
        <f t="shared" si="2"/>
        <v>-3884057.4690350574</v>
      </c>
      <c r="M22" s="96">
        <f t="shared" si="2"/>
        <v>-4330596.873187772</v>
      </c>
      <c r="N22" s="96">
        <f t="shared" si="2"/>
        <v>-3793887.1603926597</v>
      </c>
      <c r="O22" s="96">
        <f t="shared" si="2"/>
        <v>-4140888.3959770026</v>
      </c>
      <c r="P22" s="81">
        <f t="shared" si="0"/>
        <v>-47928909.12587256</v>
      </c>
      <c r="Q22" s="81"/>
    </row>
    <row r="23" spans="1:17">
      <c r="A23" s="854">
        <f t="shared" si="1"/>
        <v>12</v>
      </c>
      <c r="B23" s="706">
        <v>9230</v>
      </c>
      <c r="C23" s="81" t="s">
        <v>954</v>
      </c>
      <c r="D23" s="96">
        <f>VLOOKUP($B23,'[13]Div 12 forecast'!$D$169:$AF$245,18,FALSE)</f>
        <v>43139.719496778634</v>
      </c>
      <c r="E23" s="96">
        <f>VLOOKUP($B23,'[13]Div 12 forecast'!$D$169:$AF$245,19,FALSE)</f>
        <v>41899.389693792524</v>
      </c>
      <c r="F23" s="96">
        <f>VLOOKUP($B23,'[13]Div 12 forecast'!$D$169:$AF$245,20,FALSE)</f>
        <v>60005.30402673957</v>
      </c>
      <c r="G23" s="96">
        <f>VLOOKUP($B23,'[13]Div 12 forecast'!$D$169:$AF$245,21,FALSE)</f>
        <v>40016.182300879082</v>
      </c>
      <c r="H23" s="96">
        <f>VLOOKUP($B23,'[13]Div 12 forecast'!$D$169:$AF$245,22,FALSE)</f>
        <v>38645.519461045449</v>
      </c>
      <c r="I23" s="96">
        <f>VLOOKUP($B23,'[13]Div 12 forecast'!$D$169:$AF$245,23,FALSE)</f>
        <v>36784.469879648124</v>
      </c>
      <c r="J23" s="96">
        <f>VLOOKUP($B23,'[13]Div 12 forecast'!$D$169:$AF$245,24,FALSE)</f>
        <v>36385.509937096562</v>
      </c>
      <c r="K23" s="96">
        <f>VLOOKUP($B23,'[13]Div 12 forecast'!$D$169:$AF$245,25,FALSE)</f>
        <v>37067.551094822382</v>
      </c>
      <c r="L23" s="96">
        <f>VLOOKUP($B23,'[13]Div 12 forecast'!$D$169:$AF$245,26,FALSE)</f>
        <v>36457.316934983966</v>
      </c>
      <c r="M23" s="96">
        <f>VLOOKUP($B23,'[13]Div 12 forecast'!$D$169:$AF$245,27,FALSE)</f>
        <v>36245.12664665965</v>
      </c>
      <c r="N23" s="96">
        <f>VLOOKUP($B23,'[13]Div 12 forecast'!$D$169:$AF$245,28,FALSE)</f>
        <v>38130.220133397088</v>
      </c>
      <c r="O23" s="96">
        <f>VLOOKUP($B23,'[13]Div 12 forecast'!$D$169:$AF$245,29,FALSE)</f>
        <v>45641.956002777108</v>
      </c>
      <c r="P23" s="81">
        <f t="shared" si="0"/>
        <v>490418.26560862013</v>
      </c>
      <c r="Q23" s="81"/>
    </row>
    <row r="24" spans="1:17">
      <c r="A24" s="854">
        <f t="shared" si="1"/>
        <v>13</v>
      </c>
      <c r="B24" s="706">
        <v>9240</v>
      </c>
      <c r="C24" s="81" t="s">
        <v>955</v>
      </c>
      <c r="D24" s="96">
        <f>VLOOKUP($B24,'[13]Div 12 forecast'!$D$169:$AF$245,18,FALSE)</f>
        <v>0</v>
      </c>
      <c r="E24" s="96">
        <f>VLOOKUP($B24,'[13]Div 12 forecast'!$D$169:$AF$245,19,FALSE)</f>
        <v>0</v>
      </c>
      <c r="F24" s="96">
        <f>VLOOKUP($B24,'[13]Div 12 forecast'!$D$169:$AF$245,20,FALSE)</f>
        <v>0</v>
      </c>
      <c r="G24" s="96">
        <f>VLOOKUP($B24,'[13]Div 12 forecast'!$D$169:$AF$245,21,FALSE)</f>
        <v>0</v>
      </c>
      <c r="H24" s="96">
        <f>VLOOKUP($B24,'[13]Div 12 forecast'!$D$169:$AF$245,22,FALSE)</f>
        <v>0</v>
      </c>
      <c r="I24" s="96">
        <f>VLOOKUP($B24,'[13]Div 12 forecast'!$D$169:$AF$245,23,FALSE)</f>
        <v>0</v>
      </c>
      <c r="J24" s="96">
        <f>VLOOKUP($B24,'[13]Div 12 forecast'!$D$169:$AF$245,24,FALSE)</f>
        <v>0</v>
      </c>
      <c r="K24" s="96">
        <f>VLOOKUP($B24,'[13]Div 12 forecast'!$D$169:$AF$245,25,FALSE)</f>
        <v>0</v>
      </c>
      <c r="L24" s="96">
        <f>VLOOKUP($B24,'[13]Div 12 forecast'!$D$169:$AF$245,26,FALSE)</f>
        <v>0</v>
      </c>
      <c r="M24" s="96">
        <f>VLOOKUP($B24,'[13]Div 12 forecast'!$D$169:$AF$245,27,FALSE)</f>
        <v>0</v>
      </c>
      <c r="N24" s="96">
        <f>VLOOKUP($B24,'[13]Div 12 forecast'!$D$169:$AF$245,28,FALSE)</f>
        <v>0</v>
      </c>
      <c r="O24" s="96">
        <f>VLOOKUP($B24,'[13]Div 12 forecast'!$D$169:$AF$245,29,FALSE)</f>
        <v>0</v>
      </c>
      <c r="P24" s="81">
        <f t="shared" si="0"/>
        <v>0</v>
      </c>
      <c r="Q24" s="81"/>
    </row>
    <row r="25" spans="1:17">
      <c r="A25" s="854">
        <f t="shared" si="1"/>
        <v>14</v>
      </c>
      <c r="B25" s="364">
        <v>9250</v>
      </c>
      <c r="C25" s="80" t="s">
        <v>956</v>
      </c>
      <c r="D25" s="96">
        <f>VLOOKUP($B25,'[13]Div 12 forecast'!$D$169:$AF$245,18,FALSE)</f>
        <v>0</v>
      </c>
      <c r="E25" s="96">
        <f>VLOOKUP($B25,'[13]Div 12 forecast'!$D$169:$AF$245,19,FALSE)</f>
        <v>0</v>
      </c>
      <c r="F25" s="96">
        <f>VLOOKUP($B25,'[13]Div 12 forecast'!$D$169:$AF$245,20,FALSE)</f>
        <v>0</v>
      </c>
      <c r="G25" s="96">
        <f>VLOOKUP($B25,'[13]Div 12 forecast'!$D$169:$AF$245,21,FALSE)</f>
        <v>0</v>
      </c>
      <c r="H25" s="96">
        <f>VLOOKUP($B25,'[13]Div 12 forecast'!$D$169:$AF$245,22,FALSE)</f>
        <v>0</v>
      </c>
      <c r="I25" s="96">
        <f>VLOOKUP($B25,'[13]Div 12 forecast'!$D$169:$AF$245,23,FALSE)</f>
        <v>0</v>
      </c>
      <c r="J25" s="96">
        <f>VLOOKUP($B25,'[13]Div 12 forecast'!$D$169:$AF$245,24,FALSE)</f>
        <v>0</v>
      </c>
      <c r="K25" s="96">
        <f>VLOOKUP($B25,'[13]Div 12 forecast'!$D$169:$AF$245,25,FALSE)</f>
        <v>0</v>
      </c>
      <c r="L25" s="96">
        <f>VLOOKUP($B25,'[13]Div 12 forecast'!$D$169:$AF$245,26,FALSE)</f>
        <v>0</v>
      </c>
      <c r="M25" s="96">
        <f>VLOOKUP($B25,'[13]Div 12 forecast'!$D$169:$AF$245,27,FALSE)</f>
        <v>0</v>
      </c>
      <c r="N25" s="96">
        <f>VLOOKUP($B25,'[13]Div 12 forecast'!$D$169:$AF$245,28,FALSE)</f>
        <v>0</v>
      </c>
      <c r="O25" s="96">
        <f>VLOOKUP($B25,'[13]Div 12 forecast'!$D$169:$AF$245,29,FALSE)</f>
        <v>0</v>
      </c>
      <c r="P25" s="81">
        <f t="shared" si="0"/>
        <v>0</v>
      </c>
      <c r="Q25" s="81"/>
    </row>
    <row r="26" spans="1:17">
      <c r="A26" s="854">
        <f t="shared" si="1"/>
        <v>15</v>
      </c>
      <c r="B26" s="706">
        <v>9260</v>
      </c>
      <c r="C26" s="81" t="s">
        <v>957</v>
      </c>
      <c r="D26" s="96">
        <f>VLOOKUP($B26,'[13]Div 12 forecast'!$D$169:$AF$245,18,FALSE)</f>
        <v>862548.56502850319</v>
      </c>
      <c r="E26" s="96">
        <f>VLOOKUP($B26,'[13]Div 12 forecast'!$D$169:$AF$245,19,FALSE)</f>
        <v>982279.48827065399</v>
      </c>
      <c r="F26" s="96">
        <f>VLOOKUP($B26,'[13]Div 12 forecast'!$D$169:$AF$245,20,FALSE)</f>
        <v>864429.09030794143</v>
      </c>
      <c r="G26" s="96">
        <f>VLOOKUP($B26,'[13]Div 12 forecast'!$D$169:$AF$245,21,FALSE)</f>
        <v>884473.46656676452</v>
      </c>
      <c r="H26" s="96">
        <f>VLOOKUP($B26,'[13]Div 12 forecast'!$D$169:$AF$245,22,FALSE)</f>
        <v>923036.5164667645</v>
      </c>
      <c r="I26" s="96">
        <f>VLOOKUP($B26,'[13]Div 12 forecast'!$D$169:$AF$245,23,FALSE)</f>
        <v>820498.7102976141</v>
      </c>
      <c r="J26" s="96">
        <f>VLOOKUP($B26,'[13]Div 12 forecast'!$D$169:$AF$245,24,FALSE)</f>
        <v>933443.17078285641</v>
      </c>
      <c r="K26" s="96">
        <f>VLOOKUP($B26,'[13]Div 12 forecast'!$D$169:$AF$245,25,FALSE)</f>
        <v>943986.44415571936</v>
      </c>
      <c r="L26" s="96">
        <f>VLOOKUP($B26,'[13]Div 12 forecast'!$D$169:$AF$245,26,FALSE)</f>
        <v>899027.9403356635</v>
      </c>
      <c r="M26" s="96">
        <f>VLOOKUP($B26,'[13]Div 12 forecast'!$D$169:$AF$245,27,FALSE)</f>
        <v>994601.09808277304</v>
      </c>
      <c r="N26" s="96">
        <f>VLOOKUP($B26,'[13]Div 12 forecast'!$D$169:$AF$245,28,FALSE)</f>
        <v>870423.25060644536</v>
      </c>
      <c r="O26" s="96">
        <f>VLOOKUP($B26,'[13]Div 12 forecast'!$D$169:$AF$245,29,FALSE)</f>
        <v>953736.95697200217</v>
      </c>
      <c r="P26" s="81">
        <f t="shared" si="0"/>
        <v>10932484.697873704</v>
      </c>
      <c r="Q26" s="81"/>
    </row>
    <row r="27" spans="1:17">
      <c r="A27" s="854">
        <f t="shared" si="1"/>
        <v>16</v>
      </c>
      <c r="B27" s="706">
        <v>9310</v>
      </c>
      <c r="C27" s="81" t="s">
        <v>185</v>
      </c>
      <c r="D27" s="96">
        <f>VLOOKUP($B27,'[13]Div 12 forecast'!$D$169:$AF$245,18,FALSE)</f>
        <v>135774.46521183368</v>
      </c>
      <c r="E27" s="96">
        <f>VLOOKUP($B27,'[13]Div 12 forecast'!$D$169:$AF$245,19,FALSE)</f>
        <v>134643.15597206212</v>
      </c>
      <c r="F27" s="96">
        <f>VLOOKUP($B27,'[13]Div 12 forecast'!$D$169:$AF$245,20,FALSE)</f>
        <v>132033.4087076679</v>
      </c>
      <c r="G27" s="96">
        <f>VLOOKUP($B27,'[13]Div 12 forecast'!$D$169:$AF$245,21,FALSE)</f>
        <v>135098.72117732372</v>
      </c>
      <c r="H27" s="96">
        <f>VLOOKUP($B27,'[13]Div 12 forecast'!$D$169:$AF$245,22,FALSE)</f>
        <v>134643.15597206212</v>
      </c>
      <c r="I27" s="96">
        <f>VLOOKUP($B27,'[13]Div 12 forecast'!$D$169:$AF$245,23,FALSE)</f>
        <v>134643.15597206212</v>
      </c>
      <c r="J27" s="96">
        <f>VLOOKUP($B27,'[13]Div 12 forecast'!$D$169:$AF$245,24,FALSE)</f>
        <v>135098.72117732372</v>
      </c>
      <c r="K27" s="96">
        <f>VLOOKUP($B27,'[13]Div 12 forecast'!$D$169:$AF$245,25,FALSE)</f>
        <v>134643.15597206212</v>
      </c>
      <c r="L27" s="96">
        <f>VLOOKUP($B27,'[13]Div 12 forecast'!$D$169:$AF$245,26,FALSE)</f>
        <v>140991.97614756582</v>
      </c>
      <c r="M27" s="96">
        <f>VLOOKUP($B27,'[13]Div 12 forecast'!$D$169:$AF$245,27,FALSE)</f>
        <v>135794.96234008204</v>
      </c>
      <c r="N27" s="96">
        <f>VLOOKUP($B27,'[13]Div 12 forecast'!$D$169:$AF$245,28,FALSE)</f>
        <v>134643.15597206212</v>
      </c>
      <c r="O27" s="96">
        <f>VLOOKUP($B27,'[13]Div 12 forecast'!$D$169:$AF$245,29,FALSE)</f>
        <v>134643.15597206212</v>
      </c>
      <c r="P27" s="81">
        <f t="shared" si="0"/>
        <v>1622651.1905941695</v>
      </c>
      <c r="Q27" s="670"/>
    </row>
    <row r="28" spans="1:17">
      <c r="A28" s="854">
        <f t="shared" si="1"/>
        <v>17</v>
      </c>
      <c r="B28" s="706">
        <v>9320</v>
      </c>
      <c r="C28" s="81" t="s">
        <v>186</v>
      </c>
      <c r="D28" s="96">
        <f>VLOOKUP($B28,'[13]Div 12 forecast'!$D$169:$AF$245,18,FALSE)</f>
        <v>3.5146778978883315</v>
      </c>
      <c r="E28" s="96">
        <f>VLOOKUP($B28,'[13]Div 12 forecast'!$D$169:$AF$245,19,FALSE)</f>
        <v>3.5146778978883315</v>
      </c>
      <c r="F28" s="96">
        <f>VLOOKUP($B28,'[13]Div 12 forecast'!$D$169:$AF$245,20,FALSE)</f>
        <v>8.3675368620837762</v>
      </c>
      <c r="G28" s="96">
        <f>VLOOKUP($B28,'[13]Div 12 forecast'!$D$169:$AF$245,21,FALSE)</f>
        <v>3.5146778978883315</v>
      </c>
      <c r="H28" s="96">
        <f>VLOOKUP($B28,'[13]Div 12 forecast'!$D$169:$AF$245,22,FALSE)</f>
        <v>3.5146778978883315</v>
      </c>
      <c r="I28" s="96">
        <f>VLOOKUP($B28,'[13]Div 12 forecast'!$D$169:$AF$245,23,FALSE)</f>
        <v>8.3675368620837762</v>
      </c>
      <c r="J28" s="96">
        <f>VLOOKUP($B28,'[13]Div 12 forecast'!$D$169:$AF$245,24,FALSE)</f>
        <v>14.930872403251541</v>
      </c>
      <c r="K28" s="96">
        <f>VLOOKUP($B28,'[13]Div 12 forecast'!$D$169:$AF$245,25,FALSE)</f>
        <v>3.5146778978883315</v>
      </c>
      <c r="L28" s="96">
        <f>VLOOKUP($B28,'[13]Div 12 forecast'!$D$169:$AF$245,26,FALSE)</f>
        <v>8.3675368620837762</v>
      </c>
      <c r="M28" s="96">
        <f>VLOOKUP($B28,'[13]Div 12 forecast'!$D$169:$AF$245,27,FALSE)</f>
        <v>3.5146778978883315</v>
      </c>
      <c r="N28" s="96">
        <f>VLOOKUP($B28,'[13]Div 12 forecast'!$D$169:$AF$245,28,FALSE)</f>
        <v>3.5146778978883315</v>
      </c>
      <c r="O28" s="96">
        <f>VLOOKUP($B28,'[13]Div 12 forecast'!$D$169:$AF$245,29,FALSE)</f>
        <v>8.3675368620837762</v>
      </c>
      <c r="P28" s="81">
        <f t="shared" si="0"/>
        <v>73.003765136804972</v>
      </c>
      <c r="Q28" s="81"/>
    </row>
    <row r="29" spans="1:17">
      <c r="A29" s="854">
        <f t="shared" si="1"/>
        <v>18</v>
      </c>
      <c r="B29" s="81"/>
      <c r="C29" s="8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81"/>
      <c r="Q29" s="81"/>
    </row>
    <row r="30" spans="1:17" ht="15.75" thickBot="1">
      <c r="A30" s="854">
        <f t="shared" si="1"/>
        <v>19</v>
      </c>
      <c r="B30" s="81" t="s">
        <v>741</v>
      </c>
      <c r="C30" s="879"/>
      <c r="D30" s="903">
        <f t="shared" ref="D30:P30" si="3">SUM(D12:D29)</f>
        <v>-1.6777512712451426E-10</v>
      </c>
      <c r="E30" s="903">
        <f t="shared" si="3"/>
        <v>-5.1359805297579442E-11</v>
      </c>
      <c r="F30" s="903">
        <f t="shared" si="3"/>
        <v>-3.5523406438642269E-10</v>
      </c>
      <c r="G30" s="903">
        <f t="shared" si="3"/>
        <v>4.4340531246689352E-10</v>
      </c>
      <c r="H30" s="903">
        <f t="shared" si="3"/>
        <v>6.5055516529355373E-11</v>
      </c>
      <c r="I30" s="903">
        <f t="shared" si="3"/>
        <v>-9.3299590275819355E-11</v>
      </c>
      <c r="J30" s="903">
        <f t="shared" si="3"/>
        <v>1.6630963273200905E-10</v>
      </c>
      <c r="K30" s="903">
        <f t="shared" si="3"/>
        <v>-1.6777512712451426E-10</v>
      </c>
      <c r="L30" s="903">
        <f t="shared" si="3"/>
        <v>2.2684254474825138E-10</v>
      </c>
      <c r="M30" s="903">
        <f t="shared" si="3"/>
        <v>2.1057466881302389E-10</v>
      </c>
      <c r="N30" s="903">
        <f t="shared" si="3"/>
        <v>-1.6777512712451426E-10</v>
      </c>
      <c r="O30" s="903">
        <f t="shared" si="3"/>
        <v>2.3115731551115459E-11</v>
      </c>
      <c r="P30" s="903">
        <f t="shared" si="3"/>
        <v>1.0298606412106892E-10</v>
      </c>
      <c r="Q30" s="904"/>
    </row>
    <row r="31" spans="1:17" ht="15.75" thickTop="1">
      <c r="A31" s="854">
        <f t="shared" si="1"/>
        <v>20</v>
      </c>
      <c r="B31" s="81"/>
      <c r="C31" s="879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</row>
    <row r="32" spans="1:17">
      <c r="A32" s="854">
        <f t="shared" si="1"/>
        <v>21</v>
      </c>
      <c r="B32" s="706">
        <f t="shared" ref="B32:O32" si="4">B22</f>
        <v>9220</v>
      </c>
      <c r="C32" s="81" t="str">
        <f t="shared" si="4"/>
        <v>A&amp;G-Administrative expense transferred-Credit</v>
      </c>
      <c r="D32" s="81">
        <f t="shared" si="4"/>
        <v>-3907670.4829000006</v>
      </c>
      <c r="E32" s="81">
        <f t="shared" si="4"/>
        <v>-4194183.1487000012</v>
      </c>
      <c r="F32" s="81">
        <f t="shared" si="4"/>
        <v>-3893524.4295000006</v>
      </c>
      <c r="G32" s="81">
        <f t="shared" si="4"/>
        <v>-3977652.7277999995</v>
      </c>
      <c r="H32" s="81">
        <f t="shared" si="4"/>
        <v>-4067299.7337000002</v>
      </c>
      <c r="I32" s="81">
        <f t="shared" si="4"/>
        <v>-3611820.8709000009</v>
      </c>
      <c r="J32" s="81">
        <f t="shared" si="4"/>
        <v>-4091130.5630900292</v>
      </c>
      <c r="K32" s="81">
        <f t="shared" si="4"/>
        <v>-4036197.2706900295</v>
      </c>
      <c r="L32" s="81">
        <f t="shared" si="4"/>
        <v>-3884057.4690350574</v>
      </c>
      <c r="M32" s="81">
        <f t="shared" si="4"/>
        <v>-4330596.873187772</v>
      </c>
      <c r="N32" s="81">
        <f t="shared" si="4"/>
        <v>-3793887.1603926597</v>
      </c>
      <c r="O32" s="81">
        <f t="shared" si="4"/>
        <v>-4140888.3959770026</v>
      </c>
      <c r="P32" s="81">
        <f>SUM(D32:O32)</f>
        <v>-47928909.12587256</v>
      </c>
      <c r="Q32" s="81"/>
    </row>
    <row r="33" spans="1:17">
      <c r="A33" s="854">
        <f t="shared" si="1"/>
        <v>22</v>
      </c>
      <c r="B33" s="81"/>
      <c r="C33" s="81" t="s">
        <v>196</v>
      </c>
      <c r="D33" s="910">
        <f>Allocation!$E$15</f>
        <v>5.67090596975168E-2</v>
      </c>
      <c r="E33" s="910">
        <f>D33</f>
        <v>5.67090596975168E-2</v>
      </c>
      <c r="F33" s="910">
        <f t="shared" ref="F33:O33" si="5">E33</f>
        <v>5.67090596975168E-2</v>
      </c>
      <c r="G33" s="910">
        <f t="shared" si="5"/>
        <v>5.67090596975168E-2</v>
      </c>
      <c r="H33" s="910">
        <f t="shared" si="5"/>
        <v>5.67090596975168E-2</v>
      </c>
      <c r="I33" s="910">
        <f t="shared" si="5"/>
        <v>5.67090596975168E-2</v>
      </c>
      <c r="J33" s="910">
        <f t="shared" si="5"/>
        <v>5.67090596975168E-2</v>
      </c>
      <c r="K33" s="910">
        <f t="shared" si="5"/>
        <v>5.67090596975168E-2</v>
      </c>
      <c r="L33" s="910">
        <f t="shared" si="5"/>
        <v>5.67090596975168E-2</v>
      </c>
      <c r="M33" s="910">
        <f t="shared" si="5"/>
        <v>5.67090596975168E-2</v>
      </c>
      <c r="N33" s="910">
        <f t="shared" si="5"/>
        <v>5.67090596975168E-2</v>
      </c>
      <c r="O33" s="910">
        <f t="shared" si="5"/>
        <v>5.67090596975168E-2</v>
      </c>
      <c r="P33" s="74"/>
      <c r="Q33" s="912"/>
    </row>
    <row r="34" spans="1:17">
      <c r="A34" s="854">
        <f t="shared" si="1"/>
        <v>23</v>
      </c>
      <c r="B34" s="81"/>
      <c r="C34" s="81" t="s">
        <v>211</v>
      </c>
      <c r="D34" s="81">
        <f>D32*D33</f>
        <v>-221600.31869300044</v>
      </c>
      <c r="E34" s="81">
        <f t="shared" ref="E34:O34" si="6">E32*E33</f>
        <v>-237848.18256194735</v>
      </c>
      <c r="F34" s="81">
        <f t="shared" si="6"/>
        <v>-220798.10930625559</v>
      </c>
      <c r="G34" s="81">
        <f t="shared" si="6"/>
        <v>-225568.94599680073</v>
      </c>
      <c r="H34" s="81">
        <f t="shared" si="6"/>
        <v>-230652.74340608751</v>
      </c>
      <c r="I34" s="81">
        <f t="shared" si="6"/>
        <v>-204822.96538460528</v>
      </c>
      <c r="J34" s="81">
        <f t="shared" si="6"/>
        <v>-232004.16733260799</v>
      </c>
      <c r="K34" s="81">
        <f t="shared" si="6"/>
        <v>-228888.95197451525</v>
      </c>
      <c r="L34" s="81">
        <f t="shared" si="6"/>
        <v>-220261.24688009507</v>
      </c>
      <c r="M34" s="81">
        <f t="shared" si="6"/>
        <v>-245584.07660748495</v>
      </c>
      <c r="N34" s="81">
        <f t="shared" si="6"/>
        <v>-215147.77346434983</v>
      </c>
      <c r="O34" s="81">
        <f t="shared" si="6"/>
        <v>-234825.88724821442</v>
      </c>
      <c r="P34" s="81">
        <f>SUM(D34:O34)</f>
        <v>-2718003.3688559649</v>
      </c>
      <c r="Q34" s="827"/>
    </row>
    <row r="35" spans="1:17">
      <c r="A35" s="81"/>
      <c r="B35" s="81"/>
      <c r="C35" s="879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74"/>
      <c r="P35" s="885"/>
      <c r="Q35" s="81"/>
    </row>
    <row r="36" spans="1:17">
      <c r="A36" s="81"/>
      <c r="B36" s="81" t="s">
        <v>568</v>
      </c>
      <c r="C36" s="879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74"/>
      <c r="P36" s="74"/>
      <c r="Q36" s="81"/>
    </row>
    <row r="37" spans="1:17">
      <c r="A37" s="81"/>
      <c r="B37" s="81"/>
      <c r="C37" s="879"/>
      <c r="D37" s="904"/>
      <c r="E37" s="904"/>
      <c r="F37" s="904"/>
      <c r="G37" s="904"/>
      <c r="H37" s="904"/>
      <c r="I37" s="904"/>
      <c r="J37" s="904"/>
      <c r="K37" s="904"/>
      <c r="L37" s="904"/>
      <c r="M37" s="904"/>
      <c r="N37" s="904"/>
      <c r="O37" s="904"/>
      <c r="P37" s="904"/>
      <c r="Q37" s="74"/>
    </row>
    <row r="38" spans="1:17">
      <c r="A38" s="81"/>
      <c r="B38" s="81"/>
      <c r="C38" s="81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</row>
    <row r="39" spans="1:17">
      <c r="A39" s="81"/>
      <c r="B39" s="81"/>
      <c r="C39" s="170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74"/>
      <c r="Q39" s="81"/>
    </row>
    <row r="40" spans="1:17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</row>
    <row r="41" spans="1:17">
      <c r="A41" s="81"/>
      <c r="B41" s="81" t="s">
        <v>961</v>
      </c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74"/>
      <c r="Q41" s="81"/>
    </row>
    <row r="42" spans="1:17">
      <c r="A42" s="81"/>
      <c r="B42" s="81" t="s">
        <v>1646</v>
      </c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</row>
    <row r="43" spans="1:17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74"/>
      <c r="P43" s="74"/>
      <c r="Q43" s="81"/>
    </row>
    <row r="44" spans="1:17">
      <c r="A44" s="81"/>
    </row>
    <row r="45" spans="1:17">
      <c r="A45" s="81"/>
    </row>
  </sheetData>
  <mergeCells count="4">
    <mergeCell ref="A1:P1"/>
    <mergeCell ref="A2:P2"/>
    <mergeCell ref="A3:P3"/>
    <mergeCell ref="A4:P4"/>
  </mergeCells>
  <phoneticPr fontId="22" type="noConversion"/>
  <printOptions horizontalCentered="1"/>
  <pageMargins left="0.5" right="0.5" top="0.75" bottom="0.5" header="0.5" footer="0.25"/>
  <pageSetup scale="52" fitToHeight="2" orientation="landscape" verticalDpi="300" r:id="rId1"/>
  <headerFooter alignWithMargins="0">
    <oddFooter>&amp;RSchedule &amp;A
Page &amp;P of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R75"/>
  <sheetViews>
    <sheetView view="pageBreakPreview" zoomScale="60" zoomScaleNormal="75" workbookViewId="0">
      <pane xSplit="3" ySplit="11" topLeftCell="D12" activePane="bottomRight" state="frozen"/>
      <selection activeCell="F55" sqref="F55"/>
      <selection pane="topRight" activeCell="F55" sqref="F55"/>
      <selection pane="bottomLeft" activeCell="F55" sqref="F55"/>
      <selection pane="bottomRight" activeCell="M70" sqref="M70"/>
    </sheetView>
  </sheetViews>
  <sheetFormatPr defaultColWidth="7.109375" defaultRowHeight="15"/>
  <cols>
    <col min="1" max="1" width="4.6640625" style="80" customWidth="1"/>
    <col min="2" max="2" width="7.21875" style="80" customWidth="1"/>
    <col min="3" max="3" width="38.88671875" style="80" customWidth="1"/>
    <col min="4" max="5" width="11.109375" style="80" customWidth="1"/>
    <col min="6" max="6" width="11.77734375" style="80" bestFit="1" customWidth="1"/>
    <col min="7" max="7" width="11.33203125" style="80" bestFit="1" customWidth="1"/>
    <col min="8" max="8" width="11.109375" style="80" customWidth="1"/>
    <col min="9" max="9" width="12" style="80" bestFit="1" customWidth="1"/>
    <col min="10" max="13" width="11.33203125" style="80" bestFit="1" customWidth="1"/>
    <col min="14" max="14" width="10" style="80" customWidth="1"/>
    <col min="15" max="15" width="10.77734375" style="80" customWidth="1"/>
    <col min="16" max="16" width="12.44140625" style="80" customWidth="1"/>
    <col min="17" max="17" width="12.5546875" style="80" customWidth="1"/>
    <col min="18" max="18" width="7.109375" style="80"/>
    <col min="19" max="19" width="8.109375" style="80" customWidth="1"/>
    <col min="20" max="20" width="8.77734375" style="80" customWidth="1"/>
    <col min="21" max="16384" width="7.109375" style="80"/>
  </cols>
  <sheetData>
    <row r="1" spans="1:18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1190"/>
      <c r="Q1" s="81"/>
    </row>
    <row r="2" spans="1:18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81"/>
    </row>
    <row r="3" spans="1:18" ht="15.75">
      <c r="A3" s="1190" t="s">
        <v>191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81"/>
    </row>
    <row r="4" spans="1:18">
      <c r="A4" s="1190" t="str">
        <f>'Table of Contents'!A4:C4</f>
        <v>Forecasted Test Period: Twelve Months Ended March 31, 2019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81"/>
    </row>
    <row r="5" spans="1:18">
      <c r="A5" s="81"/>
      <c r="B5" s="150"/>
      <c r="C5" s="150"/>
      <c r="D5" s="150"/>
      <c r="E5" s="150"/>
      <c r="F5" s="150"/>
      <c r="G5" s="873"/>
      <c r="H5" s="150"/>
      <c r="I5" s="150"/>
      <c r="J5" s="150"/>
      <c r="K5" s="150"/>
      <c r="L5" s="150"/>
      <c r="M5" s="150"/>
      <c r="N5" s="150"/>
      <c r="O5" s="150"/>
      <c r="P5" s="81"/>
      <c r="Q5" s="81"/>
    </row>
    <row r="6" spans="1:18">
      <c r="A6" s="88" t="str">
        <f>'C.2.1 F'!A6</f>
        <v>Data:________Base Period___X____Forecasted Period</v>
      </c>
      <c r="B6" s="81"/>
      <c r="C6" s="88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170" t="s">
        <v>1454</v>
      </c>
      <c r="Q6" s="81"/>
    </row>
    <row r="7" spans="1:18" ht="15.75">
      <c r="A7" s="88" t="str">
        <f>'C.2.1 F'!A7</f>
        <v>Type of Filing:___X____Original________Updated ________Revised</v>
      </c>
      <c r="B7" s="81"/>
      <c r="C7" s="88"/>
      <c r="D7" s="81"/>
      <c r="E7" s="81"/>
      <c r="F7" s="906"/>
      <c r="G7" s="81"/>
      <c r="H7" s="81"/>
      <c r="I7" s="81"/>
      <c r="J7" s="81"/>
      <c r="K7" s="81"/>
      <c r="L7" s="81"/>
      <c r="M7" s="81"/>
      <c r="N7" s="81"/>
      <c r="O7" s="81"/>
      <c r="P7" s="507" t="s">
        <v>38</v>
      </c>
      <c r="Q7" s="81"/>
    </row>
    <row r="8" spans="1:18">
      <c r="A8" s="390" t="str">
        <f>'C.2.1 F'!A8</f>
        <v>Workpaper Reference No(s).____________________</v>
      </c>
      <c r="B8" s="82"/>
      <c r="C8" s="431"/>
      <c r="D8" s="151"/>
      <c r="E8" s="151"/>
      <c r="F8" s="151"/>
      <c r="G8" s="151"/>
      <c r="H8" s="151"/>
      <c r="I8" s="151"/>
      <c r="J8" s="151"/>
      <c r="K8" s="151"/>
      <c r="L8" s="151"/>
      <c r="M8" s="82"/>
      <c r="N8" s="82"/>
      <c r="O8" s="82"/>
      <c r="P8" s="508" t="str">
        <f>C.1!J9</f>
        <v>Witness: Waller, Martin</v>
      </c>
      <c r="Q8" s="81"/>
    </row>
    <row r="9" spans="1:18">
      <c r="A9" s="391" t="s">
        <v>94</v>
      </c>
      <c r="B9" s="829" t="s">
        <v>101</v>
      </c>
      <c r="C9" s="907"/>
      <c r="D9" s="895" t="s">
        <v>44</v>
      </c>
      <c r="E9" s="851" t="s">
        <v>44</v>
      </c>
      <c r="F9" s="851" t="s">
        <v>44</v>
      </c>
      <c r="G9" s="851" t="s">
        <v>44</v>
      </c>
      <c r="H9" s="851" t="s">
        <v>44</v>
      </c>
      <c r="I9" s="851" t="s">
        <v>44</v>
      </c>
      <c r="J9" s="851" t="s">
        <v>44</v>
      </c>
      <c r="K9" s="851" t="s">
        <v>44</v>
      </c>
      <c r="L9" s="851" t="s">
        <v>44</v>
      </c>
      <c r="M9" s="851" t="s">
        <v>44</v>
      </c>
      <c r="N9" s="851" t="s">
        <v>44</v>
      </c>
      <c r="O9" s="851" t="s">
        <v>44</v>
      </c>
      <c r="P9" s="908"/>
      <c r="Q9" s="81"/>
    </row>
    <row r="10" spans="1:18">
      <c r="A10" s="392" t="s">
        <v>100</v>
      </c>
      <c r="B10" s="82" t="s">
        <v>100</v>
      </c>
      <c r="C10" s="909" t="s">
        <v>960</v>
      </c>
      <c r="D10" s="612">
        <f>'C.2.2-F 09'!D10</f>
        <v>43191</v>
      </c>
      <c r="E10" s="612">
        <f>'C.2.2-F 09'!F10</f>
        <v>43252</v>
      </c>
      <c r="F10" s="612">
        <f>'C.2.2-F 09'!F10</f>
        <v>43252</v>
      </c>
      <c r="G10" s="612">
        <f>'C.2.2-F 09'!G10</f>
        <v>43282</v>
      </c>
      <c r="H10" s="612">
        <f>'C.2.2-F 09'!H10</f>
        <v>43313</v>
      </c>
      <c r="I10" s="612">
        <f>'C.2.2-F 09'!I10</f>
        <v>43344</v>
      </c>
      <c r="J10" s="612">
        <f>'C.2.2-F 09'!J10</f>
        <v>43374</v>
      </c>
      <c r="K10" s="612">
        <f>'C.2.2-F 09'!K10</f>
        <v>43405</v>
      </c>
      <c r="L10" s="612">
        <f>'C.2.2-F 09'!L10</f>
        <v>43435</v>
      </c>
      <c r="M10" s="612">
        <f>'C.2.2-F 09'!M10</f>
        <v>43466</v>
      </c>
      <c r="N10" s="612">
        <f>'C.2.2-F 09'!N10</f>
        <v>43497</v>
      </c>
      <c r="O10" s="612">
        <f>'C.2.2-F 09'!O10</f>
        <v>43525</v>
      </c>
      <c r="P10" s="362" t="str">
        <f>'C.2.2 B 09'!P10</f>
        <v>Total</v>
      </c>
      <c r="Q10" s="76"/>
    </row>
    <row r="11" spans="1:18">
      <c r="A11" s="81"/>
      <c r="B11" s="81"/>
      <c r="C11" s="81"/>
      <c r="D11" s="852" t="s">
        <v>147</v>
      </c>
      <c r="E11" s="852" t="s">
        <v>147</v>
      </c>
      <c r="F11" s="852" t="s">
        <v>147</v>
      </c>
      <c r="G11" s="852" t="s">
        <v>147</v>
      </c>
      <c r="H11" s="852" t="s">
        <v>147</v>
      </c>
      <c r="I11" s="852" t="s">
        <v>147</v>
      </c>
      <c r="J11" s="852" t="s">
        <v>147</v>
      </c>
      <c r="K11" s="852" t="s">
        <v>147</v>
      </c>
      <c r="L11" s="852" t="s">
        <v>147</v>
      </c>
      <c r="M11" s="852" t="s">
        <v>147</v>
      </c>
      <c r="N11" s="852" t="s">
        <v>147</v>
      </c>
      <c r="O11" s="852" t="s">
        <v>147</v>
      </c>
      <c r="P11" s="852" t="s">
        <v>147</v>
      </c>
      <c r="Q11" s="852"/>
    </row>
    <row r="12" spans="1:18">
      <c r="A12" s="854">
        <v>1</v>
      </c>
      <c r="B12" s="706">
        <v>4030</v>
      </c>
      <c r="C12" s="81" t="s">
        <v>92</v>
      </c>
      <c r="D12" s="396">
        <v>0</v>
      </c>
      <c r="E12" s="396">
        <v>0</v>
      </c>
      <c r="F12" s="396">
        <v>0</v>
      </c>
      <c r="G12" s="396">
        <v>0</v>
      </c>
      <c r="H12" s="396">
        <v>0</v>
      </c>
      <c r="I12" s="396">
        <v>0</v>
      </c>
      <c r="J12" s="396">
        <v>0</v>
      </c>
      <c r="K12" s="396">
        <v>0</v>
      </c>
      <c r="L12" s="396">
        <v>0</v>
      </c>
      <c r="M12" s="396">
        <v>0</v>
      </c>
      <c r="N12" s="396">
        <v>0</v>
      </c>
      <c r="O12" s="396">
        <v>0</v>
      </c>
      <c r="P12" s="428">
        <f t="shared" ref="P12:P48" si="0">SUM(D12:O12)</f>
        <v>0</v>
      </c>
      <c r="Q12" s="81"/>
    </row>
    <row r="13" spans="1:18">
      <c r="A13" s="854">
        <f>A12+1</f>
        <v>2</v>
      </c>
      <c r="B13" s="832">
        <v>4060</v>
      </c>
      <c r="C13" s="196" t="s">
        <v>868</v>
      </c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428"/>
      <c r="Q13" s="81"/>
    </row>
    <row r="14" spans="1:18">
      <c r="A14" s="854">
        <f t="shared" ref="A14:A54" si="1">A13+1</f>
        <v>3</v>
      </c>
      <c r="B14" s="706">
        <v>4081</v>
      </c>
      <c r="C14" s="81" t="s">
        <v>869</v>
      </c>
      <c r="D14" s="396">
        <v>0</v>
      </c>
      <c r="E14" s="396">
        <v>0</v>
      </c>
      <c r="F14" s="396">
        <v>0</v>
      </c>
      <c r="G14" s="396">
        <v>0</v>
      </c>
      <c r="H14" s="396">
        <v>0</v>
      </c>
      <c r="I14" s="396">
        <v>0</v>
      </c>
      <c r="J14" s="396">
        <v>0</v>
      </c>
      <c r="K14" s="396">
        <v>0</v>
      </c>
      <c r="L14" s="396">
        <v>0</v>
      </c>
      <c r="M14" s="396">
        <v>0</v>
      </c>
      <c r="N14" s="396">
        <v>0</v>
      </c>
      <c r="O14" s="396">
        <v>0</v>
      </c>
      <c r="P14" s="428">
        <f t="shared" si="0"/>
        <v>0</v>
      </c>
      <c r="Q14" s="81"/>
    </row>
    <row r="15" spans="1:18">
      <c r="A15" s="854">
        <f t="shared" si="1"/>
        <v>4</v>
      </c>
      <c r="B15" s="706">
        <v>8170</v>
      </c>
      <c r="C15" s="81" t="s">
        <v>894</v>
      </c>
      <c r="D15" s="96">
        <f>VLOOKUP($B15,'[13]Div 91 forecast'!$D$281:$AF$360,18,FALSE)</f>
        <v>40.036581902291019</v>
      </c>
      <c r="E15" s="96">
        <f>VLOOKUP($B15,'[13]Div 91 forecast'!$D$281:$AF$360,19,FALSE)</f>
        <v>39.818833011095883</v>
      </c>
      <c r="F15" s="96">
        <f>VLOOKUP($B15,'[13]Div 91 forecast'!$D$281:$AF$360,20,FALSE)</f>
        <v>39.855011435385833</v>
      </c>
      <c r="G15" s="96">
        <f>VLOOKUP($B15,'[13]Div 91 forecast'!$D$281:$AF$360,21,FALSE)</f>
        <v>41.475503356706511</v>
      </c>
      <c r="H15" s="96">
        <f>VLOOKUP($B15,'[13]Div 91 forecast'!$D$281:$AF$360,22,FALSE)</f>
        <v>39.57764351582955</v>
      </c>
      <c r="I15" s="96">
        <f>VLOOKUP($B15,'[13]Div 91 forecast'!$D$281:$AF$360,23,FALSE)</f>
        <v>40.203228769176604</v>
      </c>
      <c r="J15" s="96">
        <f>VLOOKUP($B15,'[13]Div 91 forecast'!$D$281:$AF$360,24,FALSE)</f>
        <v>40.749447604237574</v>
      </c>
      <c r="K15" s="96">
        <f>VLOOKUP($B15,'[13]Div 91 forecast'!$D$281:$AF$360,25,FALSE)</f>
        <v>41.422094957848472</v>
      </c>
      <c r="L15" s="96">
        <f>VLOOKUP($B15,'[13]Div 91 forecast'!$D$281:$AF$360,26,FALSE)</f>
        <v>40.995310145974692</v>
      </c>
      <c r="M15" s="96">
        <f>VLOOKUP($B15,'[13]Div 91 forecast'!$D$281:$AF$360,27,FALSE)</f>
        <v>41.746012449991156</v>
      </c>
      <c r="N15" s="96">
        <f>VLOOKUP($B15,'[13]Div 91 forecast'!$D$281:$AF$360,28,FALSE)</f>
        <v>40.154161781233356</v>
      </c>
      <c r="O15" s="96">
        <f>VLOOKUP($B15,'[13]Div 91 forecast'!$D$281:$AF$360,29,FALSE)</f>
        <v>40.366710023936811</v>
      </c>
      <c r="P15" s="81">
        <f t="shared" si="0"/>
        <v>486.4005389537075</v>
      </c>
      <c r="Q15" s="81"/>
      <c r="R15" s="706"/>
    </row>
    <row r="16" spans="1:18">
      <c r="A16" s="854">
        <f t="shared" si="1"/>
        <v>5</v>
      </c>
      <c r="B16" s="706">
        <v>8180</v>
      </c>
      <c r="C16" s="81" t="s">
        <v>895</v>
      </c>
      <c r="D16" s="96">
        <f>VLOOKUP($B16,'[13]Div 91 forecast'!$D$281:$AF$360,18,FALSE)</f>
        <v>41.70744791256547</v>
      </c>
      <c r="E16" s="96">
        <f>VLOOKUP($B16,'[13]Div 91 forecast'!$D$281:$AF$360,19,FALSE)</f>
        <v>41.480611601720938</v>
      </c>
      <c r="F16" s="96">
        <f>VLOOKUP($B16,'[13]Div 91 forecast'!$D$281:$AF$360,20,FALSE)</f>
        <v>41.518299877666038</v>
      </c>
      <c r="G16" s="96">
        <f>VLOOKUP($B16,'[13]Div 91 forecast'!$D$281:$AF$360,21,FALSE)</f>
        <v>43.206420571039899</v>
      </c>
      <c r="H16" s="96">
        <f>VLOOKUP($B16,'[13]Div 91 forecast'!$D$281:$AF$360,22,FALSE)</f>
        <v>41.229356428753647</v>
      </c>
      <c r="I16" s="96">
        <f>VLOOKUP($B16,'[13]Div 91 forecast'!$D$281:$AF$360,23,FALSE)</f>
        <v>41.881049533637537</v>
      </c>
      <c r="J16" s="96">
        <f>VLOOKUP($B16,'[13]Div 91 forecast'!$D$281:$AF$360,24,FALSE)</f>
        <v>42.450063983166842</v>
      </c>
      <c r="K16" s="96">
        <f>VLOOKUP($B16,'[13]Div 91 forecast'!$D$281:$AF$360,25,FALSE)</f>
        <v>43.150783253675939</v>
      </c>
      <c r="L16" s="96">
        <f>VLOOKUP($B16,'[13]Div 91 forecast'!$D$281:$AF$360,26,FALSE)</f>
        <v>42.706187225110341</v>
      </c>
      <c r="M16" s="96">
        <f>VLOOKUP($B16,'[13]Div 91 forecast'!$D$281:$AF$360,27,FALSE)</f>
        <v>43.488218950971003</v>
      </c>
      <c r="N16" s="96">
        <f>VLOOKUP($B16,'[13]Div 91 forecast'!$D$281:$AF$360,28,FALSE)</f>
        <v>41.829934809386998</v>
      </c>
      <c r="O16" s="96">
        <f>VLOOKUP($B16,'[13]Div 91 forecast'!$D$281:$AF$360,29,FALSE)</f>
        <v>42.051353430564376</v>
      </c>
      <c r="P16" s="81">
        <f t="shared" si="0"/>
        <v>506.69972757825894</v>
      </c>
      <c r="Q16" s="81"/>
      <c r="R16" s="706"/>
    </row>
    <row r="17" spans="1:18">
      <c r="A17" s="854">
        <f t="shared" si="1"/>
        <v>6</v>
      </c>
      <c r="B17" s="706">
        <v>8190</v>
      </c>
      <c r="C17" s="81" t="s">
        <v>896</v>
      </c>
      <c r="D17" s="96">
        <f>VLOOKUP($B17,'[13]Div 91 forecast'!$D$281:$AF$360,18,FALSE)</f>
        <v>465.03523537254159</v>
      </c>
      <c r="E17" s="96">
        <f>VLOOKUP($B17,'[13]Div 91 forecast'!$D$281:$AF$360,19,FALSE)</f>
        <v>462.50602578326732</v>
      </c>
      <c r="F17" s="96">
        <f>VLOOKUP($B17,'[13]Div 91 forecast'!$D$281:$AF$360,20,FALSE)</f>
        <v>462.92624752187987</v>
      </c>
      <c r="G17" s="96">
        <f>VLOOKUP($B17,'[13]Div 91 forecast'!$D$281:$AF$360,21,FALSE)</f>
        <v>481.74867956390045</v>
      </c>
      <c r="H17" s="96">
        <f>VLOOKUP($B17,'[13]Div 91 forecast'!$D$281:$AF$360,22,FALSE)</f>
        <v>459.70454752585033</v>
      </c>
      <c r="I17" s="96">
        <f>VLOOKUP($B17,'[13]Div 91 forecast'!$D$281:$AF$360,23,FALSE)</f>
        <v>466.97088175602573</v>
      </c>
      <c r="J17" s="96">
        <f>VLOOKUP($B17,'[13]Div 91 forecast'!$D$281:$AF$360,24,FALSE)</f>
        <v>473.3153545471198</v>
      </c>
      <c r="K17" s="96">
        <f>VLOOKUP($B17,'[13]Div 91 forecast'!$D$281:$AF$360,25,FALSE)</f>
        <v>481.1283272222737</v>
      </c>
      <c r="L17" s="96">
        <f>VLOOKUP($B17,'[13]Div 91 forecast'!$D$281:$AF$360,26,FALSE)</f>
        <v>476.17111144577422</v>
      </c>
      <c r="M17" s="96">
        <f>VLOOKUP($B17,'[13]Div 91 forecast'!$D$281:$AF$360,27,FALSE)</f>
        <v>484.89071252198471</v>
      </c>
      <c r="N17" s="96">
        <f>VLOOKUP($B17,'[13]Div 91 forecast'!$D$281:$AF$360,28,FALSE)</f>
        <v>466.40095602303239</v>
      </c>
      <c r="O17" s="96">
        <f>VLOOKUP($B17,'[13]Div 91 forecast'!$D$281:$AF$360,29,FALSE)</f>
        <v>468.86975873738112</v>
      </c>
      <c r="P17" s="81">
        <f t="shared" si="0"/>
        <v>5649.6678380210305</v>
      </c>
      <c r="Q17" s="81"/>
      <c r="R17" s="706"/>
    </row>
    <row r="18" spans="1:18">
      <c r="A18" s="854">
        <f t="shared" si="1"/>
        <v>7</v>
      </c>
      <c r="B18" s="706">
        <v>8210</v>
      </c>
      <c r="C18" s="81" t="s">
        <v>898</v>
      </c>
      <c r="D18" s="96">
        <f>VLOOKUP($B18,'[13]Div 91 forecast'!$D$281:$AF$360,18,FALSE)</f>
        <v>275.68807651945593</v>
      </c>
      <c r="E18" s="96">
        <f>VLOOKUP($B18,'[13]Div 91 forecast'!$D$281:$AF$360,19,FALSE)</f>
        <v>274.18867846583748</v>
      </c>
      <c r="F18" s="96">
        <f>VLOOKUP($B18,'[13]Div 91 forecast'!$D$281:$AF$360,20,FALSE)</f>
        <v>274.43779963777826</v>
      </c>
      <c r="G18" s="96">
        <f>VLOOKUP($B18,'[13]Div 91 forecast'!$D$281:$AF$360,21,FALSE)</f>
        <v>285.59635213095828</v>
      </c>
      <c r="H18" s="96">
        <f>VLOOKUP($B18,'[13]Div 91 forecast'!$D$281:$AF$360,22,FALSE)</f>
        <v>272.52787065289908</v>
      </c>
      <c r="I18" s="96">
        <f>VLOOKUP($B18,'[13]Div 91 forecast'!$D$281:$AF$360,23,FALSE)</f>
        <v>276.83559091770809</v>
      </c>
      <c r="J18" s="96">
        <f>VLOOKUP($B18,'[13]Div 91 forecast'!$D$281:$AF$360,24,FALSE)</f>
        <v>280.59680161157206</v>
      </c>
      <c r="K18" s="96">
        <f>VLOOKUP($B18,'[13]Div 91 forecast'!$D$281:$AF$360,25,FALSE)</f>
        <v>285.22858700088068</v>
      </c>
      <c r="L18" s="96">
        <f>VLOOKUP($B18,'[13]Div 91 forecast'!$D$281:$AF$360,26,FALSE)</f>
        <v>282.28978757588612</v>
      </c>
      <c r="M18" s="96">
        <f>VLOOKUP($B18,'[13]Div 91 forecast'!$D$281:$AF$360,27,FALSE)</f>
        <v>287.45905189365698</v>
      </c>
      <c r="N18" s="96">
        <f>VLOOKUP($B18,'[13]Div 91 forecast'!$D$281:$AF$360,28,FALSE)</f>
        <v>276.49772032826343</v>
      </c>
      <c r="O18" s="96">
        <f>VLOOKUP($B18,'[13]Div 91 forecast'!$D$281:$AF$360,29,FALSE)</f>
        <v>277.96130721341541</v>
      </c>
      <c r="P18" s="81">
        <f t="shared" si="0"/>
        <v>3349.3076239483116</v>
      </c>
      <c r="Q18" s="81"/>
      <c r="R18" s="706"/>
    </row>
    <row r="19" spans="1:18">
      <c r="A19" s="854">
        <f t="shared" si="1"/>
        <v>8</v>
      </c>
      <c r="B19" s="706">
        <v>8240</v>
      </c>
      <c r="C19" s="81" t="s">
        <v>899</v>
      </c>
      <c r="D19" s="96">
        <f>VLOOKUP($B19,'[13]Div 91 forecast'!$D$281:$AF$360,18,FALSE)</f>
        <v>0</v>
      </c>
      <c r="E19" s="96">
        <f>VLOOKUP($B19,'[13]Div 91 forecast'!$D$281:$AF$360,19,FALSE)</f>
        <v>0</v>
      </c>
      <c r="F19" s="96">
        <f>VLOOKUP($B19,'[13]Div 91 forecast'!$D$281:$AF$360,20,FALSE)</f>
        <v>0</v>
      </c>
      <c r="G19" s="96">
        <f>VLOOKUP($B19,'[13]Div 91 forecast'!$D$281:$AF$360,21,FALSE)</f>
        <v>0</v>
      </c>
      <c r="H19" s="96">
        <f>VLOOKUP($B19,'[13]Div 91 forecast'!$D$281:$AF$360,22,FALSE)</f>
        <v>0</v>
      </c>
      <c r="I19" s="96">
        <f>VLOOKUP($B19,'[13]Div 91 forecast'!$D$281:$AF$360,23,FALSE)</f>
        <v>0</v>
      </c>
      <c r="J19" s="96">
        <f>VLOOKUP($B19,'[13]Div 91 forecast'!$D$281:$AF$360,24,FALSE)</f>
        <v>0</v>
      </c>
      <c r="K19" s="96">
        <f>VLOOKUP($B19,'[13]Div 91 forecast'!$D$281:$AF$360,25,FALSE)</f>
        <v>0</v>
      </c>
      <c r="L19" s="96">
        <f>VLOOKUP($B19,'[13]Div 91 forecast'!$D$281:$AF$360,26,FALSE)</f>
        <v>0</v>
      </c>
      <c r="M19" s="96">
        <f>VLOOKUP($B19,'[13]Div 91 forecast'!$D$281:$AF$360,27,FALSE)</f>
        <v>0</v>
      </c>
      <c r="N19" s="96">
        <f>VLOOKUP($B19,'[13]Div 91 forecast'!$D$281:$AF$360,28,FALSE)</f>
        <v>0</v>
      </c>
      <c r="O19" s="96">
        <f>VLOOKUP($B19,'[13]Div 91 forecast'!$D$281:$AF$360,29,FALSE)</f>
        <v>0</v>
      </c>
      <c r="P19" s="81">
        <f t="shared" si="0"/>
        <v>0</v>
      </c>
      <c r="Q19" s="81"/>
      <c r="R19" s="706"/>
    </row>
    <row r="20" spans="1:18">
      <c r="A20" s="854">
        <f t="shared" si="1"/>
        <v>9</v>
      </c>
      <c r="B20" s="706">
        <v>8250</v>
      </c>
      <c r="C20" s="81" t="s">
        <v>911</v>
      </c>
      <c r="D20" s="96">
        <f>VLOOKUP($B20,'[13]Div 91 forecast'!$D$281:$AF$360,18,FALSE)</f>
        <v>1353.0965071868736</v>
      </c>
      <c r="E20" s="96">
        <f>VLOOKUP($B20,'[13]Div 91 forecast'!$D$281:$AF$360,19,FALSE)</f>
        <v>1345.7373558777283</v>
      </c>
      <c r="F20" s="96">
        <f>VLOOKUP($B20,'[13]Div 91 forecast'!$D$281:$AF$360,20,FALSE)</f>
        <v>1346.9600601450838</v>
      </c>
      <c r="G20" s="96">
        <f>VLOOKUP($B20,'[13]Div 91 forecast'!$D$281:$AF$360,21,FALSE)</f>
        <v>1401.7270221203787</v>
      </c>
      <c r="H20" s="96">
        <f>VLOOKUP($B20,'[13]Div 91 forecast'!$D$281:$AF$360,22,FALSE)</f>
        <v>1337.585994095359</v>
      </c>
      <c r="I20" s="96">
        <f>VLOOKUP($B20,'[13]Div 91 forecast'!$D$281:$AF$360,23,FALSE)</f>
        <v>1358.7285887183798</v>
      </c>
      <c r="J20" s="96">
        <f>VLOOKUP($B20,'[13]Div 91 forecast'!$D$281:$AF$360,24,FALSE)</f>
        <v>1377.1888758548896</v>
      </c>
      <c r="K20" s="96">
        <f>VLOOKUP($B20,'[13]Div 91 forecast'!$D$281:$AF$360,25,FALSE)</f>
        <v>1399.9220049456953</v>
      </c>
      <c r="L20" s="96">
        <f>VLOOKUP($B20,'[13]Div 91 forecast'!$D$281:$AF$360,26,FALSE)</f>
        <v>1385.4981702717923</v>
      </c>
      <c r="M20" s="96">
        <f>VLOOKUP($B20,'[13]Div 91 forecast'!$D$281:$AF$360,27,FALSE)</f>
        <v>1410.8692838194174</v>
      </c>
      <c r="N20" s="96">
        <f>VLOOKUP($B20,'[13]Div 91 forecast'!$D$281:$AF$360,28,FALSE)</f>
        <v>1357.070296055779</v>
      </c>
      <c r="O20" s="96">
        <f>VLOOKUP($B20,'[13]Div 91 forecast'!$D$281:$AF$360,29,FALSE)</f>
        <v>1364.2536836264917</v>
      </c>
      <c r="P20" s="81">
        <f t="shared" si="0"/>
        <v>16438.637842717872</v>
      </c>
      <c r="Q20" s="81"/>
      <c r="R20" s="706"/>
    </row>
    <row r="21" spans="1:18">
      <c r="A21" s="854">
        <f t="shared" si="1"/>
        <v>10</v>
      </c>
      <c r="B21" s="364">
        <v>8500</v>
      </c>
      <c r="C21" s="196" t="s">
        <v>916</v>
      </c>
      <c r="D21" s="96">
        <f>VLOOKUP($B21,'[13]Div 91 forecast'!$D$281:$AF$360,18,FALSE)</f>
        <v>8318.3193290533382</v>
      </c>
      <c r="E21" s="96">
        <f>VLOOKUP($B21,'[13]Div 91 forecast'!$D$281:$AF$360,19,FALSE)</f>
        <v>6960.8831488267606</v>
      </c>
      <c r="F21" s="96">
        <f>VLOOKUP($B21,'[13]Div 91 forecast'!$D$281:$AF$360,20,FALSE)</f>
        <v>6690.2217428700806</v>
      </c>
      <c r="G21" s="96">
        <f>VLOOKUP($B21,'[13]Div 91 forecast'!$D$281:$AF$360,21,FALSE)</f>
        <v>6736.6597645958045</v>
      </c>
      <c r="H21" s="96">
        <f>VLOOKUP($B21,'[13]Div 91 forecast'!$D$281:$AF$360,22,FALSE)</f>
        <v>6762.1472282883724</v>
      </c>
      <c r="I21" s="96">
        <f>VLOOKUP($B21,'[13]Div 91 forecast'!$D$281:$AF$360,23,FALSE)</f>
        <v>8625.49180109806</v>
      </c>
      <c r="J21" s="96">
        <f>VLOOKUP($B21,'[13]Div 91 forecast'!$D$281:$AF$360,24,FALSE)</f>
        <v>6696.4044167520033</v>
      </c>
      <c r="K21" s="96">
        <f>VLOOKUP($B21,'[13]Div 91 forecast'!$D$281:$AF$360,25,FALSE)</f>
        <v>6860.1139119980571</v>
      </c>
      <c r="L21" s="96">
        <f>VLOOKUP($B21,'[13]Div 91 forecast'!$D$281:$AF$360,26,FALSE)</f>
        <v>6987.1158933009101</v>
      </c>
      <c r="M21" s="96">
        <f>VLOOKUP($B21,'[13]Div 91 forecast'!$D$281:$AF$360,27,FALSE)</f>
        <v>7361.7888327476376</v>
      </c>
      <c r="N21" s="96">
        <f>VLOOKUP($B21,'[13]Div 91 forecast'!$D$281:$AF$360,28,FALSE)</f>
        <v>7086.3649409126756</v>
      </c>
      <c r="O21" s="96">
        <f>VLOOKUP($B21,'[13]Div 91 forecast'!$D$281:$AF$360,29,FALSE)</f>
        <v>7339.0703562190738</v>
      </c>
      <c r="P21" s="81">
        <f t="shared" si="0"/>
        <v>86424.58136666278</v>
      </c>
      <c r="Q21" s="81"/>
      <c r="R21" s="706"/>
    </row>
    <row r="22" spans="1:18">
      <c r="A22" s="854">
        <f t="shared" si="1"/>
        <v>11</v>
      </c>
      <c r="B22" s="706">
        <v>8560</v>
      </c>
      <c r="C22" s="81" t="s">
        <v>917</v>
      </c>
      <c r="D22" s="96">
        <f>VLOOKUP($B22,'[13]Div 91 forecast'!$D$281:$AF$360,18,FALSE)</f>
        <v>74.620568826680255</v>
      </c>
      <c r="E22" s="96">
        <f>VLOOKUP($B22,'[13]Div 91 forecast'!$D$281:$AF$360,19,FALSE)</f>
        <v>72.977126069074529</v>
      </c>
      <c r="F22" s="96">
        <f>VLOOKUP($B22,'[13]Div 91 forecast'!$D$281:$AF$360,20,FALSE)</f>
        <v>77.25005234639994</v>
      </c>
      <c r="G22" s="96">
        <f>VLOOKUP($B22,'[13]Div 91 forecast'!$D$281:$AF$360,21,FALSE)</f>
        <v>80.161700345523485</v>
      </c>
      <c r="H22" s="96">
        <f>VLOOKUP($B22,'[13]Div 91 forecast'!$D$281:$AF$360,22,FALSE)</f>
        <v>80.663095239926136</v>
      </c>
      <c r="I22" s="96">
        <f>VLOOKUP($B22,'[13]Div 91 forecast'!$D$281:$AF$360,23,FALSE)</f>
        <v>75.376423215234894</v>
      </c>
      <c r="J22" s="96">
        <f>VLOOKUP($B22,'[13]Div 91 forecast'!$D$281:$AF$360,24,FALSE)</f>
        <v>78.863754640246754</v>
      </c>
      <c r="K22" s="96">
        <f>VLOOKUP($B22,'[13]Div 91 forecast'!$D$281:$AF$360,25,FALSE)</f>
        <v>84.160059462032748</v>
      </c>
      <c r="L22" s="96">
        <f>VLOOKUP($B22,'[13]Div 91 forecast'!$D$281:$AF$360,26,FALSE)</f>
        <v>65.919388769020557</v>
      </c>
      <c r="M22" s="96">
        <f>VLOOKUP($B22,'[13]Div 91 forecast'!$D$281:$AF$360,27,FALSE)</f>
        <v>89.901724253433798</v>
      </c>
      <c r="N22" s="96">
        <f>VLOOKUP($B22,'[13]Div 91 forecast'!$D$281:$AF$360,28,FALSE)</f>
        <v>58.524034990340432</v>
      </c>
      <c r="O22" s="96">
        <f>VLOOKUP($B22,'[13]Div 91 forecast'!$D$281:$AF$360,29,FALSE)</f>
        <v>92.00585076517433</v>
      </c>
      <c r="P22" s="81">
        <f t="shared" si="0"/>
        <v>930.42377892308787</v>
      </c>
      <c r="Q22" s="81"/>
      <c r="R22" s="706"/>
    </row>
    <row r="23" spans="1:18">
      <c r="A23" s="854">
        <f t="shared" si="1"/>
        <v>12</v>
      </c>
      <c r="B23" s="706">
        <v>8570</v>
      </c>
      <c r="C23" s="81" t="s">
        <v>918</v>
      </c>
      <c r="D23" s="96">
        <f>VLOOKUP($B23,'[13]Div 91 forecast'!$D$281:$AF$360,18,FALSE)</f>
        <v>80.071558745974656</v>
      </c>
      <c r="E23" s="96">
        <f>VLOOKUP($B23,'[13]Div 91 forecast'!$D$281:$AF$360,19,FALSE)</f>
        <v>79.636069693094143</v>
      </c>
      <c r="F23" s="96">
        <f>VLOOKUP($B23,'[13]Div 91 forecast'!$D$281:$AF$360,20,FALSE)</f>
        <v>79.708425091288206</v>
      </c>
      <c r="G23" s="96">
        <f>VLOOKUP($B23,'[13]Div 91 forecast'!$D$281:$AF$360,21,FALSE)</f>
        <v>82.949343968730673</v>
      </c>
      <c r="H23" s="96">
        <f>VLOOKUP($B23,'[13]Div 91 forecast'!$D$281:$AF$360,22,FALSE)</f>
        <v>79.153700371800383</v>
      </c>
      <c r="I23" s="96">
        <f>VLOOKUP($B23,'[13]Div 91 forecast'!$D$281:$AF$360,23,FALSE)</f>
        <v>80.404845798906081</v>
      </c>
      <c r="J23" s="96">
        <f>VLOOKUP($B23,'[13]Div 91 forecast'!$D$281:$AF$360,24,FALSE)</f>
        <v>81.497261571223532</v>
      </c>
      <c r="K23" s="96">
        <f>VLOOKUP($B23,'[13]Div 91 forecast'!$D$281:$AF$360,25,FALSE)</f>
        <v>82.842529312146681</v>
      </c>
      <c r="L23" s="96">
        <f>VLOOKUP($B23,'[13]Div 91 forecast'!$D$281:$AF$360,26,FALSE)</f>
        <v>81.988976798117363</v>
      </c>
      <c r="M23" s="96">
        <f>VLOOKUP($B23,'[13]Div 91 forecast'!$D$281:$AF$360,27,FALSE)</f>
        <v>83.490351310644186</v>
      </c>
      <c r="N23" s="96">
        <f>VLOOKUP($B23,'[13]Div 91 forecast'!$D$281:$AF$360,28,FALSE)</f>
        <v>80.306713790105363</v>
      </c>
      <c r="O23" s="96">
        <f>VLOOKUP($B23,'[13]Div 91 forecast'!$D$281:$AF$360,29,FALSE)</f>
        <v>80.731801754495493</v>
      </c>
      <c r="P23" s="81">
        <f t="shared" si="0"/>
        <v>972.78157820652677</v>
      </c>
      <c r="Q23" s="81"/>
      <c r="R23" s="706"/>
    </row>
    <row r="24" spans="1:18">
      <c r="A24" s="854">
        <f t="shared" si="1"/>
        <v>13</v>
      </c>
      <c r="B24" s="706">
        <v>8650</v>
      </c>
      <c r="C24" s="658" t="s">
        <v>1428</v>
      </c>
      <c r="D24" s="96">
        <f>VLOOKUP($B24,'[13]Div 91 forecast'!$D$281:$AF$360,18,FALSE)</f>
        <v>5298.0477130803256</v>
      </c>
      <c r="E24" s="96">
        <f>VLOOKUP($B24,'[13]Div 91 forecast'!$D$281:$AF$360,19,FALSE)</f>
        <v>4433.4157482436904</v>
      </c>
      <c r="F24" s="96">
        <f>VLOOKUP($B24,'[13]Div 91 forecast'!$D$281:$AF$360,20,FALSE)</f>
        <v>4257.702537821061</v>
      </c>
      <c r="G24" s="96">
        <f>VLOOKUP($B24,'[13]Div 91 forecast'!$D$281:$AF$360,21,FALSE)</f>
        <v>4288.9345333234214</v>
      </c>
      <c r="H24" s="96">
        <f>VLOOKUP($B24,'[13]Div 91 forecast'!$D$281:$AF$360,22,FALSE)</f>
        <v>4305.7048516894029</v>
      </c>
      <c r="I24" s="96">
        <f>VLOOKUP($B24,'[13]Div 91 forecast'!$D$281:$AF$360,23,FALSE)</f>
        <v>5491.3178316544627</v>
      </c>
      <c r="J24" s="96">
        <f>VLOOKUP($B24,'[13]Div 91 forecast'!$D$281:$AF$360,24,FALSE)</f>
        <v>4264.3130924060515</v>
      </c>
      <c r="K24" s="96">
        <f>VLOOKUP($B24,'[13]Div 91 forecast'!$D$281:$AF$360,25,FALSE)</f>
        <v>4363.3947468683791</v>
      </c>
      <c r="L24" s="96">
        <f>VLOOKUP($B24,'[13]Div 91 forecast'!$D$281:$AF$360,26,FALSE)</f>
        <v>4449.1890820726312</v>
      </c>
      <c r="M24" s="96">
        <f>VLOOKUP($B24,'[13]Div 91 forecast'!$D$281:$AF$360,27,FALSE)</f>
        <v>4687.9531139649853</v>
      </c>
      <c r="N24" s="96">
        <f>VLOOKUP($B24,'[13]Div 91 forecast'!$D$281:$AF$360,28,FALSE)</f>
        <v>4513.4808199829013</v>
      </c>
      <c r="O24" s="96">
        <f>VLOOKUP($B24,'[13]Div 91 forecast'!$D$281:$AF$360,29,FALSE)</f>
        <v>4672.1393571348917</v>
      </c>
      <c r="P24" s="81">
        <f t="shared" si="0"/>
        <v>55025.593428242195</v>
      </c>
      <c r="Q24" s="81"/>
      <c r="R24" s="706"/>
    </row>
    <row r="25" spans="1:18">
      <c r="A25" s="854">
        <f t="shared" si="1"/>
        <v>14</v>
      </c>
      <c r="B25" s="706">
        <v>8700</v>
      </c>
      <c r="C25" s="81" t="s">
        <v>921</v>
      </c>
      <c r="D25" s="96">
        <f>VLOOKUP($B25,'[13]Div 91 forecast'!$D$281:$AF$360,18,FALSE)</f>
        <v>275736.39491261786</v>
      </c>
      <c r="E25" s="96">
        <f>VLOOKUP($B25,'[13]Div 91 forecast'!$D$281:$AF$360,19,FALSE)</f>
        <v>297424.92548677098</v>
      </c>
      <c r="F25" s="96">
        <f>VLOOKUP($B25,'[13]Div 91 forecast'!$D$281:$AF$360,20,FALSE)</f>
        <v>290308.89154495514</v>
      </c>
      <c r="G25" s="96">
        <f>VLOOKUP($B25,'[13]Div 91 forecast'!$D$281:$AF$360,21,FALSE)</f>
        <v>266473.99656340276</v>
      </c>
      <c r="H25" s="96">
        <f>VLOOKUP($B25,'[13]Div 91 forecast'!$D$281:$AF$360,22,FALSE)</f>
        <v>279195.67115997849</v>
      </c>
      <c r="I25" s="96">
        <f>VLOOKUP($B25,'[13]Div 91 forecast'!$D$281:$AF$360,23,FALSE)</f>
        <v>290705.14564415946</v>
      </c>
      <c r="J25" s="96">
        <f>VLOOKUP($B25,'[13]Div 91 forecast'!$D$281:$AF$360,24,FALSE)</f>
        <v>263463.26119267487</v>
      </c>
      <c r="K25" s="96">
        <f>VLOOKUP($B25,'[13]Div 91 forecast'!$D$281:$AF$360,25,FALSE)</f>
        <v>308461.35233482841</v>
      </c>
      <c r="L25" s="96">
        <f>VLOOKUP($B25,'[13]Div 91 forecast'!$D$281:$AF$360,26,FALSE)</f>
        <v>266872.54038288497</v>
      </c>
      <c r="M25" s="96">
        <f>VLOOKUP($B25,'[13]Div 91 forecast'!$D$281:$AF$360,27,FALSE)</f>
        <v>303089.90929767932</v>
      </c>
      <c r="N25" s="96">
        <f>VLOOKUP($B25,'[13]Div 91 forecast'!$D$281:$AF$360,28,FALSE)</f>
        <v>283943.70923870167</v>
      </c>
      <c r="O25" s="96">
        <f>VLOOKUP($B25,'[13]Div 91 forecast'!$D$281:$AF$360,29,FALSE)</f>
        <v>302924.23008182942</v>
      </c>
      <c r="P25" s="81">
        <f t="shared" si="0"/>
        <v>3428600.027840483</v>
      </c>
      <c r="Q25" s="81"/>
      <c r="R25" s="706"/>
    </row>
    <row r="26" spans="1:18">
      <c r="A26" s="854">
        <f t="shared" si="1"/>
        <v>15</v>
      </c>
      <c r="B26" s="706">
        <v>8711</v>
      </c>
      <c r="C26" s="81" t="s">
        <v>190</v>
      </c>
      <c r="D26" s="96">
        <f>VLOOKUP($B26,'[13]Div 91 forecast'!$D$281:$AF$360,18,FALSE)</f>
        <v>7027.3723298555979</v>
      </c>
      <c r="E26" s="96">
        <f>VLOOKUP($B26,'[13]Div 91 forecast'!$D$281:$AF$360,19,FALSE)</f>
        <v>6574.9497540886368</v>
      </c>
      <c r="F26" s="96">
        <f>VLOOKUP($B26,'[13]Div 91 forecast'!$D$281:$AF$360,20,FALSE)</f>
        <v>7988.8037103075239</v>
      </c>
      <c r="G26" s="96">
        <f>VLOOKUP($B26,'[13]Div 91 forecast'!$D$281:$AF$360,21,FALSE)</f>
        <v>8236.8785602089156</v>
      </c>
      <c r="H26" s="96">
        <f>VLOOKUP($B26,'[13]Div 91 forecast'!$D$281:$AF$360,22,FALSE)</f>
        <v>9255.4204016723652</v>
      </c>
      <c r="I26" s="96">
        <f>VLOOKUP($B26,'[13]Div 91 forecast'!$D$281:$AF$360,23,FALSE)</f>
        <v>7205.6420788337955</v>
      </c>
      <c r="J26" s="96">
        <f>VLOOKUP($B26,'[13]Div 91 forecast'!$D$281:$AF$360,24,FALSE)</f>
        <v>8127.9410753636785</v>
      </c>
      <c r="K26" s="96">
        <f>VLOOKUP($B26,'[13]Div 91 forecast'!$D$281:$AF$360,25,FALSE)</f>
        <v>9598.9980041400049</v>
      </c>
      <c r="L26" s="96">
        <f>VLOOKUP($B26,'[13]Div 91 forecast'!$D$281:$AF$360,26,FALSE)</f>
        <v>3685.4852452222749</v>
      </c>
      <c r="M26" s="96">
        <f>VLOOKUP($B26,'[13]Div 91 forecast'!$D$281:$AF$360,27,FALSE)</f>
        <v>11375.430406451404</v>
      </c>
      <c r="N26" s="96">
        <f>VLOOKUP($B26,'[13]Div 91 forecast'!$D$281:$AF$360,28,FALSE)</f>
        <v>1587.4467325980484</v>
      </c>
      <c r="O26" s="96">
        <f>VLOOKUP($B26,'[13]Div 91 forecast'!$D$281:$AF$360,29,FALSE)</f>
        <v>12697.929211079232</v>
      </c>
      <c r="P26" s="81">
        <f t="shared" si="0"/>
        <v>93362.297509821467</v>
      </c>
      <c r="Q26" s="81"/>
    </row>
    <row r="27" spans="1:18">
      <c r="A27" s="854">
        <f t="shared" si="1"/>
        <v>16</v>
      </c>
      <c r="B27" s="706">
        <v>8740</v>
      </c>
      <c r="C27" s="81" t="s">
        <v>923</v>
      </c>
      <c r="D27" s="96">
        <f>VLOOKUP($B27,'[13]Div 91 forecast'!$D$281:$AF$360,18,FALSE)</f>
        <v>2675.929590510671</v>
      </c>
      <c r="E27" s="96">
        <f>VLOOKUP($B27,'[13]Div 91 forecast'!$D$281:$AF$360,19,FALSE)</f>
        <v>1924.6730834617138</v>
      </c>
      <c r="F27" s="96">
        <f>VLOOKUP($B27,'[13]Div 91 forecast'!$D$281:$AF$360,20,FALSE)</f>
        <v>2714.1373306586083</v>
      </c>
      <c r="G27" s="96">
        <f>VLOOKUP($B27,'[13]Div 91 forecast'!$D$281:$AF$360,21,FALSE)</f>
        <v>2405.9395027209712</v>
      </c>
      <c r="H27" s="96">
        <f>VLOOKUP($B27,'[13]Div 91 forecast'!$D$281:$AF$360,22,FALSE)</f>
        <v>2285.1064785644153</v>
      </c>
      <c r="I27" s="96">
        <f>VLOOKUP($B27,'[13]Div 91 forecast'!$D$281:$AF$360,23,FALSE)</f>
        <v>3601.1133828692673</v>
      </c>
      <c r="J27" s="96">
        <f>VLOOKUP($B27,'[13]Div 91 forecast'!$D$281:$AF$360,24,FALSE)</f>
        <v>1748.759481340657</v>
      </c>
      <c r="K27" s="96">
        <f>VLOOKUP($B27,'[13]Div 91 forecast'!$D$281:$AF$360,25,FALSE)</f>
        <v>2213.4161061606551</v>
      </c>
      <c r="L27" s="96">
        <f>VLOOKUP($B27,'[13]Div 91 forecast'!$D$281:$AF$360,26,FALSE)</f>
        <v>1844.6534552949045</v>
      </c>
      <c r="M27" s="96">
        <f>VLOOKUP($B27,'[13]Div 91 forecast'!$D$281:$AF$360,27,FALSE)</f>
        <v>2751.948727615702</v>
      </c>
      <c r="N27" s="96">
        <f>VLOOKUP($B27,'[13]Div 91 forecast'!$D$281:$AF$360,28,FALSE)</f>
        <v>1532.5645370854688</v>
      </c>
      <c r="O27" s="96">
        <f>VLOOKUP($B27,'[13]Div 91 forecast'!$D$281:$AF$360,29,FALSE)</f>
        <v>2985.8063713916372</v>
      </c>
      <c r="P27" s="81">
        <f t="shared" si="0"/>
        <v>28684.048047674671</v>
      </c>
      <c r="Q27" s="81"/>
      <c r="R27" s="706"/>
    </row>
    <row r="28" spans="1:18">
      <c r="A28" s="854">
        <f t="shared" si="1"/>
        <v>17</v>
      </c>
      <c r="B28" s="706">
        <v>8750</v>
      </c>
      <c r="C28" s="81" t="s">
        <v>1236</v>
      </c>
      <c r="D28" s="96">
        <f>VLOOKUP($B28,'[13]Div 91 forecast'!$D$281:$AF$360,18,FALSE)</f>
        <v>17297.994164726439</v>
      </c>
      <c r="E28" s="96">
        <f>VLOOKUP($B28,'[13]Div 91 forecast'!$D$281:$AF$360,19,FALSE)</f>
        <v>16559.567156563859</v>
      </c>
      <c r="F28" s="96">
        <f>VLOOKUP($B28,'[13]Div 91 forecast'!$D$281:$AF$360,20,FALSE)</f>
        <v>18390.692609707501</v>
      </c>
      <c r="G28" s="96">
        <f>VLOOKUP($B28,'[13]Div 91 forecast'!$D$281:$AF$360,21,FALSE)</f>
        <v>17505.846634703768</v>
      </c>
      <c r="H28" s="96">
        <f>VLOOKUP($B28,'[13]Div 91 forecast'!$D$281:$AF$360,22,FALSE)</f>
        <v>18749.835368179814</v>
      </c>
      <c r="I28" s="96">
        <f>VLOOKUP($B28,'[13]Div 91 forecast'!$D$281:$AF$360,23,FALSE)</f>
        <v>16579.511711918367</v>
      </c>
      <c r="J28" s="96">
        <f>VLOOKUP($B28,'[13]Div 91 forecast'!$D$281:$AF$360,24,FALSE)</f>
        <v>17611.488415407897</v>
      </c>
      <c r="K28" s="96">
        <f>VLOOKUP($B28,'[13]Div 91 forecast'!$D$281:$AF$360,25,FALSE)</f>
        <v>18911.021927623256</v>
      </c>
      <c r="L28" s="96">
        <f>VLOOKUP($B28,'[13]Div 91 forecast'!$D$281:$AF$360,26,FALSE)</f>
        <v>15453.594879980981</v>
      </c>
      <c r="M28" s="96">
        <f>VLOOKUP($B28,'[13]Div 91 forecast'!$D$281:$AF$360,27,FALSE)</f>
        <v>18709.238054622059</v>
      </c>
      <c r="N28" s="96">
        <f>VLOOKUP($B28,'[13]Div 91 forecast'!$D$281:$AF$360,28,FALSE)</f>
        <v>13381.381603840555</v>
      </c>
      <c r="O28" s="96">
        <f>VLOOKUP($B28,'[13]Div 91 forecast'!$D$281:$AF$360,29,FALSE)</f>
        <v>23177.393027027058</v>
      </c>
      <c r="P28" s="81">
        <f t="shared" si="0"/>
        <v>212327.56555430157</v>
      </c>
      <c r="Q28" s="81"/>
      <c r="R28" s="706"/>
    </row>
    <row r="29" spans="1:18">
      <c r="A29" s="854">
        <f t="shared" si="1"/>
        <v>18</v>
      </c>
      <c r="B29" s="364">
        <v>8760</v>
      </c>
      <c r="C29" s="80" t="s">
        <v>925</v>
      </c>
      <c r="D29" s="96">
        <f>VLOOKUP($B29,'[13]Div 91 forecast'!$D$281:$AF$360,18,FALSE)</f>
        <v>-94.104428356360287</v>
      </c>
      <c r="E29" s="96">
        <f>VLOOKUP($B29,'[13]Div 91 forecast'!$D$281:$AF$360,19,FALSE)</f>
        <v>-88.045980636551377</v>
      </c>
      <c r="F29" s="96">
        <f>VLOOKUP($B29,'[13]Div 91 forecast'!$D$281:$AF$360,20,FALSE)</f>
        <v>-106.97907711759278</v>
      </c>
      <c r="G29" s="96">
        <f>VLOOKUP($B29,'[13]Div 91 forecast'!$D$281:$AF$360,21,FALSE)</f>
        <v>-110.30107869140721</v>
      </c>
      <c r="H29" s="96">
        <f>VLOOKUP($B29,'[13]Div 91 forecast'!$D$281:$AF$360,22,FALSE)</f>
        <v>-123.94050083227478</v>
      </c>
      <c r="I29" s="96">
        <f>VLOOKUP($B29,'[13]Div 91 forecast'!$D$281:$AF$360,23,FALSE)</f>
        <v>-96.491661027888583</v>
      </c>
      <c r="J29" s="96">
        <f>VLOOKUP($B29,'[13]Div 91 forecast'!$D$281:$AF$360,24,FALSE)</f>
        <v>-108.84228310512705</v>
      </c>
      <c r="K29" s="96">
        <f>VLOOKUP($B29,'[13]Div 91 forecast'!$D$281:$AF$360,25,FALSE)</f>
        <v>-128.54139179957184</v>
      </c>
      <c r="L29" s="96">
        <f>VLOOKUP($B29,'[13]Div 91 forecast'!$D$281:$AF$360,26,FALSE)</f>
        <v>-49.352797310025153</v>
      </c>
      <c r="M29" s="96">
        <f>VLOOKUP($B29,'[13]Div 91 forecast'!$D$281:$AF$360,27,FALSE)</f>
        <v>-152.32982193910101</v>
      </c>
      <c r="N29" s="96">
        <f>VLOOKUP($B29,'[13]Div 91 forecast'!$D$281:$AF$360,28,FALSE)</f>
        <v>-21.257699223171933</v>
      </c>
      <c r="O29" s="96">
        <f>VLOOKUP($B29,'[13]Div 91 forecast'!$D$281:$AF$360,29,FALSE)</f>
        <v>-170.0395700739389</v>
      </c>
      <c r="P29" s="81">
        <f t="shared" si="0"/>
        <v>-1250.2262901130109</v>
      </c>
      <c r="Q29" s="81"/>
      <c r="R29" s="706"/>
    </row>
    <row r="30" spans="1:18">
      <c r="A30" s="854">
        <f t="shared" si="1"/>
        <v>19</v>
      </c>
      <c r="B30" s="706">
        <v>8770</v>
      </c>
      <c r="C30" s="81" t="s">
        <v>926</v>
      </c>
      <c r="D30" s="96">
        <f>VLOOKUP($B30,'[13]Div 91 forecast'!$D$281:$AF$360,18,FALSE)</f>
        <v>55.283578183448789</v>
      </c>
      <c r="E30" s="96">
        <f>VLOOKUP($B30,'[13]Div 91 forecast'!$D$281:$AF$360,19,FALSE)</f>
        <v>51.72441870457655</v>
      </c>
      <c r="F30" s="96">
        <f>VLOOKUP($B30,'[13]Div 91 forecast'!$D$281:$AF$360,20,FALSE)</f>
        <v>62.847054884892806</v>
      </c>
      <c r="G30" s="96">
        <f>VLOOKUP($B30,'[13]Div 91 forecast'!$D$281:$AF$360,21,FALSE)</f>
        <v>64.798632902412294</v>
      </c>
      <c r="H30" s="96">
        <f>VLOOKUP($B30,'[13]Div 91 forecast'!$D$281:$AF$360,22,FALSE)</f>
        <v>72.811391424745437</v>
      </c>
      <c r="I30" s="96">
        <f>VLOOKUP($B30,'[13]Div 91 forecast'!$D$281:$AF$360,23,FALSE)</f>
        <v>56.686007020684244</v>
      </c>
      <c r="J30" s="96">
        <f>VLOOKUP($B30,'[13]Div 91 forecast'!$D$281:$AF$360,24,FALSE)</f>
        <v>63.941633489564374</v>
      </c>
      <c r="K30" s="96">
        <f>VLOOKUP($B30,'[13]Div 91 forecast'!$D$281:$AF$360,25,FALSE)</f>
        <v>75.514279269097329</v>
      </c>
      <c r="L30" s="96">
        <f>VLOOKUP($B30,'[13]Div 91 forecast'!$D$281:$AF$360,26,FALSE)</f>
        <v>28.993313878158961</v>
      </c>
      <c r="M30" s="96">
        <f>VLOOKUP($B30,'[13]Div 91 forecast'!$D$281:$AF$360,27,FALSE)</f>
        <v>89.489280875823368</v>
      </c>
      <c r="N30" s="96">
        <f>VLOOKUP($B30,'[13]Div 91 forecast'!$D$281:$AF$360,28,FALSE)</f>
        <v>12.4882717798799</v>
      </c>
      <c r="O30" s="96">
        <f>VLOOKUP($B30,'[13]Div 91 forecast'!$D$281:$AF$360,29,FALSE)</f>
        <v>99.893235957660124</v>
      </c>
      <c r="P30" s="81">
        <f t="shared" si="0"/>
        <v>734.47109837094422</v>
      </c>
      <c r="Q30" s="81"/>
    </row>
    <row r="31" spans="1:18">
      <c r="A31" s="854">
        <f t="shared" si="1"/>
        <v>20</v>
      </c>
      <c r="B31" s="706">
        <v>8800</v>
      </c>
      <c r="C31" s="81" t="s">
        <v>929</v>
      </c>
      <c r="D31" s="96">
        <f>VLOOKUP($B31,'[13]Div 91 forecast'!$D$281:$AF$360,18,FALSE)</f>
        <v>45.81368014339472</v>
      </c>
      <c r="E31" s="96">
        <f>VLOOKUP($B31,'[13]Div 91 forecast'!$D$281:$AF$360,19,FALSE)</f>
        <v>40.103198435586464</v>
      </c>
      <c r="F31" s="96">
        <f>VLOOKUP($B31,'[13]Div 91 forecast'!$D$281:$AF$360,20,FALSE)</f>
        <v>59.358833228563022</v>
      </c>
      <c r="G31" s="96">
        <f>VLOOKUP($B31,'[13]Div 91 forecast'!$D$281:$AF$360,21,FALSE)</f>
        <v>48.649024452875622</v>
      </c>
      <c r="H31" s="96">
        <f>VLOOKUP($B31,'[13]Div 91 forecast'!$D$281:$AF$360,22,FALSE)</f>
        <v>45.111800112604683</v>
      </c>
      <c r="I31" s="96">
        <f>VLOOKUP($B31,'[13]Div 91 forecast'!$D$281:$AF$360,23,FALSE)</f>
        <v>62.425843899247646</v>
      </c>
      <c r="J31" s="96">
        <f>VLOOKUP($B31,'[13]Div 91 forecast'!$D$281:$AF$360,24,FALSE)</f>
        <v>42.221944945934013</v>
      </c>
      <c r="K31" s="96">
        <f>VLOOKUP($B31,'[13]Div 91 forecast'!$D$281:$AF$360,25,FALSE)</f>
        <v>75.016584643669106</v>
      </c>
      <c r="L31" s="96">
        <f>VLOOKUP($B31,'[13]Div 91 forecast'!$D$281:$AF$360,26,FALSE)</f>
        <v>45.726111016051902</v>
      </c>
      <c r="M31" s="96">
        <f>VLOOKUP($B31,'[13]Div 91 forecast'!$D$281:$AF$360,27,FALSE)</f>
        <v>49.003877749065268</v>
      </c>
      <c r="N31" s="96">
        <f>VLOOKUP($B31,'[13]Div 91 forecast'!$D$281:$AF$360,28,FALSE)</f>
        <v>39.21016432684879</v>
      </c>
      <c r="O31" s="96">
        <f>VLOOKUP($B31,'[13]Div 91 forecast'!$D$281:$AF$360,29,FALSE)</f>
        <v>54.650791018153157</v>
      </c>
      <c r="P31" s="81">
        <f t="shared" si="0"/>
        <v>607.29185397199444</v>
      </c>
      <c r="Q31" s="81"/>
    </row>
    <row r="32" spans="1:18">
      <c r="A32" s="854">
        <f t="shared" si="1"/>
        <v>21</v>
      </c>
      <c r="B32" s="706">
        <v>8810</v>
      </c>
      <c r="C32" s="81" t="s">
        <v>930</v>
      </c>
      <c r="D32" s="96">
        <f>VLOOKUP($B32,'[13]Div 91 forecast'!$D$281:$AF$360,18,FALSE)</f>
        <v>22636.574905593472</v>
      </c>
      <c r="E32" s="96">
        <f>VLOOKUP($B32,'[13]Div 91 forecast'!$D$281:$AF$360,19,FALSE)</f>
        <v>22513.460272626606</v>
      </c>
      <c r="F32" s="96">
        <f>VLOOKUP($B32,'[13]Div 91 forecast'!$D$281:$AF$360,20,FALSE)</f>
        <v>22533.915455674061</v>
      </c>
      <c r="G32" s="96">
        <f>VLOOKUP($B32,'[13]Div 91 forecast'!$D$281:$AF$360,21,FALSE)</f>
        <v>23450.137196341326</v>
      </c>
      <c r="H32" s="96">
        <f>VLOOKUP($B32,'[13]Div 91 forecast'!$D$281:$AF$360,22,FALSE)</f>
        <v>22377.092385643569</v>
      </c>
      <c r="I32" s="96">
        <f>VLOOKUP($B32,'[13]Div 91 forecast'!$D$281:$AF$360,23,FALSE)</f>
        <v>22730.796592505816</v>
      </c>
      <c r="J32" s="96">
        <f>VLOOKUP($B32,'[13]Div 91 forecast'!$D$281:$AF$360,24,FALSE)</f>
        <v>23039.627241557715</v>
      </c>
      <c r="K32" s="96">
        <f>VLOOKUP($B32,'[13]Div 91 forecast'!$D$281:$AF$360,25,FALSE)</f>
        <v>23419.940232367524</v>
      </c>
      <c r="L32" s="96">
        <f>VLOOKUP($B32,'[13]Div 91 forecast'!$D$281:$AF$360,26,FALSE)</f>
        <v>23178.637256351038</v>
      </c>
      <c r="M32" s="96">
        <f>VLOOKUP($B32,'[13]Div 91 forecast'!$D$281:$AF$360,27,FALSE)</f>
        <v>23603.082304585743</v>
      </c>
      <c r="N32" s="96">
        <f>VLOOKUP($B32,'[13]Div 91 forecast'!$D$281:$AF$360,28,FALSE)</f>
        <v>22703.054250497698</v>
      </c>
      <c r="O32" s="96">
        <f>VLOOKUP($B32,'[13]Div 91 forecast'!$D$281:$AF$360,29,FALSE)</f>
        <v>22823.228450901508</v>
      </c>
      <c r="P32" s="81">
        <f t="shared" si="0"/>
        <v>275009.54654464609</v>
      </c>
      <c r="Q32" s="81"/>
      <c r="R32" s="706"/>
    </row>
    <row r="33" spans="1:18">
      <c r="A33" s="854">
        <f t="shared" si="1"/>
        <v>22</v>
      </c>
      <c r="B33" s="364">
        <v>9010</v>
      </c>
      <c r="C33" s="80" t="s">
        <v>182</v>
      </c>
      <c r="D33" s="96">
        <f>VLOOKUP($B33,'[13]Div 91 forecast'!$D$281:$AF$360,18,FALSE)</f>
        <v>1805.6911196453659</v>
      </c>
      <c r="E33" s="96">
        <f>VLOOKUP($B33,'[13]Div 91 forecast'!$D$281:$AF$360,19,FALSE)</f>
        <v>1951.6249642302364</v>
      </c>
      <c r="F33" s="96">
        <f>VLOOKUP($B33,'[13]Div 91 forecast'!$D$281:$AF$360,20,FALSE)</f>
        <v>1832.8794173703373</v>
      </c>
      <c r="G33" s="96">
        <f>VLOOKUP($B33,'[13]Div 91 forecast'!$D$281:$AF$360,21,FALSE)</f>
        <v>1891.2930107854086</v>
      </c>
      <c r="H33" s="96">
        <f>VLOOKUP($B33,'[13]Div 91 forecast'!$D$281:$AF$360,22,FALSE)</f>
        <v>1964.8625946454281</v>
      </c>
      <c r="I33" s="96">
        <f>VLOOKUP($B33,'[13]Div 91 forecast'!$D$281:$AF$360,23,FALSE)</f>
        <v>1761.3954513065096</v>
      </c>
      <c r="J33" s="96">
        <f>VLOOKUP($B33,'[13]Div 91 forecast'!$D$281:$AF$360,24,FALSE)</f>
        <v>1930.3869147595242</v>
      </c>
      <c r="K33" s="96">
        <f>VLOOKUP($B33,'[13]Div 91 forecast'!$D$281:$AF$360,25,FALSE)</f>
        <v>2003.8298717070131</v>
      </c>
      <c r="L33" s="96">
        <f>VLOOKUP($B33,'[13]Div 91 forecast'!$D$281:$AF$360,26,FALSE)</f>
        <v>1854.6714128168976</v>
      </c>
      <c r="M33" s="96">
        <f>VLOOKUP($B33,'[13]Div 91 forecast'!$D$281:$AF$360,27,FALSE)</f>
        <v>2023.5391216834253</v>
      </c>
      <c r="N33" s="96">
        <f>VLOOKUP($B33,'[13]Div 91 forecast'!$D$281:$AF$360,28,FALSE)</f>
        <v>1757.9104520455489</v>
      </c>
      <c r="O33" s="96">
        <f>VLOOKUP($B33,'[13]Div 91 forecast'!$D$281:$AF$360,29,FALSE)</f>
        <v>1958.7043873072273</v>
      </c>
      <c r="P33" s="81">
        <f t="shared" si="0"/>
        <v>22736.788718302923</v>
      </c>
      <c r="Q33" s="81"/>
      <c r="R33" s="706"/>
    </row>
    <row r="34" spans="1:18">
      <c r="A34" s="854">
        <f t="shared" si="1"/>
        <v>23</v>
      </c>
      <c r="B34" s="364">
        <v>9020</v>
      </c>
      <c r="C34" s="80" t="s">
        <v>940</v>
      </c>
      <c r="D34" s="96">
        <f>VLOOKUP($B34,'[13]Div 91 forecast'!$D$281:$AF$360,18,FALSE)</f>
        <v>-89.418526803043477</v>
      </c>
      <c r="E34" s="96">
        <f>VLOOKUP($B34,'[13]Div 91 forecast'!$D$281:$AF$360,19,FALSE)</f>
        <v>-74.825582248838657</v>
      </c>
      <c r="F34" s="96">
        <f>VLOOKUP($B34,'[13]Div 91 forecast'!$D$281:$AF$360,20,FALSE)</f>
        <v>-71.859958444237321</v>
      </c>
      <c r="G34" s="96">
        <f>VLOOKUP($B34,'[13]Div 91 forecast'!$D$281:$AF$360,21,FALSE)</f>
        <v>-72.387080731196988</v>
      </c>
      <c r="H34" s="96">
        <f>VLOOKUP($B34,'[13]Div 91 forecast'!$D$281:$AF$360,22,FALSE)</f>
        <v>-72.670124079146035</v>
      </c>
      <c r="I34" s="96">
        <f>VLOOKUP($B34,'[13]Div 91 forecast'!$D$281:$AF$360,23,FALSE)</f>
        <v>-92.680469732564774</v>
      </c>
      <c r="J34" s="96">
        <f>VLOOKUP($B34,'[13]Div 91 forecast'!$D$281:$AF$360,24,FALSE)</f>
        <v>-71.971528985756137</v>
      </c>
      <c r="K34" s="96">
        <f>VLOOKUP($B34,'[13]Div 91 forecast'!$D$281:$AF$360,25,FALSE)</f>
        <v>-73.643793196090783</v>
      </c>
      <c r="L34" s="96">
        <f>VLOOKUP($B34,'[13]Div 91 forecast'!$D$281:$AF$360,26,FALSE)</f>
        <v>-75.091798853546521</v>
      </c>
      <c r="M34" s="96">
        <f>VLOOKUP($B34,'[13]Div 91 forecast'!$D$281:$AF$360,27,FALSE)</f>
        <v>-79.121571543712832</v>
      </c>
      <c r="N34" s="96">
        <f>VLOOKUP($B34,'[13]Div 91 forecast'!$D$281:$AF$360,28,FALSE)</f>
        <v>-76.176891476504665</v>
      </c>
      <c r="O34" s="96">
        <f>VLOOKUP($B34,'[13]Div 91 forecast'!$D$281:$AF$360,29,FALSE)</f>
        <v>-78.85467269425979</v>
      </c>
      <c r="P34" s="81">
        <f t="shared" si="0"/>
        <v>-928.70199878889787</v>
      </c>
      <c r="Q34" s="81"/>
      <c r="R34" s="706"/>
    </row>
    <row r="35" spans="1:18">
      <c r="A35" s="854">
        <f t="shared" si="1"/>
        <v>24</v>
      </c>
      <c r="B35" s="706">
        <v>9030</v>
      </c>
      <c r="C35" s="81" t="s">
        <v>945</v>
      </c>
      <c r="D35" s="96">
        <f>VLOOKUP($B35,'[13]Div 91 forecast'!$D$281:$AF$360,18,FALSE)</f>
        <v>362213.71910749667</v>
      </c>
      <c r="E35" s="96">
        <f>VLOOKUP($B35,'[13]Div 91 forecast'!$D$281:$AF$360,19,FALSE)</f>
        <v>318244.17642645363</v>
      </c>
      <c r="F35" s="96">
        <f>VLOOKUP($B35,'[13]Div 91 forecast'!$D$281:$AF$360,20,FALSE)</f>
        <v>302626.57183763711</v>
      </c>
      <c r="G35" s="96">
        <f>VLOOKUP($B35,'[13]Div 91 forecast'!$D$281:$AF$360,21,FALSE)</f>
        <v>307187.27779892366</v>
      </c>
      <c r="H35" s="96">
        <f>VLOOKUP($B35,'[13]Div 91 forecast'!$D$281:$AF$360,22,FALSE)</f>
        <v>310921.75353640475</v>
      </c>
      <c r="I35" s="96">
        <f>VLOOKUP($B35,'[13]Div 91 forecast'!$D$281:$AF$360,23,FALSE)</f>
        <v>370510.27305567672</v>
      </c>
      <c r="J35" s="96">
        <f>VLOOKUP($B35,'[13]Div 91 forecast'!$D$281:$AF$360,24,FALSE)</f>
        <v>307622.36908867885</v>
      </c>
      <c r="K35" s="96">
        <f>VLOOKUP($B35,'[13]Div 91 forecast'!$D$281:$AF$360,25,FALSE)</f>
        <v>313295.57009283517</v>
      </c>
      <c r="L35" s="96">
        <f>VLOOKUP($B35,'[13]Div 91 forecast'!$D$281:$AF$360,26,FALSE)</f>
        <v>315354.77259455703</v>
      </c>
      <c r="M35" s="96">
        <f>VLOOKUP($B35,'[13]Div 91 forecast'!$D$281:$AF$360,27,FALSE)</f>
        <v>334764.76170207036</v>
      </c>
      <c r="N35" s="96">
        <f>VLOOKUP($B35,'[13]Div 91 forecast'!$D$281:$AF$360,28,FALSE)</f>
        <v>316176.10992187692</v>
      </c>
      <c r="O35" s="96">
        <f>VLOOKUP($B35,'[13]Div 91 forecast'!$D$281:$AF$360,29,FALSE)</f>
        <v>330982.0167252089</v>
      </c>
      <c r="P35" s="81">
        <f t="shared" si="0"/>
        <v>3889899.3718878198</v>
      </c>
      <c r="Q35" s="81"/>
      <c r="R35" s="706"/>
    </row>
    <row r="36" spans="1:18">
      <c r="A36" s="854">
        <f t="shared" si="1"/>
        <v>25</v>
      </c>
      <c r="B36" s="706">
        <v>9100</v>
      </c>
      <c r="C36" s="81" t="s">
        <v>948</v>
      </c>
      <c r="D36" s="96">
        <f>VLOOKUP($B36,'[13]Div 91 forecast'!$D$281:$AF$360,18,FALSE)</f>
        <v>129.95579600306419</v>
      </c>
      <c r="E36" s="96">
        <f>VLOOKUP($B36,'[13]Div 91 forecast'!$D$281:$AF$360,19,FALSE)</f>
        <v>202.5173264555884</v>
      </c>
      <c r="F36" s="96">
        <f>VLOOKUP($B36,'[13]Div 91 forecast'!$D$281:$AF$360,20,FALSE)</f>
        <v>96.246543732494999</v>
      </c>
      <c r="G36" s="96">
        <f>VLOOKUP($B36,'[13]Div 91 forecast'!$D$281:$AF$360,21,FALSE)</f>
        <v>102.05258633769314</v>
      </c>
      <c r="H36" s="96">
        <f>VLOOKUP($B36,'[13]Div 91 forecast'!$D$281:$AF$360,22,FALSE)</f>
        <v>122.52359139749251</v>
      </c>
      <c r="I36" s="96">
        <f>VLOOKUP($B36,'[13]Div 91 forecast'!$D$281:$AF$360,23,FALSE)</f>
        <v>121.55091465295459</v>
      </c>
      <c r="J36" s="96">
        <f>VLOOKUP($B36,'[13]Div 91 forecast'!$D$281:$AF$360,24,FALSE)</f>
        <v>103.84502342344136</v>
      </c>
      <c r="K36" s="96">
        <f>VLOOKUP($B36,'[13]Div 91 forecast'!$D$281:$AF$360,25,FALSE)</f>
        <v>102.59100089985874</v>
      </c>
      <c r="L36" s="96">
        <f>VLOOKUP($B36,'[13]Div 91 forecast'!$D$281:$AF$360,26,FALSE)</f>
        <v>93.093067977990714</v>
      </c>
      <c r="M36" s="96">
        <f>VLOOKUP($B36,'[13]Div 91 forecast'!$D$281:$AF$360,27,FALSE)</f>
        <v>96.303385641379975</v>
      </c>
      <c r="N36" s="96">
        <f>VLOOKUP($B36,'[13]Div 91 forecast'!$D$281:$AF$360,28,FALSE)</f>
        <v>127.9802479586352</v>
      </c>
      <c r="O36" s="96">
        <f>VLOOKUP($B36,'[13]Div 91 forecast'!$D$281:$AF$360,29,FALSE)</f>
        <v>99.098057264286282</v>
      </c>
      <c r="P36" s="81">
        <f t="shared" si="0"/>
        <v>1397.7575417448802</v>
      </c>
      <c r="Q36" s="81"/>
      <c r="R36" s="706"/>
    </row>
    <row r="37" spans="1:18">
      <c r="A37" s="854">
        <f t="shared" si="1"/>
        <v>26</v>
      </c>
      <c r="B37" s="706">
        <v>9110</v>
      </c>
      <c r="C37" s="81" t="s">
        <v>949</v>
      </c>
      <c r="D37" s="96">
        <f>VLOOKUP($B37,'[13]Div 91 forecast'!$D$281:$AF$360,18,FALSE)</f>
        <v>9719.4268926922996</v>
      </c>
      <c r="E37" s="96">
        <f>VLOOKUP($B37,'[13]Div 91 forecast'!$D$281:$AF$360,19,FALSE)</f>
        <v>9878.9403253874407</v>
      </c>
      <c r="F37" s="96">
        <f>VLOOKUP($B37,'[13]Div 91 forecast'!$D$281:$AF$360,20,FALSE)</f>
        <v>10582.135111526617</v>
      </c>
      <c r="G37" s="96">
        <f>VLOOKUP($B37,'[13]Div 91 forecast'!$D$281:$AF$360,21,FALSE)</f>
        <v>10159.029728322921</v>
      </c>
      <c r="H37" s="96">
        <f>VLOOKUP($B37,'[13]Div 91 forecast'!$D$281:$AF$360,22,FALSE)</f>
        <v>10243.952161814912</v>
      </c>
      <c r="I37" s="96">
        <f>VLOOKUP($B37,'[13]Div 91 forecast'!$D$281:$AF$360,23,FALSE)</f>
        <v>10601.143973816734</v>
      </c>
      <c r="J37" s="96">
        <f>VLOOKUP($B37,'[13]Div 91 forecast'!$D$281:$AF$360,24,FALSE)</f>
        <v>9886.1189447600318</v>
      </c>
      <c r="K37" s="96">
        <f>VLOOKUP($B37,'[13]Div 91 forecast'!$D$281:$AF$360,25,FALSE)</f>
        <v>12285.133421482878</v>
      </c>
      <c r="L37" s="96">
        <f>VLOOKUP($B37,'[13]Div 91 forecast'!$D$281:$AF$360,26,FALSE)</f>
        <v>9808.9413147047053</v>
      </c>
      <c r="M37" s="96">
        <f>VLOOKUP($B37,'[13]Div 91 forecast'!$D$281:$AF$360,27,FALSE)</f>
        <v>10521.738670215535</v>
      </c>
      <c r="N37" s="96">
        <f>VLOOKUP($B37,'[13]Div 91 forecast'!$D$281:$AF$360,28,FALSE)</f>
        <v>9080.8642044271346</v>
      </c>
      <c r="O37" s="96">
        <f>VLOOKUP($B37,'[13]Div 91 forecast'!$D$281:$AF$360,29,FALSE)</f>
        <v>10807.253893755014</v>
      </c>
      <c r="P37" s="81">
        <f t="shared" si="0"/>
        <v>123574.67864290622</v>
      </c>
      <c r="Q37" s="81"/>
      <c r="R37" s="706"/>
    </row>
    <row r="38" spans="1:18">
      <c r="A38" s="854">
        <f t="shared" si="1"/>
        <v>27</v>
      </c>
      <c r="B38" s="706">
        <v>9120</v>
      </c>
      <c r="C38" s="81" t="s">
        <v>950</v>
      </c>
      <c r="D38" s="96">
        <f>VLOOKUP($B38,'[13]Div 91 forecast'!$D$281:$AF$360,18,FALSE)</f>
        <v>84.986240991391455</v>
      </c>
      <c r="E38" s="96">
        <f>VLOOKUP($B38,'[13]Div 91 forecast'!$D$281:$AF$360,19,FALSE)</f>
        <v>132.43877410962966</v>
      </c>
      <c r="F38" s="96">
        <f>VLOOKUP($B38,'[13]Div 91 forecast'!$D$281:$AF$360,20,FALSE)</f>
        <v>62.941647943470343</v>
      </c>
      <c r="G38" s="96">
        <f>VLOOKUP($B38,'[13]Div 91 forecast'!$D$281:$AF$360,21,FALSE)</f>
        <v>66.738583141651276</v>
      </c>
      <c r="H38" s="96">
        <f>VLOOKUP($B38,'[13]Div 91 forecast'!$D$281:$AF$360,22,FALSE)</f>
        <v>80.125856528881215</v>
      </c>
      <c r="I38" s="96">
        <f>VLOOKUP($B38,'[13]Div 91 forecast'!$D$281:$AF$360,23,FALSE)</f>
        <v>79.489762235587264</v>
      </c>
      <c r="J38" s="96">
        <f>VLOOKUP($B38,'[13]Div 91 forecast'!$D$281:$AF$360,24,FALSE)</f>
        <v>67.910770106884542</v>
      </c>
      <c r="K38" s="96">
        <f>VLOOKUP($B38,'[13]Div 91 forecast'!$D$281:$AF$360,25,FALSE)</f>
        <v>67.090686173149791</v>
      </c>
      <c r="L38" s="96">
        <f>VLOOKUP($B38,'[13]Div 91 forecast'!$D$281:$AF$360,26,FALSE)</f>
        <v>60.87939247910851</v>
      </c>
      <c r="M38" s="96">
        <f>VLOOKUP($B38,'[13]Div 91 forecast'!$D$281:$AF$360,27,FALSE)</f>
        <v>62.978820430696658</v>
      </c>
      <c r="N38" s="96">
        <f>VLOOKUP($B38,'[13]Div 91 forecast'!$D$281:$AF$360,28,FALSE)</f>
        <v>83.694306292380759</v>
      </c>
      <c r="O38" s="96">
        <f>VLOOKUP($B38,'[13]Div 91 forecast'!$D$281:$AF$360,29,FALSE)</f>
        <v>64.806431382581536</v>
      </c>
      <c r="P38" s="81">
        <f t="shared" si="0"/>
        <v>914.08127181541306</v>
      </c>
      <c r="Q38" s="81"/>
    </row>
    <row r="39" spans="1:18">
      <c r="A39" s="854">
        <f t="shared" si="1"/>
        <v>28</v>
      </c>
      <c r="B39" s="706">
        <v>9130</v>
      </c>
      <c r="C39" s="81" t="s">
        <v>951</v>
      </c>
      <c r="D39" s="96">
        <f>VLOOKUP($B39,'[13]Div 91 forecast'!$D$281:$AF$360,18,FALSE)</f>
        <v>64.296932298398531</v>
      </c>
      <c r="E39" s="96">
        <f>VLOOKUP($B39,'[13]Div 91 forecast'!$D$281:$AF$360,19,FALSE)</f>
        <v>100.19747659473856</v>
      </c>
      <c r="F39" s="96">
        <f>VLOOKUP($B39,'[13]Div 91 forecast'!$D$281:$AF$360,20,FALSE)</f>
        <v>47.618941952978929</v>
      </c>
      <c r="G39" s="96">
        <f>VLOOKUP($B39,'[13]Div 91 forecast'!$D$281:$AF$360,21,FALSE)</f>
        <v>50.491539711521689</v>
      </c>
      <c r="H39" s="96">
        <f>VLOOKUP($B39,'[13]Div 91 forecast'!$D$281:$AF$360,22,FALSE)</f>
        <v>60.619774595166739</v>
      </c>
      <c r="I39" s="96">
        <f>VLOOKUP($B39,'[13]Div 91 forecast'!$D$281:$AF$360,23,FALSE)</f>
        <v>60.138533029070629</v>
      </c>
      <c r="J39" s="96">
        <f>VLOOKUP($B39,'[13]Div 91 forecast'!$D$281:$AF$360,24,FALSE)</f>
        <v>51.378365920864248</v>
      </c>
      <c r="K39" s="96">
        <f>VLOOKUP($B39,'[13]Div 91 forecast'!$D$281:$AF$360,25,FALSE)</f>
        <v>50.757925711352108</v>
      </c>
      <c r="L39" s="96">
        <f>VLOOKUP($B39,'[13]Div 91 forecast'!$D$281:$AF$360,26,FALSE)</f>
        <v>46.05872822394123</v>
      </c>
      <c r="M39" s="96">
        <f>VLOOKUP($B39,'[13]Div 91 forecast'!$D$281:$AF$360,27,FALSE)</f>
        <v>47.647065056985795</v>
      </c>
      <c r="N39" s="96">
        <f>VLOOKUP($B39,'[13]Div 91 forecast'!$D$281:$AF$360,28,FALSE)</f>
        <v>63.319510107379912</v>
      </c>
      <c r="O39" s="96">
        <f>VLOOKUP($B39,'[13]Div 91 forecast'!$D$281:$AF$360,29,FALSE)</f>
        <v>49.029756846508022</v>
      </c>
      <c r="P39" s="81">
        <f t="shared" si="0"/>
        <v>691.55455004890632</v>
      </c>
      <c r="Q39" s="81"/>
      <c r="R39" s="706"/>
    </row>
    <row r="40" spans="1:18">
      <c r="A40" s="854">
        <f t="shared" si="1"/>
        <v>29</v>
      </c>
      <c r="B40" s="706">
        <v>9200</v>
      </c>
      <c r="C40" s="81" t="s">
        <v>183</v>
      </c>
      <c r="D40" s="96">
        <f>VLOOKUP($B40,'[13]Div 91 forecast'!$D$281:$AF$360,18,FALSE)</f>
        <v>10841.401934126989</v>
      </c>
      <c r="E40" s="96">
        <f>VLOOKUP($B40,'[13]Div 91 forecast'!$D$281:$AF$360,19,FALSE)</f>
        <v>9041.2160061607592</v>
      </c>
      <c r="F40" s="96">
        <f>VLOOKUP($B40,'[13]Div 91 forecast'!$D$281:$AF$360,20,FALSE)</f>
        <v>8689.2180893282748</v>
      </c>
      <c r="G40" s="96">
        <f>VLOOKUP($B40,'[13]Div 91 forecast'!$D$281:$AF$360,21,FALSE)</f>
        <v>8865.1823806848934</v>
      </c>
      <c r="H40" s="96">
        <f>VLOOKUP($B40,'[13]Div 91 forecast'!$D$281:$AF$360,22,FALSE)</f>
        <v>8791.1542297364103</v>
      </c>
      <c r="I40" s="96">
        <f>VLOOKUP($B40,'[13]Div 91 forecast'!$D$281:$AF$360,23,FALSE)</f>
        <v>11357.636835191708</v>
      </c>
      <c r="J40" s="96">
        <f>VLOOKUP($B40,'[13]Div 91 forecast'!$D$281:$AF$360,24,FALSE)</f>
        <v>9231.9994590432507</v>
      </c>
      <c r="K40" s="96">
        <f>VLOOKUP($B40,'[13]Div 91 forecast'!$D$281:$AF$360,25,FALSE)</f>
        <v>8908.3813391689655</v>
      </c>
      <c r="L40" s="96">
        <f>VLOOKUP($B40,'[13]Div 91 forecast'!$D$281:$AF$360,26,FALSE)</f>
        <v>8869.8966534767424</v>
      </c>
      <c r="M40" s="96">
        <f>VLOOKUP($B40,'[13]Div 91 forecast'!$D$281:$AF$360,27,FALSE)</f>
        <v>9563.8415000939422</v>
      </c>
      <c r="N40" s="96">
        <f>VLOOKUP($B40,'[13]Div 91 forecast'!$D$281:$AF$360,28,FALSE)</f>
        <v>9215.157642332204</v>
      </c>
      <c r="O40" s="96">
        <f>VLOOKUP($B40,'[13]Div 91 forecast'!$D$281:$AF$360,29,FALSE)</f>
        <v>9504.7422151406536</v>
      </c>
      <c r="P40" s="81">
        <f t="shared" si="0"/>
        <v>112879.82828448479</v>
      </c>
      <c r="Q40" s="81"/>
      <c r="R40" s="706"/>
    </row>
    <row r="41" spans="1:18">
      <c r="A41" s="854">
        <f t="shared" si="1"/>
        <v>30</v>
      </c>
      <c r="B41" s="706">
        <v>9210</v>
      </c>
      <c r="C41" s="81" t="s">
        <v>952</v>
      </c>
      <c r="D41" s="96">
        <f>VLOOKUP($B41,'[13]Div 91 forecast'!$D$281:$AF$360,18,FALSE)</f>
        <v>296.00803409968876</v>
      </c>
      <c r="E41" s="96">
        <f>VLOOKUP($B41,'[13]Div 91 forecast'!$D$281:$AF$360,19,FALSE)</f>
        <v>315.41737452202017</v>
      </c>
      <c r="F41" s="96">
        <f>VLOOKUP($B41,'[13]Div 91 forecast'!$D$281:$AF$360,20,FALSE)</f>
        <v>333.94444970182894</v>
      </c>
      <c r="G41" s="96">
        <f>VLOOKUP($B41,'[13]Div 91 forecast'!$D$281:$AF$360,21,FALSE)</f>
        <v>289.63380799379831</v>
      </c>
      <c r="H41" s="96">
        <f>VLOOKUP($B41,'[13]Div 91 forecast'!$D$281:$AF$360,22,FALSE)</f>
        <v>287.74261613115681</v>
      </c>
      <c r="I41" s="96">
        <f>VLOOKUP($B41,'[13]Div 91 forecast'!$D$281:$AF$360,23,FALSE)</f>
        <v>366.19198438816989</v>
      </c>
      <c r="J41" s="96">
        <f>VLOOKUP($B41,'[13]Div 91 forecast'!$D$281:$AF$360,24,FALSE)</f>
        <v>261.16839866612747</v>
      </c>
      <c r="K41" s="96">
        <f>VLOOKUP($B41,'[13]Div 91 forecast'!$D$281:$AF$360,25,FALSE)</f>
        <v>411.65701625794969</v>
      </c>
      <c r="L41" s="96">
        <f>VLOOKUP($B41,'[13]Div 91 forecast'!$D$281:$AF$360,26,FALSE)</f>
        <v>270.19209505575674</v>
      </c>
      <c r="M41" s="96">
        <f>VLOOKUP($B41,'[13]Div 91 forecast'!$D$281:$AF$360,27,FALSE)</f>
        <v>285.13209357848677</v>
      </c>
      <c r="N41" s="96">
        <f>VLOOKUP($B41,'[13]Div 91 forecast'!$D$281:$AF$360,28,FALSE)</f>
        <v>263.91915316369517</v>
      </c>
      <c r="O41" s="96">
        <f>VLOOKUP($B41,'[13]Div 91 forecast'!$D$281:$AF$360,29,FALSE)</f>
        <v>315.91400122253521</v>
      </c>
      <c r="P41" s="81">
        <f t="shared" si="0"/>
        <v>3696.9210247812143</v>
      </c>
      <c r="Q41" s="81"/>
      <c r="R41" s="706"/>
    </row>
    <row r="42" spans="1:18">
      <c r="A42" s="854">
        <f t="shared" si="1"/>
        <v>31</v>
      </c>
      <c r="B42" s="706">
        <v>9220</v>
      </c>
      <c r="C42" s="81" t="s">
        <v>953</v>
      </c>
      <c r="D42" s="96">
        <f t="shared" ref="D42:O42" si="2">-(SUM(D12:D41,D43:D48))</f>
        <v>-964767.74610000011</v>
      </c>
      <c r="E42" s="96">
        <f t="shared" si="2"/>
        <v>-1027879.2406999997</v>
      </c>
      <c r="F42" s="96">
        <f t="shared" si="2"/>
        <v>-904057.30799999973</v>
      </c>
      <c r="G42" s="96">
        <f t="shared" si="2"/>
        <v>-1001650.8632</v>
      </c>
      <c r="H42" s="96">
        <f t="shared" si="2"/>
        <v>-857469.34970000002</v>
      </c>
      <c r="I42" s="96">
        <f t="shared" si="2"/>
        <v>-934151.79590000014</v>
      </c>
      <c r="J42" s="96">
        <f t="shared" si="2"/>
        <v>-892708.49933869124</v>
      </c>
      <c r="K42" s="96">
        <f t="shared" si="2"/>
        <v>-965621.16813869157</v>
      </c>
      <c r="L42" s="96">
        <f t="shared" si="2"/>
        <v>-921858.61508549622</v>
      </c>
      <c r="M42" s="96">
        <f t="shared" si="2"/>
        <v>-1016466.980780595</v>
      </c>
      <c r="N42" s="96">
        <f t="shared" si="2"/>
        <v>-930601.72984359309</v>
      </c>
      <c r="O42" s="96">
        <f t="shared" si="2"/>
        <v>-992136.77913869149</v>
      </c>
      <c r="P42" s="81">
        <f t="shared" si="0"/>
        <v>-11409370.075925758</v>
      </c>
      <c r="Q42" s="81"/>
    </row>
    <row r="43" spans="1:18">
      <c r="A43" s="854">
        <f t="shared" si="1"/>
        <v>32</v>
      </c>
      <c r="B43" s="706">
        <v>9230</v>
      </c>
      <c r="C43" s="81" t="s">
        <v>954</v>
      </c>
      <c r="D43" s="96">
        <f>VLOOKUP($B43,'[13]Div 91 forecast'!$D$281:$AF$360,18,FALSE)</f>
        <v>45562.763239856788</v>
      </c>
      <c r="E43" s="96">
        <f>VLOOKUP($B43,'[13]Div 91 forecast'!$D$281:$AF$360,19,FALSE)</f>
        <v>38127.001306984501</v>
      </c>
      <c r="F43" s="96">
        <f>VLOOKUP($B43,'[13]Div 91 forecast'!$D$281:$AF$360,20,FALSE)</f>
        <v>36615.882525468907</v>
      </c>
      <c r="G43" s="96">
        <f>VLOOKUP($B43,'[13]Div 91 forecast'!$D$281:$AF$360,21,FALSE)</f>
        <v>36884.475051177767</v>
      </c>
      <c r="H43" s="96">
        <f>VLOOKUP($B43,'[13]Div 91 forecast'!$D$281:$AF$360,22,FALSE)</f>
        <v>37028.698373908468</v>
      </c>
      <c r="I43" s="96">
        <f>VLOOKUP($B43,'[13]Div 91 forecast'!$D$281:$AF$360,23,FALSE)</f>
        <v>47224.869949879721</v>
      </c>
      <c r="J43" s="96">
        <f>VLOOKUP($B43,'[13]Div 91 forecast'!$D$281:$AF$360,24,FALSE)</f>
        <v>36672.732737047118</v>
      </c>
      <c r="K43" s="96">
        <f>VLOOKUP($B43,'[13]Div 91 forecast'!$D$281:$AF$360,25,FALSE)</f>
        <v>37524.826604102083</v>
      </c>
      <c r="L43" s="96">
        <f>VLOOKUP($B43,'[13]Div 91 forecast'!$D$281:$AF$360,26,FALSE)</f>
        <v>38262.650646830371</v>
      </c>
      <c r="M43" s="96">
        <f>VLOOKUP($B43,'[13]Div 91 forecast'!$D$281:$AF$360,27,FALSE)</f>
        <v>40316.001172241158</v>
      </c>
      <c r="N43" s="96">
        <f>VLOOKUP($B43,'[13]Div 91 forecast'!$D$281:$AF$360,28,FALSE)</f>
        <v>38815.554167395574</v>
      </c>
      <c r="O43" s="96">
        <f>VLOOKUP($B43,'[13]Div 91 forecast'!$D$281:$AF$360,29,FALSE)</f>
        <v>40180.004197996604</v>
      </c>
      <c r="P43" s="81">
        <f t="shared" si="0"/>
        <v>473215.45997288916</v>
      </c>
      <c r="Q43" s="81"/>
    </row>
    <row r="44" spans="1:18">
      <c r="A44" s="854">
        <f t="shared" si="1"/>
        <v>33</v>
      </c>
      <c r="B44" s="706">
        <v>9240</v>
      </c>
      <c r="C44" s="81" t="s">
        <v>955</v>
      </c>
      <c r="D44" s="96">
        <f>VLOOKUP($B44,'[13]Div 91 forecast'!$D$281:$AF$360,18,FALSE)</f>
        <v>-15824.776121374758</v>
      </c>
      <c r="E44" s="96">
        <f>VLOOKUP($B44,'[13]Div 91 forecast'!$D$281:$AF$360,19,FALSE)</f>
        <v>-15663.944049953556</v>
      </c>
      <c r="F44" s="96">
        <f>VLOOKUP($B44,'[13]Div 91 forecast'!$D$281:$AF$360,20,FALSE)</f>
        <v>-16093.745995802801</v>
      </c>
      <c r="G44" s="96">
        <f>VLOOKUP($B44,'[13]Div 91 forecast'!$D$281:$AF$360,21,FALSE)</f>
        <v>-15715.263685278842</v>
      </c>
      <c r="H44" s="96">
        <f>VLOOKUP($B44,'[13]Div 91 forecast'!$D$281:$AF$360,22,FALSE)</f>
        <v>-15830.732864760728</v>
      </c>
      <c r="I44" s="96">
        <f>VLOOKUP($B44,'[13]Div 91 forecast'!$D$281:$AF$360,23,FALSE)</f>
        <v>-17130.677555991333</v>
      </c>
      <c r="J44" s="96">
        <f>VLOOKUP($B44,'[13]Div 91 forecast'!$D$281:$AF$360,24,FALSE)</f>
        <v>-15235.058526163692</v>
      </c>
      <c r="K44" s="96">
        <f>VLOOKUP($B44,'[13]Div 91 forecast'!$D$281:$AF$360,25,FALSE)</f>
        <v>-15471.953628513438</v>
      </c>
      <c r="L44" s="96">
        <f>VLOOKUP($B44,'[13]Div 91 forecast'!$D$281:$AF$360,26,FALSE)</f>
        <v>-15767.957953693192</v>
      </c>
      <c r="M44" s="96">
        <f>VLOOKUP($B44,'[13]Div 91 forecast'!$D$281:$AF$360,27,FALSE)</f>
        <v>-15445.835599821106</v>
      </c>
      <c r="N44" s="96">
        <f>VLOOKUP($B44,'[13]Div 91 forecast'!$D$281:$AF$360,28,FALSE)</f>
        <v>-15445.835599821106</v>
      </c>
      <c r="O44" s="96">
        <f>VLOOKUP($B44,'[13]Div 91 forecast'!$D$281:$AF$360,29,FALSE)</f>
        <v>-15717.554740427289</v>
      </c>
      <c r="P44" s="81">
        <f t="shared" si="0"/>
        <v>-189343.33632160188</v>
      </c>
      <c r="Q44" s="81"/>
      <c r="R44" s="706"/>
    </row>
    <row r="45" spans="1:18">
      <c r="A45" s="854">
        <f t="shared" si="1"/>
        <v>34</v>
      </c>
      <c r="B45" s="706">
        <v>9250</v>
      </c>
      <c r="C45" s="81" t="s">
        <v>956</v>
      </c>
      <c r="D45" s="96">
        <f>VLOOKUP($B45,'[13]Div 91 forecast'!$D$281:$AF$360,18,FALSE)</f>
        <v>50882.855319189133</v>
      </c>
      <c r="E45" s="96">
        <f>VLOOKUP($B45,'[13]Div 91 forecast'!$D$281:$AF$360,19,FALSE)</f>
        <v>51747.724004912685</v>
      </c>
      <c r="F45" s="96">
        <f>VLOOKUP($B45,'[13]Div 91 forecast'!$D$281:$AF$360,20,FALSE)</f>
        <v>51453.932184362697</v>
      </c>
      <c r="G45" s="96">
        <f>VLOOKUP($B45,'[13]Div 91 forecast'!$D$281:$AF$360,21,FALSE)</f>
        <v>51253.51107768053</v>
      </c>
      <c r="H45" s="96">
        <f>VLOOKUP($B45,'[13]Div 91 forecast'!$D$281:$AF$360,22,FALSE)</f>
        <v>52101.850033742623</v>
      </c>
      <c r="I45" s="96">
        <f>VLOOKUP($B45,'[13]Div 91 forecast'!$D$281:$AF$360,23,FALSE)</f>
        <v>53053.72260581499</v>
      </c>
      <c r="J45" s="96">
        <f>VLOOKUP($B45,'[13]Div 91 forecast'!$D$281:$AF$360,24,FALSE)</f>
        <v>53214.924643656508</v>
      </c>
      <c r="K45" s="96">
        <f>VLOOKUP($B45,'[13]Div 91 forecast'!$D$281:$AF$360,25,FALSE)</f>
        <v>53717.900349439697</v>
      </c>
      <c r="L45" s="96">
        <f>VLOOKUP($B45,'[13]Div 91 forecast'!$D$281:$AF$360,26,FALSE)</f>
        <v>53404.254827317258</v>
      </c>
      <c r="M45" s="96">
        <f>VLOOKUP($B45,'[13]Div 91 forecast'!$D$281:$AF$360,27,FALSE)</f>
        <v>54604.571982393863</v>
      </c>
      <c r="N45" s="96">
        <f>VLOOKUP($B45,'[13]Div 91 forecast'!$D$281:$AF$360,28,FALSE)</f>
        <v>51778.199178124734</v>
      </c>
      <c r="O45" s="96">
        <f>VLOOKUP($B45,'[13]Div 91 forecast'!$D$281:$AF$360,29,FALSE)</f>
        <v>54239.360655628851</v>
      </c>
      <c r="P45" s="81">
        <f t="shared" si="0"/>
        <v>631452.80686226371</v>
      </c>
      <c r="Q45" s="81"/>
      <c r="R45" s="706"/>
    </row>
    <row r="46" spans="1:18">
      <c r="A46" s="854">
        <f t="shared" si="1"/>
        <v>35</v>
      </c>
      <c r="B46" s="913">
        <v>9260</v>
      </c>
      <c r="C46" s="81" t="s">
        <v>957</v>
      </c>
      <c r="D46" s="96">
        <f>VLOOKUP($B46,'[13]Div 91 forecast'!$D$281:$AF$360,18,FALSE)</f>
        <v>149958.91104249071</v>
      </c>
      <c r="E46" s="96">
        <f>VLOOKUP($B46,'[13]Div 91 forecast'!$D$281:$AF$360,19,FALSE)</f>
        <v>231974.41225895478</v>
      </c>
      <c r="F46" s="96">
        <f>VLOOKUP($B46,'[13]Div 91 forecast'!$D$281:$AF$360,20,FALSE)</f>
        <v>146898.94310775067</v>
      </c>
      <c r="G46" s="96">
        <f>VLOOKUP($B46,'[13]Div 91 forecast'!$D$281:$AF$360,21,FALSE)</f>
        <v>259735.03019309763</v>
      </c>
      <c r="H46" s="96">
        <f>VLOOKUP($B46,'[13]Div 91 forecast'!$D$281:$AF$360,22,FALSE)</f>
        <v>93286.852691979992</v>
      </c>
      <c r="I46" s="96">
        <f>VLOOKUP($B46,'[13]Div 91 forecast'!$D$281:$AF$360,23,FALSE)</f>
        <v>88626.640115348666</v>
      </c>
      <c r="J46" s="96">
        <f>VLOOKUP($B46,'[13]Div 91 forecast'!$D$281:$AF$360,24,FALSE)</f>
        <v>155991.59267847161</v>
      </c>
      <c r="K46" s="96">
        <f>VLOOKUP($B46,'[13]Div 91 forecast'!$D$281:$AF$360,25,FALSE)</f>
        <v>170729.64341638141</v>
      </c>
      <c r="L46" s="96">
        <f>VLOOKUP($B46,'[13]Div 91 forecast'!$D$281:$AF$360,26,FALSE)</f>
        <v>177461.5139111224</v>
      </c>
      <c r="M46" s="96">
        <f>VLOOKUP($B46,'[13]Div 91 forecast'!$D$281:$AF$360,27,FALSE)</f>
        <v>198371.94854639939</v>
      </c>
      <c r="N46" s="96">
        <f>VLOOKUP($B46,'[13]Div 91 forecast'!$D$281:$AF$360,28,FALSE)</f>
        <v>175739.47903471699</v>
      </c>
      <c r="O46" s="96">
        <f>VLOOKUP($B46,'[13]Div 91 forecast'!$D$281:$AF$360,29,FALSE)</f>
        <v>174569.42964761809</v>
      </c>
      <c r="P46" s="81">
        <f t="shared" si="0"/>
        <v>2023344.3966443324</v>
      </c>
      <c r="Q46" s="81"/>
      <c r="R46" s="706"/>
    </row>
    <row r="47" spans="1:18">
      <c r="A47" s="854">
        <f t="shared" si="1"/>
        <v>36</v>
      </c>
      <c r="B47" s="706">
        <v>9302</v>
      </c>
      <c r="C47" s="81" t="s">
        <v>864</v>
      </c>
      <c r="D47" s="96">
        <f>VLOOKUP($B47,'[13]Div 91 forecast'!$D$281:$AF$360,18,FALSE)</f>
        <v>7794.0433374127133</v>
      </c>
      <c r="E47" s="96">
        <f>VLOOKUP($B47,'[13]Div 91 forecast'!$D$281:$AF$360,19,FALSE)</f>
        <v>23190.343099848826</v>
      </c>
      <c r="F47" s="96">
        <f>VLOOKUP($B47,'[13]Div 91 forecast'!$D$281:$AF$360,20,FALSE)</f>
        <v>5760.3524584263196</v>
      </c>
      <c r="G47" s="96">
        <f>VLOOKUP($B47,'[13]Div 91 forecast'!$D$281:$AF$360,21,FALSE)</f>
        <v>9435.3938521344753</v>
      </c>
      <c r="H47" s="96">
        <f>VLOOKUP($B47,'[13]Div 91 forecast'!$D$281:$AF$360,22,FALSE)</f>
        <v>13247.21445540278</v>
      </c>
      <c r="I47" s="96">
        <f>VLOOKUP($B47,'[13]Div 91 forecast'!$D$281:$AF$360,23,FALSE)</f>
        <v>10310.060902742784</v>
      </c>
      <c r="J47" s="96">
        <f>VLOOKUP($B47,'[13]Div 91 forecast'!$D$281:$AF$360,24,FALSE)</f>
        <v>5657.3245986610036</v>
      </c>
      <c r="K47" s="96">
        <f>VLOOKUP($B47,'[13]Div 91 forecast'!$D$281:$AF$360,25,FALSE)</f>
        <v>5801.3027139874739</v>
      </c>
      <c r="L47" s="96">
        <f>VLOOKUP($B47,'[13]Div 91 forecast'!$D$281:$AF$360,26,FALSE)</f>
        <v>7342.588438557339</v>
      </c>
      <c r="M47" s="96">
        <f>VLOOKUP($B47,'[13]Div 91 forecast'!$D$281:$AF$360,27,FALSE)</f>
        <v>7326.114462601684</v>
      </c>
      <c r="N47" s="96">
        <f>VLOOKUP($B47,'[13]Div 91 forecast'!$D$281:$AF$360,28,FALSE)</f>
        <v>5922.3278381685977</v>
      </c>
      <c r="O47" s="96">
        <f>VLOOKUP($B47,'[13]Div 91 forecast'!$D$281:$AF$360,29,FALSE)</f>
        <v>6192.2868044057295</v>
      </c>
      <c r="P47" s="81">
        <f t="shared" si="0"/>
        <v>107979.35296234973</v>
      </c>
      <c r="Q47" s="81"/>
      <c r="R47" s="706"/>
    </row>
    <row r="48" spans="1:18">
      <c r="A48" s="854">
        <f t="shared" si="1"/>
        <v>37</v>
      </c>
      <c r="B48" s="706">
        <v>9310</v>
      </c>
      <c r="C48" s="81" t="s">
        <v>185</v>
      </c>
      <c r="D48" s="96">
        <f>VLOOKUP($B48,'[13]Div 91 forecast'!$D$281:$AF$360,18,FALSE)</f>
        <v>0</v>
      </c>
      <c r="E48" s="96">
        <f>VLOOKUP($B48,'[13]Div 91 forecast'!$D$281:$AF$360,19,FALSE)</f>
        <v>0</v>
      </c>
      <c r="F48" s="96">
        <f>VLOOKUP($B48,'[13]Div 91 forecast'!$D$281:$AF$360,20,FALSE)</f>
        <v>0</v>
      </c>
      <c r="G48" s="96">
        <f>VLOOKUP($B48,'[13]Div 91 forecast'!$D$281:$AF$360,21,FALSE)</f>
        <v>0</v>
      </c>
      <c r="H48" s="96">
        <f>VLOOKUP($B48,'[13]Div 91 forecast'!$D$281:$AF$360,22,FALSE)</f>
        <v>0</v>
      </c>
      <c r="I48" s="96">
        <f>VLOOKUP($B48,'[13]Div 91 forecast'!$D$281:$AF$360,23,FALSE)</f>
        <v>0</v>
      </c>
      <c r="J48" s="96">
        <f>VLOOKUP($B48,'[13]Div 91 forecast'!$D$281:$AF$360,24,FALSE)</f>
        <v>0</v>
      </c>
      <c r="K48" s="96">
        <f>VLOOKUP($B48,'[13]Div 91 forecast'!$D$281:$AF$360,25,FALSE)</f>
        <v>0</v>
      </c>
      <c r="L48" s="96">
        <f>VLOOKUP($B48,'[13]Div 91 forecast'!$D$281:$AF$360,26,FALSE)</f>
        <v>0</v>
      </c>
      <c r="M48" s="96">
        <f>VLOOKUP($B48,'[13]Div 91 forecast'!$D$281:$AF$360,27,FALSE)</f>
        <v>0</v>
      </c>
      <c r="N48" s="96">
        <f>VLOOKUP($B48,'[13]Div 91 forecast'!$D$281:$AF$360,28,FALSE)</f>
        <v>0</v>
      </c>
      <c r="O48" s="96">
        <f>VLOOKUP($B48,'[13]Div 91 forecast'!$D$281:$AF$360,29,FALSE)</f>
        <v>0</v>
      </c>
      <c r="P48" s="81">
        <f t="shared" si="0"/>
        <v>0</v>
      </c>
      <c r="Q48" s="81"/>
    </row>
    <row r="49" spans="1:17">
      <c r="A49" s="854">
        <f t="shared" si="1"/>
        <v>38</v>
      </c>
      <c r="B49" s="81"/>
      <c r="C49" s="8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81"/>
      <c r="P49" s="81"/>
      <c r="Q49" s="670"/>
    </row>
    <row r="50" spans="1:17" ht="15.75" thickBot="1">
      <c r="A50" s="854">
        <f t="shared" si="1"/>
        <v>39</v>
      </c>
      <c r="B50" s="81" t="s">
        <v>741</v>
      </c>
      <c r="C50" s="879"/>
      <c r="D50" s="903">
        <f t="shared" ref="D50:P50" si="3">SUM(D12:D49)</f>
        <v>-7.6397554948925972E-11</v>
      </c>
      <c r="E50" s="903">
        <f t="shared" si="3"/>
        <v>1.964508555829525E-10</v>
      </c>
      <c r="F50" s="903">
        <f t="shared" si="3"/>
        <v>1.1459633242338896E-10</v>
      </c>
      <c r="G50" s="903">
        <f t="shared" si="3"/>
        <v>-2.1827872842550278E-11</v>
      </c>
      <c r="H50" s="903">
        <f t="shared" si="3"/>
        <v>1.8189894035458565E-11</v>
      </c>
      <c r="I50" s="903">
        <f t="shared" si="3"/>
        <v>-1.6370904631912708E-11</v>
      </c>
      <c r="J50" s="903">
        <f t="shared" si="3"/>
        <v>2.0008883439004421E-11</v>
      </c>
      <c r="K50" s="903">
        <f t="shared" si="3"/>
        <v>1.4370016288012266E-10</v>
      </c>
      <c r="L50" s="903">
        <f t="shared" si="3"/>
        <v>8.1854523159563541E-11</v>
      </c>
      <c r="M50" s="903">
        <f t="shared" si="3"/>
        <v>-6.4574123825877905E-11</v>
      </c>
      <c r="N50" s="903">
        <f t="shared" si="3"/>
        <v>-8.5492501966655254E-11</v>
      </c>
      <c r="O50" s="903">
        <f t="shared" si="3"/>
        <v>1.9099388737231493E-11</v>
      </c>
      <c r="P50" s="903">
        <f t="shared" si="3"/>
        <v>1.1204974725842476E-9</v>
      </c>
      <c r="Q50" s="81"/>
    </row>
    <row r="51" spans="1:17" ht="15.75" thickTop="1">
      <c r="A51" s="854">
        <f t="shared" si="1"/>
        <v>40</v>
      </c>
      <c r="B51" s="81"/>
      <c r="C51" s="879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</row>
    <row r="52" spans="1:17">
      <c r="A52" s="854">
        <f t="shared" si="1"/>
        <v>41</v>
      </c>
      <c r="B52" s="706">
        <f t="shared" ref="B52:O52" si="4">B42</f>
        <v>9220</v>
      </c>
      <c r="C52" s="81" t="str">
        <f t="shared" si="4"/>
        <v>A&amp;G-Administrative expense transferred-Credit</v>
      </c>
      <c r="D52" s="81">
        <f t="shared" si="4"/>
        <v>-964767.74610000011</v>
      </c>
      <c r="E52" s="81">
        <f t="shared" si="4"/>
        <v>-1027879.2406999997</v>
      </c>
      <c r="F52" s="81">
        <f t="shared" si="4"/>
        <v>-904057.30799999973</v>
      </c>
      <c r="G52" s="81">
        <f t="shared" si="4"/>
        <v>-1001650.8632</v>
      </c>
      <c r="H52" s="81">
        <f t="shared" si="4"/>
        <v>-857469.34970000002</v>
      </c>
      <c r="I52" s="81">
        <f t="shared" si="4"/>
        <v>-934151.79590000014</v>
      </c>
      <c r="J52" s="81">
        <f t="shared" si="4"/>
        <v>-892708.49933869124</v>
      </c>
      <c r="K52" s="81">
        <f t="shared" si="4"/>
        <v>-965621.16813869157</v>
      </c>
      <c r="L52" s="81">
        <f t="shared" si="4"/>
        <v>-921858.61508549622</v>
      </c>
      <c r="M52" s="81">
        <f t="shared" si="4"/>
        <v>-1016466.980780595</v>
      </c>
      <c r="N52" s="81">
        <f t="shared" si="4"/>
        <v>-930601.72984359309</v>
      </c>
      <c r="O52" s="81">
        <f t="shared" si="4"/>
        <v>-992136.77913869149</v>
      </c>
      <c r="P52" s="81">
        <f>SUM(D52:O52)</f>
        <v>-11409370.075925758</v>
      </c>
      <c r="Q52" s="81"/>
    </row>
    <row r="53" spans="1:17">
      <c r="A53" s="854">
        <f t="shared" si="1"/>
        <v>42</v>
      </c>
      <c r="B53" s="81"/>
      <c r="C53" s="81" t="s">
        <v>196</v>
      </c>
      <c r="D53" s="910">
        <f>Allocation!$E$17</f>
        <v>0.5025136071712456</v>
      </c>
      <c r="E53" s="910">
        <f>D53</f>
        <v>0.5025136071712456</v>
      </c>
      <c r="F53" s="910">
        <f t="shared" ref="F53:O53" si="5">E53</f>
        <v>0.5025136071712456</v>
      </c>
      <c r="G53" s="910">
        <f t="shared" si="5"/>
        <v>0.5025136071712456</v>
      </c>
      <c r="H53" s="910">
        <f t="shared" si="5"/>
        <v>0.5025136071712456</v>
      </c>
      <c r="I53" s="910">
        <f t="shared" si="5"/>
        <v>0.5025136071712456</v>
      </c>
      <c r="J53" s="910">
        <f t="shared" si="5"/>
        <v>0.5025136071712456</v>
      </c>
      <c r="K53" s="910">
        <f t="shared" si="5"/>
        <v>0.5025136071712456</v>
      </c>
      <c r="L53" s="910">
        <f t="shared" si="5"/>
        <v>0.5025136071712456</v>
      </c>
      <c r="M53" s="910">
        <f t="shared" si="5"/>
        <v>0.5025136071712456</v>
      </c>
      <c r="N53" s="910">
        <f t="shared" si="5"/>
        <v>0.5025136071712456</v>
      </c>
      <c r="O53" s="910">
        <f t="shared" si="5"/>
        <v>0.5025136071712456</v>
      </c>
      <c r="P53" s="914">
        <f>P54/P52</f>
        <v>0.5025136071712456</v>
      </c>
      <c r="Q53" s="81"/>
    </row>
    <row r="54" spans="1:17">
      <c r="A54" s="854">
        <f t="shared" si="1"/>
        <v>43</v>
      </c>
      <c r="B54" s="81"/>
      <c r="C54" s="81" t="s">
        <v>211</v>
      </c>
      <c r="D54" s="81">
        <f>D52*D53</f>
        <v>-484808.92017518345</v>
      </c>
      <c r="E54" s="81">
        <f t="shared" ref="E54:O54" si="6">E52*E53</f>
        <v>-516523.30498059787</v>
      </c>
      <c r="F54" s="81">
        <f t="shared" si="6"/>
        <v>-454301.09893260564</v>
      </c>
      <c r="G54" s="81">
        <f t="shared" si="6"/>
        <v>-503343.18839282385</v>
      </c>
      <c r="H54" s="81">
        <f t="shared" si="6"/>
        <v>-430890.01595652924</v>
      </c>
      <c r="I54" s="81">
        <f t="shared" si="6"/>
        <v>-469423.98860320629</v>
      </c>
      <c r="J54" s="81">
        <f t="shared" si="6"/>
        <v>-448598.16815511527</v>
      </c>
      <c r="K54" s="81">
        <f t="shared" si="6"/>
        <v>-485237.77636228577</v>
      </c>
      <c r="L54" s="81">
        <f t="shared" si="6"/>
        <v>-463246.49796850153</v>
      </c>
      <c r="M54" s="81">
        <f t="shared" si="6"/>
        <v>-510788.48908252193</v>
      </c>
      <c r="N54" s="81">
        <f t="shared" si="6"/>
        <v>-467640.03210350499</v>
      </c>
      <c r="O54" s="81">
        <f t="shared" si="6"/>
        <v>-498562.23169224529</v>
      </c>
      <c r="P54" s="81">
        <f>SUM(D54:O54)</f>
        <v>-5733363.712405121</v>
      </c>
      <c r="Q54" s="81"/>
    </row>
    <row r="55" spans="1:17">
      <c r="A55" s="81"/>
      <c r="B55" s="81"/>
      <c r="C55" s="879"/>
      <c r="D55" s="649"/>
      <c r="E55" s="81"/>
      <c r="F55" s="81"/>
      <c r="G55" s="81"/>
      <c r="H55" s="81"/>
      <c r="I55" s="81"/>
      <c r="J55" s="74"/>
      <c r="K55" s="74"/>
      <c r="L55" s="74"/>
      <c r="M55" s="74"/>
      <c r="N55" s="74"/>
      <c r="O55" s="74"/>
      <c r="P55" s="74"/>
      <c r="Q55" s="81"/>
    </row>
    <row r="56" spans="1:17">
      <c r="A56" s="81"/>
      <c r="B56" s="81"/>
      <c r="C56" s="879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74"/>
      <c r="O56" s="74"/>
      <c r="P56" s="81"/>
      <c r="Q56" s="81"/>
    </row>
    <row r="57" spans="1:17">
      <c r="A57" s="81"/>
      <c r="B57" s="81" t="s">
        <v>568</v>
      </c>
      <c r="C57" s="879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74"/>
      <c r="O57" s="74"/>
      <c r="P57" s="81"/>
      <c r="Q57" s="81"/>
    </row>
    <row r="58" spans="1:17">
      <c r="A58" s="81"/>
      <c r="B58" s="81"/>
      <c r="C58" s="879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74"/>
      <c r="O58" s="74"/>
      <c r="P58" s="81"/>
      <c r="Q58" s="81"/>
    </row>
    <row r="59" spans="1:17">
      <c r="A59" s="81"/>
      <c r="B59" s="81"/>
      <c r="C59" s="17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</row>
    <row r="60" spans="1:17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</row>
    <row r="61" spans="1:17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</row>
    <row r="62" spans="1:17">
      <c r="A62" s="81"/>
      <c r="B62" s="81" t="s">
        <v>961</v>
      </c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</row>
    <row r="63" spans="1:17">
      <c r="A63" s="81"/>
      <c r="B63" s="81" t="s">
        <v>1646</v>
      </c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387"/>
      <c r="P63" s="81"/>
      <c r="Q63" s="81"/>
    </row>
    <row r="64" spans="1:17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170"/>
      <c r="P64" s="81"/>
      <c r="Q64" s="81"/>
    </row>
    <row r="65" spans="1:17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170"/>
      <c r="P65" s="81"/>
      <c r="Q65" s="81"/>
    </row>
    <row r="66" spans="1:17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</row>
    <row r="67" spans="1:17">
      <c r="A67" s="81"/>
      <c r="Q67" s="81"/>
    </row>
    <row r="68" spans="1:17">
      <c r="A68" s="81"/>
      <c r="Q68" s="81"/>
    </row>
    <row r="69" spans="1:17">
      <c r="Q69" s="81"/>
    </row>
    <row r="70" spans="1:17">
      <c r="Q70" s="81"/>
    </row>
    <row r="71" spans="1:17">
      <c r="Q71" s="81"/>
    </row>
    <row r="72" spans="1:17">
      <c r="Q72" s="81"/>
    </row>
    <row r="73" spans="1:17">
      <c r="Q73" s="81"/>
    </row>
    <row r="74" spans="1:17">
      <c r="Q74" s="81"/>
    </row>
    <row r="75" spans="1:17">
      <c r="Q75" s="81"/>
    </row>
  </sheetData>
  <sortState ref="R44:S118">
    <sortCondition ref="R44:R118"/>
  </sortState>
  <mergeCells count="4">
    <mergeCell ref="A1:P1"/>
    <mergeCell ref="A2:P2"/>
    <mergeCell ref="A3:P3"/>
    <mergeCell ref="A4:P4"/>
  </mergeCells>
  <phoneticPr fontId="22" type="noConversion"/>
  <printOptions horizontalCentered="1"/>
  <pageMargins left="0.5" right="0.5" top="0.75" bottom="0.5" header="0.5" footer="0.25"/>
  <pageSetup scale="50" fitToHeight="2" orientation="landscape" verticalDpi="300" r:id="rId1"/>
  <headerFooter alignWithMargins="0">
    <oddFooter>&amp;RSchedule &amp;A
Page &amp;P of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S84"/>
  <sheetViews>
    <sheetView view="pageBreakPreview" zoomScale="70" zoomScaleNormal="70" zoomScaleSheetLayoutView="70" workbookViewId="0">
      <pane xSplit="2" ySplit="10" topLeftCell="C11" activePane="bottomRight" state="frozen"/>
      <selection activeCell="F55" sqref="F55"/>
      <selection pane="topRight" activeCell="F55" sqref="F55"/>
      <selection pane="bottomLeft" activeCell="F55" sqref="F55"/>
      <selection pane="bottomRight" activeCell="B69" sqref="B69:N73"/>
    </sheetView>
  </sheetViews>
  <sheetFormatPr defaultRowHeight="15"/>
  <cols>
    <col min="1" max="1" width="4.6640625" style="196" customWidth="1"/>
    <col min="2" max="2" width="40.6640625" style="196" customWidth="1"/>
    <col min="3" max="3" width="9.5546875" style="196" bestFit="1" customWidth="1"/>
    <col min="4" max="4" width="10.6640625" style="196" customWidth="1"/>
    <col min="5" max="5" width="11.33203125" style="196" customWidth="1"/>
    <col min="6" max="6" width="12.33203125" style="196" customWidth="1"/>
    <col min="7" max="7" width="10.88671875" style="196" customWidth="1"/>
    <col min="8" max="8" width="11.77734375" style="196" customWidth="1"/>
    <col min="9" max="9" width="10.33203125" style="196" customWidth="1"/>
    <col min="10" max="14" width="9.6640625" style="196" customWidth="1"/>
    <col min="15" max="15" width="13.77734375" style="196" customWidth="1"/>
    <col min="16" max="16" width="9.77734375" style="196" bestFit="1" customWidth="1"/>
    <col min="17" max="17" width="11.44140625" style="196" bestFit="1" customWidth="1"/>
    <col min="18" max="16384" width="8.88671875" style="196"/>
  </cols>
  <sheetData>
    <row r="1" spans="1:19" s="81" customFormat="1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</row>
    <row r="2" spans="1:19" s="81" customFormat="1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</row>
    <row r="3" spans="1:19" s="81" customFormat="1">
      <c r="A3" s="1190" t="s">
        <v>193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</row>
    <row r="4" spans="1:19">
      <c r="A4" s="1190" t="str">
        <f>'Table of Contents'!A3:C3</f>
        <v>Base Period: Twelve Months Ended December 31, 2017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81"/>
      <c r="Q4" s="690"/>
    </row>
    <row r="5" spans="1:19">
      <c r="A5" s="81"/>
      <c r="B5" s="150"/>
      <c r="C5" s="150"/>
      <c r="D5" s="150"/>
      <c r="E5" s="150"/>
      <c r="F5" s="873"/>
      <c r="G5" s="202"/>
      <c r="H5" s="202"/>
      <c r="I5" s="202"/>
      <c r="J5" s="670"/>
      <c r="K5" s="690"/>
      <c r="Q5" s="798"/>
    </row>
    <row r="6" spans="1:19">
      <c r="A6" s="232" t="str">
        <f>'C.2.1 B'!A6</f>
        <v>Data:___X____Base Period________Forecasted Period</v>
      </c>
      <c r="I6" s="202"/>
      <c r="M6" s="229"/>
      <c r="O6" s="504" t="s">
        <v>1455</v>
      </c>
      <c r="P6" s="81"/>
    </row>
    <row r="7" spans="1:19">
      <c r="A7" s="232" t="str">
        <f>'C.2.1 B'!A7</f>
        <v>Type of Filing:___X____Original________Updated ________Revised</v>
      </c>
      <c r="E7" s="670"/>
      <c r="I7" s="202"/>
      <c r="J7" s="670"/>
      <c r="M7" s="229"/>
      <c r="N7" s="836"/>
      <c r="O7" s="505" t="s">
        <v>720</v>
      </c>
    </row>
    <row r="8" spans="1:19">
      <c r="A8" s="312" t="str">
        <f>'C.2.1 B'!A8</f>
        <v>Workpaper Reference No(s).____________________</v>
      </c>
      <c r="B8" s="236"/>
      <c r="C8" s="235"/>
      <c r="D8" s="235"/>
      <c r="E8" s="235"/>
      <c r="F8" s="235"/>
      <c r="G8" s="235"/>
      <c r="H8" s="235"/>
      <c r="I8" s="202"/>
      <c r="J8" s="235"/>
      <c r="K8" s="236"/>
      <c r="L8" s="236"/>
      <c r="M8" s="236"/>
      <c r="N8" s="204"/>
      <c r="O8" s="506" t="s">
        <v>1365</v>
      </c>
    </row>
    <row r="9" spans="1:19">
      <c r="A9" s="313" t="s">
        <v>94</v>
      </c>
      <c r="C9" s="294" t="str">
        <f>'C.2.2 B 09'!D9</f>
        <v>actual</v>
      </c>
      <c r="D9" s="294" t="str">
        <f>'C.2.2 B 09'!E9</f>
        <v>actual</v>
      </c>
      <c r="E9" s="294" t="str">
        <f>'C.2.2 B 09'!F9</f>
        <v>actual</v>
      </c>
      <c r="F9" s="294" t="str">
        <f>'C.2.2 B 09'!G9</f>
        <v>actual</v>
      </c>
      <c r="G9" s="294" t="str">
        <f>'C.2.2 B 09'!H9</f>
        <v>actual</v>
      </c>
      <c r="H9" s="294" t="str">
        <f>'C.2.2 B 09'!I9</f>
        <v>actual</v>
      </c>
      <c r="I9" s="837" t="str">
        <f>'C.2.2 B 09'!J9</f>
        <v>Forecasted</v>
      </c>
      <c r="J9" s="294" t="str">
        <f>'C.2.2 B 09'!K9</f>
        <v>Forecasted</v>
      </c>
      <c r="K9" s="294" t="str">
        <f>'C.2.2 B 09'!L9</f>
        <v>Forecasted</v>
      </c>
      <c r="L9" s="294" t="str">
        <f>'C.2.2 B 09'!M9</f>
        <v>Budgeted</v>
      </c>
      <c r="M9" s="294" t="str">
        <f>'C.2.2 B 09'!N9</f>
        <v>Budgeted</v>
      </c>
      <c r="N9" s="294" t="str">
        <f>'C.2.2 B 09'!O9</f>
        <v>Budgeted</v>
      </c>
      <c r="O9" s="877"/>
    </row>
    <row r="10" spans="1:19">
      <c r="A10" s="314" t="s">
        <v>100</v>
      </c>
      <c r="B10" s="204" t="s">
        <v>192</v>
      </c>
      <c r="C10" s="208">
        <f>'C.2.2 B 09'!D10</f>
        <v>42736</v>
      </c>
      <c r="D10" s="208">
        <f>'C.2.2 B 09'!E10</f>
        <v>42767</v>
      </c>
      <c r="E10" s="208">
        <f>'C.2.2 B 09'!F10</f>
        <v>42795</v>
      </c>
      <c r="F10" s="208">
        <f>'C.2.2 B 09'!G10</f>
        <v>42826</v>
      </c>
      <c r="G10" s="208">
        <f>'C.2.2 B 09'!H10</f>
        <v>42856</v>
      </c>
      <c r="H10" s="208">
        <f>'C.2.2 B 09'!I10</f>
        <v>42887</v>
      </c>
      <c r="I10" s="208">
        <f>'C.2.2 B 09'!J10</f>
        <v>42917</v>
      </c>
      <c r="J10" s="208">
        <f>'C.2.2 B 09'!K10</f>
        <v>42948</v>
      </c>
      <c r="K10" s="208">
        <f>'C.2.2 B 09'!L10</f>
        <v>42979</v>
      </c>
      <c r="L10" s="208">
        <f>'C.2.2 B 09'!M10</f>
        <v>43009</v>
      </c>
      <c r="M10" s="208">
        <f>'C.2.2 B 09'!N10</f>
        <v>43040</v>
      </c>
      <c r="N10" s="208">
        <f>'C.2.2 B 09'!O10</f>
        <v>43070</v>
      </c>
      <c r="O10" s="208" t="str">
        <f>'C.2.2 B 09'!P10</f>
        <v>Total</v>
      </c>
      <c r="P10" s="884"/>
    </row>
    <row r="11" spans="1:19" ht="15.75">
      <c r="B11" s="296" t="s">
        <v>194</v>
      </c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</row>
    <row r="12" spans="1:19">
      <c r="A12" s="459">
        <v>1</v>
      </c>
      <c r="B12" s="196" t="s">
        <v>290</v>
      </c>
      <c r="C12" s="915">
        <f>[16]summary!C35</f>
        <v>33474.340000000004</v>
      </c>
      <c r="D12" s="915">
        <f>[16]summary!D35</f>
        <v>25321.230000000003</v>
      </c>
      <c r="E12" s="915">
        <f>[16]summary!E35</f>
        <v>39053.539999999994</v>
      </c>
      <c r="F12" s="915">
        <f>[16]summary!F35</f>
        <v>21058.19</v>
      </c>
      <c r="G12" s="915">
        <f>[16]summary!G35</f>
        <v>21412.68</v>
      </c>
      <c r="H12" s="915">
        <f>[16]summary!H35</f>
        <v>20019.219999999994</v>
      </c>
      <c r="I12" s="915">
        <f>[16]summary!I35</f>
        <v>40601.718864485592</v>
      </c>
      <c r="J12" s="915">
        <f>[16]summary!J35</f>
        <v>15608.958704531018</v>
      </c>
      <c r="K12" s="915">
        <f>[16]summary!K35</f>
        <v>43260.915184325546</v>
      </c>
      <c r="L12" s="915">
        <f>[16]summary!L35</f>
        <v>20682.961310440078</v>
      </c>
      <c r="M12" s="915">
        <f>[16]summary!M35</f>
        <v>65700.187412063271</v>
      </c>
      <c r="N12" s="915">
        <f>[16]summary!N35</f>
        <v>11722.963207230254</v>
      </c>
      <c r="O12" s="915">
        <f>SUM(C12:N12)</f>
        <v>357916.90468307579</v>
      </c>
      <c r="P12" s="916"/>
      <c r="Q12" s="690"/>
      <c r="R12" s="670"/>
    </row>
    <row r="13" spans="1:19">
      <c r="A13" s="459">
        <f>A12+1</f>
        <v>2</v>
      </c>
      <c r="B13" s="196" t="s">
        <v>291</v>
      </c>
      <c r="C13" s="915">
        <f>[16]summary!C36</f>
        <v>3150.3100000000004</v>
      </c>
      <c r="D13" s="915">
        <f>[16]summary!D36</f>
        <v>26.650000000000205</v>
      </c>
      <c r="E13" s="915">
        <f>[16]summary!E36</f>
        <v>-325.63000000000005</v>
      </c>
      <c r="F13" s="915">
        <f>[16]summary!F36</f>
        <v>-3.5399999999999991</v>
      </c>
      <c r="G13" s="915">
        <f>[16]summary!G36</f>
        <v>27.099999999999998</v>
      </c>
      <c r="H13" s="915">
        <f>[16]summary!H36</f>
        <v>5.23</v>
      </c>
      <c r="I13" s="915">
        <f>[16]summary!I36</f>
        <v>729.31524253571342</v>
      </c>
      <c r="J13" s="915">
        <f>[16]summary!J36</f>
        <v>280.37856085158143</v>
      </c>
      <c r="K13" s="915">
        <f>[16]summary!K36</f>
        <v>777.08150621108064</v>
      </c>
      <c r="L13" s="915">
        <f>[16]summary!L36</f>
        <v>371.52119088422967</v>
      </c>
      <c r="M13" s="915">
        <f>[16]summary!M36</f>
        <v>1180.1507290121922</v>
      </c>
      <c r="N13" s="915">
        <f>[16]summary!N36</f>
        <v>210.57570944851918</v>
      </c>
      <c r="O13" s="196">
        <f t="shared" ref="O13:O22" si="0">SUM(C13:N13)</f>
        <v>6429.1429389433169</v>
      </c>
      <c r="P13" s="916"/>
    </row>
    <row r="14" spans="1:19">
      <c r="A14" s="459">
        <f t="shared" ref="A14:A67" si="1">A13+1</f>
        <v>3</v>
      </c>
      <c r="B14" s="196" t="s">
        <v>292</v>
      </c>
      <c r="C14" s="915">
        <f>[16]summary!C37</f>
        <v>3217.2799999999997</v>
      </c>
      <c r="D14" s="915">
        <f>[16]summary!D37</f>
        <v>939</v>
      </c>
      <c r="E14" s="915">
        <f>[16]summary!E37</f>
        <v>-2302.87</v>
      </c>
      <c r="F14" s="915">
        <f>[16]summary!F37</f>
        <v>238.95999999999998</v>
      </c>
      <c r="G14" s="915">
        <f>[16]summary!G37</f>
        <v>15.780000000000001</v>
      </c>
      <c r="H14" s="915">
        <f>[16]summary!H37</f>
        <v>4.4699999999999989</v>
      </c>
      <c r="I14" s="915">
        <f>[16]summary!I37</f>
        <v>534.9658929786948</v>
      </c>
      <c r="J14" s="915">
        <f>[16]summary!J37</f>
        <v>205.66273461740062</v>
      </c>
      <c r="K14" s="915">
        <f>[16]summary!K37</f>
        <v>570.00330946337408</v>
      </c>
      <c r="L14" s="915">
        <f>[16]summary!L37</f>
        <v>272.51749867569447</v>
      </c>
      <c r="M14" s="915">
        <f>[16]summary!M37</f>
        <v>865.66185892453689</v>
      </c>
      <c r="N14" s="915">
        <f>[16]summary!N37</f>
        <v>154.46108332122637</v>
      </c>
      <c r="O14" s="196">
        <f t="shared" si="0"/>
        <v>4715.8923779809274</v>
      </c>
      <c r="P14" s="916"/>
    </row>
    <row r="15" spans="1:19">
      <c r="A15" s="459">
        <f t="shared" si="1"/>
        <v>4</v>
      </c>
      <c r="B15" s="81" t="s">
        <v>1233</v>
      </c>
      <c r="C15" s="915">
        <f>[16]summary!C38</f>
        <v>0</v>
      </c>
      <c r="D15" s="915">
        <f>[16]summary!D38</f>
        <v>12.75</v>
      </c>
      <c r="E15" s="915">
        <f>[16]summary!E38</f>
        <v>0</v>
      </c>
      <c r="F15" s="915">
        <f>[16]summary!F38</f>
        <v>46.75</v>
      </c>
      <c r="G15" s="915">
        <f>[16]summary!G38</f>
        <v>0</v>
      </c>
      <c r="H15" s="915">
        <f>[16]summary!H38</f>
        <v>12.75</v>
      </c>
      <c r="I15" s="915">
        <f>[16]summary!I38</f>
        <v>0</v>
      </c>
      <c r="J15" s="915">
        <f>[16]summary!J38</f>
        <v>0</v>
      </c>
      <c r="K15" s="915">
        <f>[16]summary!K38</f>
        <v>0</v>
      </c>
      <c r="L15" s="915">
        <f>[16]summary!L38</f>
        <v>0</v>
      </c>
      <c r="M15" s="915">
        <f>[16]summary!M38</f>
        <v>0</v>
      </c>
      <c r="N15" s="915">
        <f>[16]summary!N38</f>
        <v>0</v>
      </c>
      <c r="O15" s="196">
        <f t="shared" si="0"/>
        <v>72.25</v>
      </c>
      <c r="P15" s="916"/>
    </row>
    <row r="16" spans="1:19">
      <c r="A16" s="459">
        <f t="shared" si="1"/>
        <v>5</v>
      </c>
      <c r="B16" s="196" t="s">
        <v>110</v>
      </c>
      <c r="C16" s="915">
        <f>[16]summary!C39</f>
        <v>245588</v>
      </c>
      <c r="D16" s="915">
        <f>[16]summary!D39</f>
        <v>245588</v>
      </c>
      <c r="E16" s="915">
        <f>[16]summary!E39</f>
        <v>245588</v>
      </c>
      <c r="F16" s="915">
        <f>[16]summary!F39</f>
        <v>245588</v>
      </c>
      <c r="G16" s="915">
        <f>[16]summary!G39</f>
        <v>245588</v>
      </c>
      <c r="H16" s="915">
        <f>[16]summary!H39</f>
        <v>245588</v>
      </c>
      <c r="I16" s="915">
        <f>[16]summary!I39</f>
        <v>248199</v>
      </c>
      <c r="J16" s="915">
        <f>[16]summary!J39</f>
        <v>248199</v>
      </c>
      <c r="K16" s="915">
        <f>[16]summary!K39</f>
        <v>248199</v>
      </c>
      <c r="L16" s="915">
        <f>'[17]FY 2018 Budget'!$D$21</f>
        <v>391500</v>
      </c>
      <c r="M16" s="915">
        <f>'[17]FY 2018 Budget'!$D$21</f>
        <v>391500</v>
      </c>
      <c r="N16" s="915">
        <f>'[17]FY 2018 Budget'!$D$21</f>
        <v>391500</v>
      </c>
      <c r="O16" s="196">
        <f t="shared" si="0"/>
        <v>3392625</v>
      </c>
      <c r="P16" s="916"/>
      <c r="R16" s="917"/>
      <c r="S16" s="917"/>
    </row>
    <row r="17" spans="1:18">
      <c r="A17" s="459">
        <f t="shared" si="1"/>
        <v>6</v>
      </c>
      <c r="B17" s="196" t="s">
        <v>1372</v>
      </c>
      <c r="C17" s="915">
        <f>[16]summary!C40</f>
        <v>0</v>
      </c>
      <c r="D17" s="915">
        <f>[16]summary!D40</f>
        <v>0</v>
      </c>
      <c r="E17" s="915">
        <f>[16]summary!E40</f>
        <v>30150.68</v>
      </c>
      <c r="F17" s="915">
        <f>[16]summary!F40</f>
        <v>0</v>
      </c>
      <c r="G17" s="915">
        <f>[16]summary!G40</f>
        <v>0</v>
      </c>
      <c r="H17" s="915">
        <f>[16]summary!H40</f>
        <v>52130.400000000001</v>
      </c>
      <c r="I17" s="915">
        <f>[16]summary!I40</f>
        <v>0</v>
      </c>
      <c r="J17" s="915">
        <f>[16]summary!J40</f>
        <v>0</v>
      </c>
      <c r="K17" s="915">
        <f>[16]summary!K40</f>
        <v>0</v>
      </c>
      <c r="L17" s="915">
        <f>[16]summary!L40</f>
        <v>0</v>
      </c>
      <c r="M17" s="915">
        <f>[16]summary!M40</f>
        <v>0</v>
      </c>
      <c r="N17" s="915">
        <f>[16]summary!N40</f>
        <v>0</v>
      </c>
      <c r="O17" s="196">
        <f t="shared" si="0"/>
        <v>82281.08</v>
      </c>
      <c r="P17" s="916"/>
    </row>
    <row r="18" spans="1:18">
      <c r="A18" s="459">
        <f t="shared" si="1"/>
        <v>7</v>
      </c>
      <c r="B18" s="196" t="s">
        <v>109</v>
      </c>
      <c r="C18" s="915">
        <f>[16]summary!C41</f>
        <v>19080.940000000002</v>
      </c>
      <c r="D18" s="915">
        <f>[16]summary!D41</f>
        <v>0</v>
      </c>
      <c r="E18" s="915">
        <f>[16]summary!E41</f>
        <v>158.94999999999999</v>
      </c>
      <c r="F18" s="915">
        <f>[16]summary!F41</f>
        <v>37106.720000000001</v>
      </c>
      <c r="G18" s="915">
        <f>[16]summary!G41</f>
        <v>42</v>
      </c>
      <c r="H18" s="915">
        <f>[16]summary!H41</f>
        <v>0</v>
      </c>
      <c r="I18" s="915">
        <f>[16]summary!I41</f>
        <v>17415</v>
      </c>
      <c r="J18" s="915">
        <f>[16]summary!J41</f>
        <v>192</v>
      </c>
      <c r="K18" s="915">
        <f>[16]summary!K41</f>
        <v>47279</v>
      </c>
      <c r="L18" s="915">
        <f>[16]summary!L41</f>
        <v>12215</v>
      </c>
      <c r="M18" s="915">
        <f>[16]summary!M41</f>
        <v>64</v>
      </c>
      <c r="N18" s="915">
        <f>[16]summary!N41</f>
        <v>873</v>
      </c>
      <c r="O18" s="196">
        <f t="shared" si="0"/>
        <v>134426.60999999999</v>
      </c>
      <c r="P18" s="916"/>
    </row>
    <row r="19" spans="1:18" ht="17.25" customHeight="1">
      <c r="A19" s="459">
        <f t="shared" si="1"/>
        <v>8</v>
      </c>
      <c r="B19" s="196" t="s">
        <v>294</v>
      </c>
      <c r="C19" s="915">
        <f>[16]summary!C42</f>
        <v>27573.13</v>
      </c>
      <c r="D19" s="915">
        <f>[16]summary!D42</f>
        <v>27573.13</v>
      </c>
      <c r="E19" s="915">
        <f>[16]summary!E42</f>
        <v>27573.13</v>
      </c>
      <c r="F19" s="915">
        <f>[16]summary!F42</f>
        <v>27573.13</v>
      </c>
      <c r="G19" s="915">
        <f>[16]summary!G42</f>
        <v>27573.13</v>
      </c>
      <c r="H19" s="915">
        <f>[16]summary!H42</f>
        <v>27573.09</v>
      </c>
      <c r="I19" s="915">
        <f>[16]summary!I42</f>
        <v>25193</v>
      </c>
      <c r="J19" s="915">
        <f>[16]summary!J42</f>
        <v>25193</v>
      </c>
      <c r="K19" s="915">
        <f>[16]summary!K42</f>
        <v>25193</v>
      </c>
      <c r="L19" s="915">
        <f>[16]summary!L42</f>
        <v>24523</v>
      </c>
      <c r="M19" s="915">
        <f>[16]summary!M42</f>
        <v>24523</v>
      </c>
      <c r="N19" s="915">
        <f>[16]summary!N42</f>
        <v>24523</v>
      </c>
      <c r="O19" s="196">
        <f t="shared" si="0"/>
        <v>314586.74</v>
      </c>
      <c r="P19" s="916"/>
    </row>
    <row r="20" spans="1:18">
      <c r="A20" s="459">
        <f t="shared" si="1"/>
        <v>9</v>
      </c>
      <c r="B20" s="196" t="s">
        <v>43</v>
      </c>
      <c r="C20" s="915">
        <f>[16]summary!C43</f>
        <v>16598.849999999999</v>
      </c>
      <c r="D20" s="915">
        <f>[16]summary!D43</f>
        <v>15182.25</v>
      </c>
      <c r="E20" s="915">
        <f>[16]summary!E43</f>
        <v>12466.42</v>
      </c>
      <c r="F20" s="915">
        <f>[16]summary!F43</f>
        <v>10993.38</v>
      </c>
      <c r="G20" s="915">
        <f>[16]summary!G43</f>
        <v>15015.51</v>
      </c>
      <c r="H20" s="915">
        <f>[16]summary!H43</f>
        <v>10886.26</v>
      </c>
      <c r="I20" s="915">
        <f>[16]summary!I43</f>
        <v>9046.8071913007643</v>
      </c>
      <c r="J20" s="915">
        <f>[16]summary!J43</f>
        <v>9046.8071913007643</v>
      </c>
      <c r="K20" s="915">
        <f>[16]summary!K43</f>
        <v>9046.8071913007643</v>
      </c>
      <c r="L20" s="428">
        <f t="shared" ref="L20:N20" si="2">L52</f>
        <v>9841.2856277506526</v>
      </c>
      <c r="M20" s="428">
        <f t="shared" si="2"/>
        <v>9841.2856277506526</v>
      </c>
      <c r="N20" s="428">
        <f t="shared" si="2"/>
        <v>9841.2856277506526</v>
      </c>
      <c r="O20" s="196">
        <f t="shared" si="0"/>
        <v>137806.94845715421</v>
      </c>
      <c r="P20" s="670"/>
      <c r="Q20" s="670"/>
      <c r="R20" s="690"/>
    </row>
    <row r="21" spans="1:18" ht="15.75">
      <c r="A21" s="459">
        <f t="shared" si="1"/>
        <v>10</v>
      </c>
      <c r="B21" s="196" t="s">
        <v>1009</v>
      </c>
      <c r="C21" s="915">
        <f>[16]summary!C44</f>
        <v>26372.68</v>
      </c>
      <c r="D21" s="915">
        <f>[16]summary!D44</f>
        <v>20039.37</v>
      </c>
      <c r="E21" s="915">
        <f>[16]summary!E44</f>
        <v>15692.2</v>
      </c>
      <c r="F21" s="915">
        <f>[16]summary!F44</f>
        <v>-105354.85</v>
      </c>
      <c r="G21" s="915">
        <f>[16]summary!G44</f>
        <v>142730.79</v>
      </c>
      <c r="H21" s="915">
        <f>[16]summary!H44</f>
        <v>15677.17</v>
      </c>
      <c r="I21" s="915">
        <f>[16]summary!I44</f>
        <v>12839.193393306026</v>
      </c>
      <c r="J21" s="915">
        <f>[16]summary!J44</f>
        <v>12839.193393306026</v>
      </c>
      <c r="K21" s="915">
        <f>[16]summary!K44</f>
        <v>12839.193393306026</v>
      </c>
      <c r="L21" s="428">
        <f t="shared" ref="L21:N21" si="3">L39</f>
        <v>14654.660333731223</v>
      </c>
      <c r="M21" s="428">
        <f t="shared" si="3"/>
        <v>14654.660333731223</v>
      </c>
      <c r="N21" s="428">
        <f t="shared" si="3"/>
        <v>14654.660333731223</v>
      </c>
      <c r="O21" s="196">
        <f t="shared" si="0"/>
        <v>197638.92118111171</v>
      </c>
      <c r="P21" s="670"/>
      <c r="Q21" s="670"/>
      <c r="R21" s="906"/>
    </row>
    <row r="22" spans="1:18">
      <c r="A22" s="459">
        <f t="shared" si="1"/>
        <v>11</v>
      </c>
      <c r="B22" s="196" t="s">
        <v>1234</v>
      </c>
      <c r="C22" s="915">
        <f>[16]summary!C45</f>
        <v>55870.77</v>
      </c>
      <c r="D22" s="915">
        <f>[16]summary!D45</f>
        <v>11950.04</v>
      </c>
      <c r="E22" s="915">
        <f>[16]summary!E45</f>
        <v>6562.43</v>
      </c>
      <c r="F22" s="915">
        <f>[16]summary!F45</f>
        <v>12969.21</v>
      </c>
      <c r="G22" s="915">
        <f>[16]summary!G45</f>
        <v>19059.84</v>
      </c>
      <c r="H22" s="915">
        <f>[16]summary!H45</f>
        <v>17434.490000000002</v>
      </c>
      <c r="I22" s="915">
        <f>[16]summary!I45</f>
        <v>13807.999415393204</v>
      </c>
      <c r="J22" s="915">
        <f>[16]summary!J45</f>
        <v>13807.999415393204</v>
      </c>
      <c r="K22" s="915">
        <f>[16]summary!K45</f>
        <v>13807.999415393204</v>
      </c>
      <c r="L22" s="428">
        <f t="shared" ref="L22:N22" si="4">L67</f>
        <v>12201.729550690055</v>
      </c>
      <c r="M22" s="428">
        <f t="shared" si="4"/>
        <v>12201.729550690055</v>
      </c>
      <c r="N22" s="428">
        <f t="shared" si="4"/>
        <v>12201.729550690055</v>
      </c>
      <c r="O22" s="196">
        <f t="shared" si="0"/>
        <v>201875.9668982497</v>
      </c>
      <c r="P22" s="670"/>
      <c r="Q22" s="670"/>
      <c r="R22" s="690"/>
    </row>
    <row r="23" spans="1:18">
      <c r="A23" s="459">
        <f t="shared" si="1"/>
        <v>12</v>
      </c>
    </row>
    <row r="24" spans="1:18">
      <c r="A24" s="459">
        <f t="shared" si="1"/>
        <v>13</v>
      </c>
      <c r="B24" s="196" t="s">
        <v>97</v>
      </c>
      <c r="C24" s="543">
        <f t="shared" ref="C24:H24" si="5">SUM(C12:C22)</f>
        <v>430926.3</v>
      </c>
      <c r="D24" s="543">
        <f t="shared" si="5"/>
        <v>346632.42</v>
      </c>
      <c r="E24" s="543">
        <f t="shared" si="5"/>
        <v>374616.85</v>
      </c>
      <c r="F24" s="543">
        <f t="shared" si="5"/>
        <v>250215.94999999995</v>
      </c>
      <c r="G24" s="543">
        <f t="shared" si="5"/>
        <v>471464.83</v>
      </c>
      <c r="H24" s="543">
        <f t="shared" si="5"/>
        <v>389331.08</v>
      </c>
      <c r="I24" s="543">
        <f t="shared" ref="I24:N24" si="6">SUM(I12:I23)</f>
        <v>368367.00000000006</v>
      </c>
      <c r="J24" s="543">
        <f t="shared" si="6"/>
        <v>325373.00000000006</v>
      </c>
      <c r="K24" s="543">
        <f t="shared" si="6"/>
        <v>400973.00000000006</v>
      </c>
      <c r="L24" s="543">
        <f t="shared" si="6"/>
        <v>486262.67551217193</v>
      </c>
      <c r="M24" s="543">
        <f t="shared" si="6"/>
        <v>520530.67551217193</v>
      </c>
      <c r="N24" s="543">
        <f t="shared" si="6"/>
        <v>465681.67551217193</v>
      </c>
      <c r="O24" s="543">
        <f>SUM(C24:N24)</f>
        <v>4830375.4565365156</v>
      </c>
      <c r="P24" s="670"/>
    </row>
    <row r="25" spans="1:18">
      <c r="A25" s="459">
        <f t="shared" si="1"/>
        <v>14</v>
      </c>
      <c r="C25" s="760"/>
      <c r="D25" s="760"/>
      <c r="E25" s="760"/>
      <c r="F25" s="760"/>
      <c r="G25" s="760"/>
      <c r="H25" s="760"/>
      <c r="I25" s="760"/>
      <c r="J25" s="760"/>
      <c r="K25" s="760"/>
      <c r="L25" s="760"/>
      <c r="M25" s="760"/>
      <c r="N25" s="760"/>
      <c r="O25" s="229"/>
    </row>
    <row r="26" spans="1:18" ht="15.75">
      <c r="A26" s="459">
        <f t="shared" si="1"/>
        <v>15</v>
      </c>
      <c r="B26" s="296" t="s">
        <v>77</v>
      </c>
      <c r="C26" s="760"/>
      <c r="D26" s="760"/>
      <c r="E26" s="760"/>
      <c r="F26" s="760"/>
      <c r="G26" s="760"/>
      <c r="H26" s="760"/>
      <c r="I26" s="760"/>
      <c r="J26" s="760"/>
      <c r="K26" s="760"/>
      <c r="L26" s="760"/>
      <c r="M26" s="760"/>
      <c r="N26" s="760"/>
      <c r="P26" s="690"/>
    </row>
    <row r="27" spans="1:18">
      <c r="A27" s="459">
        <f t="shared" si="1"/>
        <v>16</v>
      </c>
      <c r="B27" s="196" t="s">
        <v>290</v>
      </c>
      <c r="C27" s="915">
        <f>[16]summary!C5</f>
        <v>375716.89000000007</v>
      </c>
      <c r="D27" s="915">
        <f>[16]summary!D5</f>
        <v>330989.88999999996</v>
      </c>
      <c r="E27" s="915">
        <f>[16]summary!E5</f>
        <v>264586.61000000016</v>
      </c>
      <c r="F27" s="915">
        <f>[16]summary!F5</f>
        <v>257411.09000000008</v>
      </c>
      <c r="G27" s="915">
        <f>[16]summary!G5</f>
        <v>370189.22000000009</v>
      </c>
      <c r="H27" s="915">
        <f>[16]summary!H5</f>
        <v>256178.7300000001</v>
      </c>
      <c r="I27" s="915">
        <f>[16]summary!I5</f>
        <v>191592.62908226048</v>
      </c>
      <c r="J27" s="915">
        <f>[16]summary!J5</f>
        <v>191592.62908226048</v>
      </c>
      <c r="K27" s="915">
        <f>[16]summary!K5</f>
        <v>191592.62908226048</v>
      </c>
      <c r="L27" s="915">
        <f>[16]summary!L5</f>
        <v>205198.53309371014</v>
      </c>
      <c r="M27" s="915">
        <f>[16]summary!M5</f>
        <v>205198.53309371014</v>
      </c>
      <c r="N27" s="915">
        <f>[16]summary!N5</f>
        <v>205198.53309371014</v>
      </c>
      <c r="O27" s="915">
        <f t="shared" ref="O27:O34" si="7">SUM(C27:N27)</f>
        <v>3045445.9165279116</v>
      </c>
      <c r="Q27" s="690"/>
    </row>
    <row r="28" spans="1:18">
      <c r="A28" s="459">
        <f t="shared" si="1"/>
        <v>17</v>
      </c>
      <c r="B28" s="196" t="s">
        <v>291</v>
      </c>
      <c r="C28" s="915">
        <f>[16]summary!C6</f>
        <v>29576.989999999998</v>
      </c>
      <c r="D28" s="915">
        <f>[16]summary!D6</f>
        <v>-104.88000000000193</v>
      </c>
      <c r="E28" s="915">
        <f>[16]summary!E6</f>
        <v>-1000.2900000000009</v>
      </c>
      <c r="F28" s="915">
        <f>[16]summary!F6</f>
        <v>39.809999999999945</v>
      </c>
      <c r="G28" s="915">
        <f>[16]summary!G6</f>
        <v>663.03</v>
      </c>
      <c r="H28" s="915">
        <f>[16]summary!H6</f>
        <v>271.64000000000004</v>
      </c>
      <c r="I28" s="915">
        <f>[16]summary!I6</f>
        <v>3041.2257454254577</v>
      </c>
      <c r="J28" s="915">
        <f>[16]summary!J6</f>
        <v>3041.2257454254577</v>
      </c>
      <c r="K28" s="915">
        <f>[16]summary!K6</f>
        <v>3041.2257454254577</v>
      </c>
      <c r="L28" s="915">
        <f>[16]summary!L6</f>
        <v>3257.1976529441035</v>
      </c>
      <c r="M28" s="915">
        <f>[16]summary!M6</f>
        <v>3257.1976529441035</v>
      </c>
      <c r="N28" s="915">
        <f>[16]summary!N6</f>
        <v>3257.1976529441035</v>
      </c>
      <c r="O28" s="196">
        <f t="shared" si="7"/>
        <v>48341.570195108674</v>
      </c>
    </row>
    <row r="29" spans="1:18">
      <c r="A29" s="459">
        <f t="shared" si="1"/>
        <v>18</v>
      </c>
      <c r="B29" s="196" t="s">
        <v>292</v>
      </c>
      <c r="C29" s="915">
        <f>[16]summary!C7</f>
        <v>55762.23000000001</v>
      </c>
      <c r="D29" s="915">
        <f>[16]summary!D7</f>
        <v>26610.37000000001</v>
      </c>
      <c r="E29" s="915">
        <f>[16]summary!E7</f>
        <v>-5864.0599999999995</v>
      </c>
      <c r="F29" s="915">
        <f>[16]summary!F7</f>
        <v>489.35000000000036</v>
      </c>
      <c r="G29" s="915">
        <f>[16]summary!G7</f>
        <v>1661.5199999999998</v>
      </c>
      <c r="H29" s="915">
        <f>[16]summary!H7</f>
        <v>982.85999999999979</v>
      </c>
      <c r="I29" s="915">
        <f>[16]summary!I7</f>
        <v>8225.4857808324214</v>
      </c>
      <c r="J29" s="915">
        <f>[16]summary!J7</f>
        <v>8225.4857808324214</v>
      </c>
      <c r="K29" s="915">
        <f>[16]summary!K7</f>
        <v>8225.4857808324214</v>
      </c>
      <c r="L29" s="915">
        <f>[16]summary!L7</f>
        <v>8809.6166553740459</v>
      </c>
      <c r="M29" s="915">
        <f>[16]summary!M7</f>
        <v>8809.6166553740459</v>
      </c>
      <c r="N29" s="915">
        <f>[16]summary!N7</f>
        <v>8809.6166553740459</v>
      </c>
      <c r="O29" s="196">
        <f t="shared" si="7"/>
        <v>130747.57730861942</v>
      </c>
    </row>
    <row r="30" spans="1:18">
      <c r="A30" s="459">
        <f t="shared" si="1"/>
        <v>19</v>
      </c>
      <c r="B30" s="196" t="s">
        <v>293</v>
      </c>
      <c r="C30" s="915">
        <f>[16]summary!C8</f>
        <v>44000</v>
      </c>
      <c r="D30" s="915">
        <f>[16]summary!D8</f>
        <v>44000</v>
      </c>
      <c r="E30" s="915">
        <f>[16]summary!E8</f>
        <v>44000</v>
      </c>
      <c r="F30" s="915">
        <f>[16]summary!F8</f>
        <v>44000</v>
      </c>
      <c r="G30" s="915">
        <f>[16]summary!G8</f>
        <v>44000</v>
      </c>
      <c r="H30" s="915">
        <f>[16]summary!H8</f>
        <v>44000</v>
      </c>
      <c r="I30" s="915">
        <f>[16]summary!I8</f>
        <v>44000</v>
      </c>
      <c r="J30" s="915">
        <f>[16]summary!J8</f>
        <v>44000</v>
      </c>
      <c r="K30" s="915">
        <f>[16]summary!K8</f>
        <v>44000</v>
      </c>
      <c r="L30" s="915">
        <f>'[17]FY 2018 Budget'!$D$5</f>
        <v>64500</v>
      </c>
      <c r="M30" s="915">
        <f>'[17]FY 2018 Budget'!$D$5</f>
        <v>64500</v>
      </c>
      <c r="N30" s="915">
        <f>'[17]FY 2018 Budget'!$D$5</f>
        <v>64500</v>
      </c>
      <c r="O30" s="196">
        <f t="shared" si="7"/>
        <v>589500</v>
      </c>
      <c r="P30" s="670"/>
    </row>
    <row r="31" spans="1:18">
      <c r="A31" s="459">
        <f t="shared" si="1"/>
        <v>20</v>
      </c>
      <c r="B31" s="196" t="s">
        <v>206</v>
      </c>
      <c r="C31" s="915">
        <f>[16]summary!C10</f>
        <v>0</v>
      </c>
      <c r="D31" s="915">
        <f>[16]summary!D10</f>
        <v>0</v>
      </c>
      <c r="E31" s="915">
        <f>[16]summary!E10</f>
        <v>0</v>
      </c>
      <c r="F31" s="915">
        <f>[16]summary!F10</f>
        <v>0</v>
      </c>
      <c r="G31" s="915">
        <f>[16]summary!G10</f>
        <v>0</v>
      </c>
      <c r="H31" s="915">
        <f>[16]summary!H10</f>
        <v>0</v>
      </c>
      <c r="I31" s="915">
        <f>[16]summary!I10</f>
        <v>0</v>
      </c>
      <c r="J31" s="915">
        <f>[16]summary!J10</f>
        <v>0</v>
      </c>
      <c r="K31" s="915">
        <f>[16]summary!K10</f>
        <v>0</v>
      </c>
      <c r="L31" s="915">
        <f>[16]summary!L10</f>
        <v>0</v>
      </c>
      <c r="M31" s="915">
        <f>[16]summary!M10</f>
        <v>0</v>
      </c>
      <c r="N31" s="915">
        <f>[16]summary!N10</f>
        <v>0</v>
      </c>
      <c r="O31" s="196">
        <f t="shared" si="7"/>
        <v>0</v>
      </c>
    </row>
    <row r="32" spans="1:18">
      <c r="A32" s="459">
        <f t="shared" si="1"/>
        <v>21</v>
      </c>
      <c r="B32" s="196" t="s">
        <v>207</v>
      </c>
      <c r="C32" s="915">
        <f>[16]summary!C9</f>
        <v>258.72000000000003</v>
      </c>
      <c r="D32" s="915">
        <f>[16]summary!D9</f>
        <v>-16187.62</v>
      </c>
      <c r="E32" s="915">
        <f>[16]summary!E9</f>
        <v>0</v>
      </c>
      <c r="F32" s="915">
        <f>[16]summary!F9</f>
        <v>-2327654.2799999998</v>
      </c>
      <c r="G32" s="915">
        <f>[16]summary!G9</f>
        <v>2327847.39</v>
      </c>
      <c r="H32" s="915">
        <f>[16]summary!H9</f>
        <v>180543.62</v>
      </c>
      <c r="I32" s="915">
        <f>[16]summary!I9</f>
        <v>0</v>
      </c>
      <c r="J32" s="915">
        <f>[16]summary!J9</f>
        <v>0</v>
      </c>
      <c r="K32" s="915">
        <f>[16]summary!K9</f>
        <v>0</v>
      </c>
      <c r="L32" s="915">
        <f>[16]summary!L9</f>
        <v>0</v>
      </c>
      <c r="M32" s="915">
        <f>[16]summary!M9</f>
        <v>0</v>
      </c>
      <c r="N32" s="915">
        <f>[16]summary!N9</f>
        <v>0</v>
      </c>
      <c r="O32" s="196">
        <f t="shared" si="7"/>
        <v>164807.83000000042</v>
      </c>
      <c r="Q32" s="103"/>
      <c r="R32" s="690"/>
    </row>
    <row r="33" spans="1:17">
      <c r="A33" s="459">
        <f t="shared" si="1"/>
        <v>22</v>
      </c>
      <c r="B33" s="80"/>
      <c r="C33" s="629"/>
      <c r="D33" s="629"/>
      <c r="E33" s="629"/>
      <c r="F33" s="511"/>
      <c r="G33" s="511"/>
      <c r="H33" s="511"/>
      <c r="I33" s="511"/>
      <c r="J33" s="511"/>
      <c r="K33" s="511"/>
      <c r="L33" s="511"/>
      <c r="M33" s="511"/>
      <c r="N33" s="511"/>
    </row>
    <row r="34" spans="1:17">
      <c r="A34" s="459">
        <f t="shared" si="1"/>
        <v>23</v>
      </c>
      <c r="B34" s="196" t="s">
        <v>208</v>
      </c>
      <c r="C34" s="543">
        <f t="shared" ref="C34:N34" si="8">SUM(C27:C32)</f>
        <v>505314.83000000007</v>
      </c>
      <c r="D34" s="543">
        <f t="shared" si="8"/>
        <v>385307.75999999995</v>
      </c>
      <c r="E34" s="543">
        <f t="shared" si="8"/>
        <v>301722.26000000018</v>
      </c>
      <c r="F34" s="543">
        <f t="shared" si="8"/>
        <v>-2025714.0299999998</v>
      </c>
      <c r="G34" s="543">
        <f t="shared" si="8"/>
        <v>2744361.16</v>
      </c>
      <c r="H34" s="543">
        <f t="shared" si="8"/>
        <v>481976.85000000009</v>
      </c>
      <c r="I34" s="543">
        <f t="shared" si="8"/>
        <v>246859.34060851834</v>
      </c>
      <c r="J34" s="543">
        <f t="shared" si="8"/>
        <v>246859.34060851834</v>
      </c>
      <c r="K34" s="543">
        <f t="shared" si="8"/>
        <v>246859.34060851834</v>
      </c>
      <c r="L34" s="543">
        <f t="shared" si="8"/>
        <v>281765.34740202827</v>
      </c>
      <c r="M34" s="543">
        <f t="shared" si="8"/>
        <v>281765.34740202827</v>
      </c>
      <c r="N34" s="543">
        <f t="shared" si="8"/>
        <v>281765.34740202827</v>
      </c>
      <c r="O34" s="543">
        <f t="shared" si="7"/>
        <v>3978842.8940316415</v>
      </c>
    </row>
    <row r="35" spans="1:17">
      <c r="A35" s="459">
        <f t="shared" si="1"/>
        <v>24</v>
      </c>
      <c r="C35" s="760"/>
      <c r="D35" s="760"/>
      <c r="E35" s="760"/>
      <c r="F35" s="760"/>
      <c r="G35" s="760"/>
      <c r="H35" s="760"/>
      <c r="I35" s="760"/>
      <c r="J35" s="760"/>
      <c r="K35" s="760"/>
      <c r="L35" s="760"/>
      <c r="M35" s="760"/>
      <c r="N35" s="760"/>
    </row>
    <row r="36" spans="1:17">
      <c r="A36" s="459">
        <f t="shared" si="1"/>
        <v>25</v>
      </c>
      <c r="B36" s="196" t="s">
        <v>209</v>
      </c>
      <c r="C36" s="318"/>
      <c r="D36" s="318"/>
      <c r="E36" s="318"/>
      <c r="F36" s="318"/>
      <c r="G36" s="318"/>
      <c r="H36" s="318"/>
      <c r="I36" s="318"/>
      <c r="J36" s="318"/>
      <c r="K36" s="318"/>
      <c r="L36" s="318">
        <f>Allocation!$G$14</f>
        <v>0.10349999999999999</v>
      </c>
      <c r="M36" s="318">
        <f t="shared" ref="M36:N36" si="9">L36</f>
        <v>0.10349999999999999</v>
      </c>
      <c r="N36" s="318">
        <f t="shared" si="9"/>
        <v>0.10349999999999999</v>
      </c>
    </row>
    <row r="37" spans="1:17">
      <c r="A37" s="459">
        <f t="shared" si="1"/>
        <v>26</v>
      </c>
      <c r="B37" s="196" t="s">
        <v>210</v>
      </c>
      <c r="C37" s="579"/>
      <c r="D37" s="579"/>
      <c r="E37" s="579"/>
      <c r="F37" s="579"/>
      <c r="G37" s="579"/>
      <c r="H37" s="579"/>
      <c r="I37" s="579"/>
      <c r="J37" s="579"/>
      <c r="K37" s="318"/>
      <c r="L37" s="579">
        <f>Allocation!$H$14</f>
        <v>0.5025136071712456</v>
      </c>
      <c r="M37" s="318">
        <f t="shared" ref="M37:N37" si="10">L37</f>
        <v>0.5025136071712456</v>
      </c>
      <c r="N37" s="318">
        <f t="shared" si="10"/>
        <v>0.5025136071712456</v>
      </c>
    </row>
    <row r="38" spans="1:17">
      <c r="A38" s="459">
        <f t="shared" si="1"/>
        <v>27</v>
      </c>
    </row>
    <row r="39" spans="1:17">
      <c r="A39" s="459">
        <f t="shared" si="1"/>
        <v>28</v>
      </c>
      <c r="B39" s="196" t="s">
        <v>211</v>
      </c>
      <c r="C39" s="543">
        <f t="shared" ref="C39:K39" si="11">C21</f>
        <v>26372.68</v>
      </c>
      <c r="D39" s="543">
        <f t="shared" si="11"/>
        <v>20039.37</v>
      </c>
      <c r="E39" s="543">
        <f t="shared" si="11"/>
        <v>15692.2</v>
      </c>
      <c r="F39" s="543">
        <f t="shared" si="11"/>
        <v>-105354.85</v>
      </c>
      <c r="G39" s="543">
        <f t="shared" si="11"/>
        <v>142730.79</v>
      </c>
      <c r="H39" s="543">
        <f t="shared" si="11"/>
        <v>15677.17</v>
      </c>
      <c r="I39" s="543">
        <f t="shared" si="11"/>
        <v>12839.193393306026</v>
      </c>
      <c r="J39" s="543">
        <f t="shared" si="11"/>
        <v>12839.193393306026</v>
      </c>
      <c r="K39" s="543">
        <f t="shared" si="11"/>
        <v>12839.193393306026</v>
      </c>
      <c r="L39" s="543">
        <f t="shared" ref="L39:N39" si="12">(L34)*L36*L37</f>
        <v>14654.660333731223</v>
      </c>
      <c r="M39" s="543">
        <f t="shared" si="12"/>
        <v>14654.660333731223</v>
      </c>
      <c r="N39" s="543">
        <f t="shared" si="12"/>
        <v>14654.660333731223</v>
      </c>
      <c r="O39" s="543">
        <f>SUM(C39:N39)</f>
        <v>197638.92118111171</v>
      </c>
    </row>
    <row r="40" spans="1:17">
      <c r="A40" s="459">
        <f t="shared" si="1"/>
        <v>29</v>
      </c>
    </row>
    <row r="41" spans="1:17" ht="15.75">
      <c r="A41" s="459">
        <f t="shared" si="1"/>
        <v>30</v>
      </c>
      <c r="B41" s="296" t="s">
        <v>78</v>
      </c>
    </row>
    <row r="42" spans="1:17">
      <c r="A42" s="459">
        <f t="shared" si="1"/>
        <v>31</v>
      </c>
      <c r="B42" s="196" t="s">
        <v>290</v>
      </c>
      <c r="C42" s="915">
        <f>[16]summary!C15</f>
        <v>199726.84999999998</v>
      </c>
      <c r="D42" s="915">
        <f>[16]summary!D15</f>
        <v>206662.44000000003</v>
      </c>
      <c r="E42" s="915">
        <f>[16]summary!E15</f>
        <v>179393.83999999997</v>
      </c>
      <c r="F42" s="915">
        <f>[16]summary!F15</f>
        <v>149612.49</v>
      </c>
      <c r="G42" s="915">
        <f>[16]summary!G15</f>
        <v>219422.88</v>
      </c>
      <c r="H42" s="915">
        <f>[16]summary!H15</f>
        <v>147259.89000000001</v>
      </c>
      <c r="I42" s="915">
        <f>[16]summary!I15</f>
        <v>109106.3382309841</v>
      </c>
      <c r="J42" s="915">
        <f>[16]summary!J15</f>
        <v>109106.3382309841</v>
      </c>
      <c r="K42" s="915">
        <f>[16]summary!K15</f>
        <v>109106.3382309841</v>
      </c>
      <c r="L42" s="915">
        <f>[16]summary!L15</f>
        <v>117898.4140319592</v>
      </c>
      <c r="M42" s="915">
        <f>[16]summary!M15</f>
        <v>117898.4140319592</v>
      </c>
      <c r="N42" s="915">
        <f>[16]summary!N15</f>
        <v>117898.4140319592</v>
      </c>
      <c r="O42" s="915">
        <f t="shared" ref="O42:O47" si="13">SUM(C42:N42)</f>
        <v>1783092.6467888297</v>
      </c>
      <c r="P42" s="670"/>
    </row>
    <row r="43" spans="1:17">
      <c r="A43" s="459">
        <f t="shared" si="1"/>
        <v>32</v>
      </c>
      <c r="B43" s="196" t="s">
        <v>291</v>
      </c>
      <c r="C43" s="915">
        <f>[16]summary!C16</f>
        <v>16982.820000000003</v>
      </c>
      <c r="D43" s="915">
        <f>[16]summary!D16</f>
        <v>288.73999999999978</v>
      </c>
      <c r="E43" s="915">
        <f>[16]summary!E16</f>
        <v>-479.12999999999988</v>
      </c>
      <c r="F43" s="915">
        <f>[16]summary!F16</f>
        <v>12.310000000000002</v>
      </c>
      <c r="G43" s="915">
        <f>[16]summary!G16</f>
        <v>393.75</v>
      </c>
      <c r="H43" s="915">
        <f>[16]summary!H16</f>
        <v>155.62</v>
      </c>
      <c r="I43" s="915">
        <f>[16]summary!I16</f>
        <v>1718.0659856307532</v>
      </c>
      <c r="J43" s="915">
        <f>[16]summary!J16</f>
        <v>1718.0659856307532</v>
      </c>
      <c r="K43" s="915">
        <f>[16]summary!K16</f>
        <v>1718.0659856307532</v>
      </c>
      <c r="L43" s="915">
        <f>[16]summary!L16</f>
        <v>1856.5122631033203</v>
      </c>
      <c r="M43" s="915">
        <f>[16]summary!M16</f>
        <v>1856.5122631033203</v>
      </c>
      <c r="N43" s="915">
        <f>[16]summary!N16</f>
        <v>1856.5122631033203</v>
      </c>
      <c r="O43" s="196">
        <f t="shared" si="13"/>
        <v>28077.844746202223</v>
      </c>
    </row>
    <row r="44" spans="1:17">
      <c r="A44" s="459">
        <f t="shared" si="1"/>
        <v>33</v>
      </c>
      <c r="B44" s="196" t="s">
        <v>292</v>
      </c>
      <c r="C44" s="915">
        <f>[16]summary!C17</f>
        <v>32014</v>
      </c>
      <c r="D44" s="915">
        <f>[16]summary!D17</f>
        <v>16790.55</v>
      </c>
      <c r="E44" s="915">
        <f>[16]summary!E17</f>
        <v>-3067.1200000000008</v>
      </c>
      <c r="F44" s="915">
        <f>[16]summary!F17</f>
        <v>245.43000000000006</v>
      </c>
      <c r="G44" s="915">
        <f>[16]summary!G17</f>
        <v>984.52</v>
      </c>
      <c r="H44" s="915">
        <f>[16]summary!H17</f>
        <v>565.58000000000015</v>
      </c>
      <c r="I44" s="915">
        <f>[16]summary!I17</f>
        <v>4705.7879529602587</v>
      </c>
      <c r="J44" s="915">
        <f>[16]summary!J17</f>
        <v>4705.7879529602587</v>
      </c>
      <c r="K44" s="915">
        <f>[16]summary!K17</f>
        <v>4705.7879529602587</v>
      </c>
      <c r="L44" s="915">
        <f>[16]summary!L17</f>
        <v>5084.9927274633828</v>
      </c>
      <c r="M44" s="915">
        <f>[16]summary!M17</f>
        <v>5084.9927274633828</v>
      </c>
      <c r="N44" s="915">
        <f>[16]summary!N17</f>
        <v>5084.9927274633828</v>
      </c>
      <c r="O44" s="196">
        <f t="shared" si="13"/>
        <v>76905.302041270916</v>
      </c>
    </row>
    <row r="45" spans="1:17">
      <c r="A45" s="459">
        <f t="shared" si="1"/>
        <v>34</v>
      </c>
      <c r="B45" s="196" t="s">
        <v>293</v>
      </c>
      <c r="C45" s="915">
        <f>[16]summary!C18</f>
        <v>44000</v>
      </c>
      <c r="D45" s="915">
        <f>[16]summary!D18</f>
        <v>44000</v>
      </c>
      <c r="E45" s="915">
        <f>[16]summary!E18</f>
        <v>44000</v>
      </c>
      <c r="F45" s="915">
        <f>[16]summary!F18</f>
        <v>44000</v>
      </c>
      <c r="G45" s="915">
        <f>[16]summary!G18</f>
        <v>44000</v>
      </c>
      <c r="H45" s="915">
        <f>[16]summary!H18</f>
        <v>44000</v>
      </c>
      <c r="I45" s="915">
        <f>[16]summary!I18</f>
        <v>44000</v>
      </c>
      <c r="J45" s="915">
        <f>[16]summary!J18</f>
        <v>44000</v>
      </c>
      <c r="K45" s="915">
        <f>[16]summary!K18</f>
        <v>44000</v>
      </c>
      <c r="L45" s="915">
        <f>'[17]FY 2018 Budget'!$D$6</f>
        <v>48700</v>
      </c>
      <c r="M45" s="915">
        <f>'[17]FY 2018 Budget'!$D$6</f>
        <v>48700</v>
      </c>
      <c r="N45" s="915">
        <f>'[17]FY 2018 Budget'!$D$6</f>
        <v>48700</v>
      </c>
      <c r="O45" s="196">
        <f t="shared" si="13"/>
        <v>542100</v>
      </c>
      <c r="P45" s="670"/>
    </row>
    <row r="46" spans="1:17">
      <c r="A46" s="459">
        <f t="shared" si="1"/>
        <v>35</v>
      </c>
      <c r="C46" s="511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</row>
    <row r="47" spans="1:17">
      <c r="A47" s="459">
        <f t="shared" si="1"/>
        <v>36</v>
      </c>
      <c r="B47" s="196" t="s">
        <v>208</v>
      </c>
      <c r="C47" s="543">
        <f t="shared" ref="C47:N47" si="14">SUM(C42:C45)</f>
        <v>292723.67</v>
      </c>
      <c r="D47" s="543">
        <f t="shared" si="14"/>
        <v>267741.73</v>
      </c>
      <c r="E47" s="543">
        <f t="shared" si="14"/>
        <v>219847.58999999997</v>
      </c>
      <c r="F47" s="543">
        <f t="shared" si="14"/>
        <v>193870.22999999998</v>
      </c>
      <c r="G47" s="543">
        <f t="shared" si="14"/>
        <v>264801.15000000002</v>
      </c>
      <c r="H47" s="543">
        <f t="shared" si="14"/>
        <v>191981.09</v>
      </c>
      <c r="I47" s="543">
        <f t="shared" si="14"/>
        <v>159530.19216957511</v>
      </c>
      <c r="J47" s="543">
        <f>SUM(J42:J45)</f>
        <v>159530.19216957511</v>
      </c>
      <c r="K47" s="543">
        <f t="shared" si="14"/>
        <v>159530.19216957511</v>
      </c>
      <c r="L47" s="543">
        <f t="shared" si="14"/>
        <v>173539.91902252589</v>
      </c>
      <c r="M47" s="543">
        <f t="shared" si="14"/>
        <v>173539.91902252589</v>
      </c>
      <c r="N47" s="543">
        <f t="shared" si="14"/>
        <v>173539.91902252589</v>
      </c>
      <c r="O47" s="543">
        <f t="shared" si="13"/>
        <v>2430175.7935763029</v>
      </c>
      <c r="Q47" s="103"/>
    </row>
    <row r="48" spans="1:17">
      <c r="A48" s="459">
        <f t="shared" si="1"/>
        <v>37</v>
      </c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</row>
    <row r="49" spans="1:17">
      <c r="A49" s="459">
        <f t="shared" si="1"/>
        <v>38</v>
      </c>
      <c r="B49" s="196" t="s">
        <v>209</v>
      </c>
      <c r="C49" s="579"/>
      <c r="D49" s="579"/>
      <c r="E49" s="579"/>
      <c r="F49" s="579"/>
      <c r="G49" s="579"/>
      <c r="H49" s="579"/>
      <c r="I49" s="579"/>
      <c r="J49" s="579"/>
      <c r="K49" s="579"/>
      <c r="L49" s="579">
        <f>Allocation!$C$15</f>
        <v>0.10929999999999999</v>
      </c>
      <c r="M49" s="579">
        <f t="shared" ref="M49:N49" si="15">L49</f>
        <v>0.10929999999999999</v>
      </c>
      <c r="N49" s="579">
        <f t="shared" si="15"/>
        <v>0.10929999999999999</v>
      </c>
    </row>
    <row r="50" spans="1:17">
      <c r="A50" s="459">
        <f t="shared" si="1"/>
        <v>39</v>
      </c>
      <c r="B50" s="196" t="s">
        <v>210</v>
      </c>
      <c r="C50" s="579"/>
      <c r="D50" s="827"/>
      <c r="E50" s="579"/>
      <c r="F50" s="579"/>
      <c r="G50" s="579"/>
      <c r="H50" s="579"/>
      <c r="I50" s="579"/>
      <c r="J50" s="579"/>
      <c r="K50" s="579"/>
      <c r="L50" s="579">
        <f>Allocation!$D$15</f>
        <v>0.51883860656465508</v>
      </c>
      <c r="M50" s="579">
        <f t="shared" ref="M50:N50" si="16">L50</f>
        <v>0.51883860656465508</v>
      </c>
      <c r="N50" s="579">
        <f t="shared" si="16"/>
        <v>0.51883860656465508</v>
      </c>
    </row>
    <row r="51" spans="1:17">
      <c r="A51" s="459">
        <f t="shared" si="1"/>
        <v>40</v>
      </c>
      <c r="J51" s="579"/>
    </row>
    <row r="52" spans="1:17">
      <c r="A52" s="459">
        <f t="shared" si="1"/>
        <v>41</v>
      </c>
      <c r="B52" s="196" t="s">
        <v>211</v>
      </c>
      <c r="C52" s="543">
        <f t="shared" ref="C52:K52" si="17">C20</f>
        <v>16598.849999999999</v>
      </c>
      <c r="D52" s="543">
        <f t="shared" si="17"/>
        <v>15182.25</v>
      </c>
      <c r="E52" s="543">
        <f t="shared" si="17"/>
        <v>12466.42</v>
      </c>
      <c r="F52" s="543">
        <f t="shared" si="17"/>
        <v>10993.38</v>
      </c>
      <c r="G52" s="543">
        <f t="shared" si="17"/>
        <v>15015.51</v>
      </c>
      <c r="H52" s="543">
        <f t="shared" si="17"/>
        <v>10886.26</v>
      </c>
      <c r="I52" s="543">
        <f t="shared" si="17"/>
        <v>9046.8071913007643</v>
      </c>
      <c r="J52" s="543">
        <f t="shared" si="17"/>
        <v>9046.8071913007643</v>
      </c>
      <c r="K52" s="543">
        <f t="shared" si="17"/>
        <v>9046.8071913007643</v>
      </c>
      <c r="L52" s="543">
        <f t="shared" ref="L52:N52" si="18">(L47)*L49*L50</f>
        <v>9841.2856277506526</v>
      </c>
      <c r="M52" s="543">
        <f t="shared" si="18"/>
        <v>9841.2856277506526</v>
      </c>
      <c r="N52" s="543">
        <f t="shared" si="18"/>
        <v>9841.2856277506526</v>
      </c>
      <c r="O52" s="543">
        <f>SUM(C52:N52)</f>
        <v>137806.94845715421</v>
      </c>
    </row>
    <row r="53" spans="1:17">
      <c r="A53" s="459">
        <f t="shared" si="1"/>
        <v>42</v>
      </c>
    </row>
    <row r="54" spans="1:17" ht="15.75">
      <c r="A54" s="459">
        <f t="shared" si="1"/>
        <v>43</v>
      </c>
      <c r="B54" s="296" t="s">
        <v>79</v>
      </c>
    </row>
    <row r="55" spans="1:17">
      <c r="A55" s="459">
        <f t="shared" si="1"/>
        <v>44</v>
      </c>
      <c r="B55" s="196" t="s">
        <v>290</v>
      </c>
      <c r="C55" s="915">
        <f>[16]summary!C24</f>
        <v>102721.98999999998</v>
      </c>
      <c r="D55" s="915">
        <f>[16]summary!D24</f>
        <v>18098.100000000002</v>
      </c>
      <c r="E55" s="915">
        <f>[16]summary!E24</f>
        <v>9388.9100000000035</v>
      </c>
      <c r="F55" s="915">
        <f>[16]summary!F24</f>
        <v>20668.28</v>
      </c>
      <c r="G55" s="915">
        <f>[16]summary!G24</f>
        <v>32893.550000000003</v>
      </c>
      <c r="H55" s="915">
        <f>[16]summary!H24</f>
        <v>29690.670000000002</v>
      </c>
      <c r="I55" s="915">
        <f>[16]summary!I24</f>
        <v>22205.157145459118</v>
      </c>
      <c r="J55" s="915">
        <f>[16]summary!J24</f>
        <v>22205.157145459118</v>
      </c>
      <c r="K55" s="915">
        <f>[16]summary!K24</f>
        <v>22205.157145459118</v>
      </c>
      <c r="L55" s="915">
        <f>[16]summary!L24</f>
        <v>23789.232510700818</v>
      </c>
      <c r="M55" s="915">
        <f>[16]summary!M24</f>
        <v>23789.232510700818</v>
      </c>
      <c r="N55" s="915">
        <f>[16]summary!N24</f>
        <v>23789.232510700818</v>
      </c>
      <c r="O55" s="915">
        <f t="shared" ref="O55:O62" si="19">SUM(C55:N55)</f>
        <v>351444.66896847979</v>
      </c>
    </row>
    <row r="56" spans="1:17">
      <c r="A56" s="459">
        <f t="shared" si="1"/>
        <v>45</v>
      </c>
      <c r="B56" s="196" t="s">
        <v>291</v>
      </c>
      <c r="C56" s="915">
        <f>[16]summary!C25</f>
        <v>1639.9999999999998</v>
      </c>
      <c r="D56" s="915">
        <f>[16]summary!D25</f>
        <v>43.640000000000043</v>
      </c>
      <c r="E56" s="915">
        <f>[16]summary!E25</f>
        <v>-177.32</v>
      </c>
      <c r="F56" s="915">
        <f>[16]summary!F25</f>
        <v>-2.08</v>
      </c>
      <c r="G56" s="915">
        <f>[16]summary!G25</f>
        <v>14.970000000000002</v>
      </c>
      <c r="H56" s="915">
        <f>[16]summary!H25</f>
        <v>2.57</v>
      </c>
      <c r="I56" s="915">
        <f>[16]summary!I25</f>
        <v>158.30191411948655</v>
      </c>
      <c r="J56" s="915">
        <f>[16]summary!J25</f>
        <v>158.30191411948655</v>
      </c>
      <c r="K56" s="915">
        <f>[16]summary!K25</f>
        <v>158.30191411948655</v>
      </c>
      <c r="L56" s="915">
        <f>[16]summary!L25</f>
        <v>169.59488362132888</v>
      </c>
      <c r="M56" s="915">
        <f>[16]summary!M25</f>
        <v>169.59488362132888</v>
      </c>
      <c r="N56" s="915">
        <f>[16]summary!N25</f>
        <v>169.59488362132888</v>
      </c>
      <c r="O56" s="196">
        <f t="shared" si="19"/>
        <v>2505.4703932224461</v>
      </c>
    </row>
    <row r="57" spans="1:17">
      <c r="A57" s="459">
        <f t="shared" si="1"/>
        <v>46</v>
      </c>
      <c r="B57" s="196" t="s">
        <v>292</v>
      </c>
      <c r="C57" s="915">
        <f>[16]summary!C26</f>
        <v>1674.8899999999999</v>
      </c>
      <c r="D57" s="915">
        <f>[16]summary!D26</f>
        <v>541.69999999999993</v>
      </c>
      <c r="E57" s="915">
        <f>[16]summary!E26</f>
        <v>-1258.2600000000002</v>
      </c>
      <c r="F57" s="915">
        <f>[16]summary!F26</f>
        <v>130.43</v>
      </c>
      <c r="G57" s="915">
        <f>[16]summary!G26</f>
        <v>8.7499999999999982</v>
      </c>
      <c r="H57" s="915">
        <f>[16]summary!H26</f>
        <v>2.2599999999999998</v>
      </c>
      <c r="I57" s="915">
        <f>[16]summary!I26</f>
        <v>114.40267061676961</v>
      </c>
      <c r="J57" s="915">
        <f>[16]summary!J26</f>
        <v>114.40267061676961</v>
      </c>
      <c r="K57" s="915">
        <f>[16]summary!K26</f>
        <v>114.40267061676961</v>
      </c>
      <c r="L57" s="915">
        <f>[16]summary!L26</f>
        <v>122.56394824496891</v>
      </c>
      <c r="M57" s="915">
        <f>[16]summary!M26</f>
        <v>122.56394824496891</v>
      </c>
      <c r="N57" s="915">
        <f>[16]summary!N26</f>
        <v>122.56394824496891</v>
      </c>
      <c r="O57" s="196">
        <f t="shared" si="19"/>
        <v>1810.6698565852155</v>
      </c>
    </row>
    <row r="58" spans="1:17">
      <c r="A58" s="459">
        <f t="shared" si="1"/>
        <v>47</v>
      </c>
      <c r="B58" s="80" t="s">
        <v>1233</v>
      </c>
      <c r="C58" s="915">
        <f>[16]summary!C27</f>
        <v>148.74</v>
      </c>
      <c r="D58" s="915">
        <f>[16]summary!D27</f>
        <v>97.74</v>
      </c>
      <c r="E58" s="915">
        <f>[16]summary!E27</f>
        <v>106.24</v>
      </c>
      <c r="F58" s="915">
        <f>[16]summary!F27</f>
        <v>12.75</v>
      </c>
      <c r="G58" s="915">
        <f>[16]summary!G27</f>
        <v>12.75</v>
      </c>
      <c r="H58" s="915">
        <f>[16]summary!H27</f>
        <v>0</v>
      </c>
      <c r="I58" s="915">
        <f>[16]summary!I27</f>
        <v>0</v>
      </c>
      <c r="J58" s="915">
        <f>[16]summary!J27</f>
        <v>0</v>
      </c>
      <c r="K58" s="915">
        <f>[16]summary!K27</f>
        <v>0</v>
      </c>
      <c r="L58" s="915">
        <f>[16]summary!L27</f>
        <v>0</v>
      </c>
      <c r="M58" s="915">
        <f>[16]summary!M27</f>
        <v>0</v>
      </c>
      <c r="N58" s="915">
        <f>[16]summary!N27</f>
        <v>0</v>
      </c>
      <c r="O58" s="196">
        <f t="shared" si="19"/>
        <v>378.22</v>
      </c>
    </row>
    <row r="59" spans="1:17">
      <c r="A59" s="459">
        <f t="shared" si="1"/>
        <v>48</v>
      </c>
      <c r="B59" s="196" t="s">
        <v>293</v>
      </c>
      <c r="C59" s="915">
        <f>[16]summary!C28</f>
        <v>5000</v>
      </c>
      <c r="D59" s="915">
        <f>[16]summary!D28</f>
        <v>5000</v>
      </c>
      <c r="E59" s="915">
        <f>[16]summary!E28</f>
        <v>5000</v>
      </c>
      <c r="F59" s="915">
        <f>[16]summary!F28</f>
        <v>5000</v>
      </c>
      <c r="G59" s="915">
        <f>[16]summary!G28</f>
        <v>5000</v>
      </c>
      <c r="H59" s="915">
        <f>[16]summary!H28</f>
        <v>5000</v>
      </c>
      <c r="I59" s="915">
        <f>[16]summary!I28</f>
        <v>5000</v>
      </c>
      <c r="J59" s="915">
        <f>[16]summary!J28</f>
        <v>5000</v>
      </c>
      <c r="K59" s="915">
        <f>[16]summary!K28</f>
        <v>5000</v>
      </c>
      <c r="L59" s="915">
        <f>'[17]FY 2018 Budget'!$D$25</f>
        <v>200</v>
      </c>
      <c r="M59" s="915">
        <f>'[17]FY 2018 Budget'!$D$25</f>
        <v>200</v>
      </c>
      <c r="N59" s="915">
        <f>'[17]FY 2018 Budget'!$D$25</f>
        <v>200</v>
      </c>
      <c r="O59" s="196">
        <f t="shared" si="19"/>
        <v>45600</v>
      </c>
    </row>
    <row r="60" spans="1:17">
      <c r="A60" s="459">
        <f t="shared" si="1"/>
        <v>49</v>
      </c>
      <c r="B60" s="103" t="s">
        <v>1371</v>
      </c>
      <c r="C60" s="915">
        <f>[16]summary!C29</f>
        <v>0</v>
      </c>
      <c r="D60" s="915">
        <f>[16]summary!D29</f>
        <v>0</v>
      </c>
      <c r="E60" s="915">
        <f>[16]summary!E29</f>
        <v>0</v>
      </c>
      <c r="F60" s="915">
        <f>[16]summary!F29</f>
        <v>0</v>
      </c>
      <c r="G60" s="915">
        <f>[16]summary!G29</f>
        <v>0</v>
      </c>
      <c r="H60" s="915">
        <f>[16]summary!H29</f>
        <v>0</v>
      </c>
      <c r="I60" s="915">
        <f>[16]summary!I29</f>
        <v>0</v>
      </c>
      <c r="J60" s="915">
        <f>[16]summary!J29</f>
        <v>0</v>
      </c>
      <c r="K60" s="915">
        <f>[16]summary!K29</f>
        <v>0</v>
      </c>
      <c r="L60" s="915">
        <f>[16]summary!L29</f>
        <v>0</v>
      </c>
      <c r="M60" s="915">
        <f>[16]summary!M29</f>
        <v>0</v>
      </c>
      <c r="N60" s="915">
        <f>[16]summary!N29</f>
        <v>0</v>
      </c>
      <c r="O60" s="196">
        <f t="shared" si="19"/>
        <v>0</v>
      </c>
    </row>
    <row r="61" spans="1:17">
      <c r="A61" s="459">
        <f t="shared" si="1"/>
        <v>50</v>
      </c>
      <c r="B61" s="80"/>
      <c r="C61" s="511"/>
      <c r="D61" s="511"/>
      <c r="E61" s="629"/>
      <c r="F61" s="629"/>
      <c r="G61" s="511"/>
      <c r="H61" s="511"/>
      <c r="I61" s="511"/>
      <c r="J61" s="511"/>
      <c r="K61" s="511"/>
      <c r="L61" s="511"/>
      <c r="M61" s="511"/>
      <c r="N61" s="511"/>
      <c r="Q61" s="103"/>
    </row>
    <row r="62" spans="1:17">
      <c r="A62" s="459">
        <f t="shared" si="1"/>
        <v>51</v>
      </c>
      <c r="B62" s="196" t="s">
        <v>208</v>
      </c>
      <c r="C62" s="543">
        <f t="shared" ref="C62:N62" si="20">SUM(C55:C60)</f>
        <v>111185.61999999998</v>
      </c>
      <c r="D62" s="543">
        <f t="shared" si="20"/>
        <v>23781.180000000004</v>
      </c>
      <c r="E62" s="543">
        <f t="shared" si="20"/>
        <v>13059.570000000003</v>
      </c>
      <c r="F62" s="543">
        <f t="shared" si="20"/>
        <v>25809.379999999997</v>
      </c>
      <c r="G62" s="543">
        <f t="shared" si="20"/>
        <v>37930.020000000004</v>
      </c>
      <c r="H62" s="543">
        <f t="shared" si="20"/>
        <v>34695.5</v>
      </c>
      <c r="I62" s="543">
        <f t="shared" si="20"/>
        <v>27477.861730195371</v>
      </c>
      <c r="J62" s="543">
        <f t="shared" si="20"/>
        <v>27477.861730195371</v>
      </c>
      <c r="K62" s="543">
        <f t="shared" si="20"/>
        <v>27477.861730195371</v>
      </c>
      <c r="L62" s="543">
        <f t="shared" si="20"/>
        <v>24281.391342567116</v>
      </c>
      <c r="M62" s="543">
        <f t="shared" si="20"/>
        <v>24281.391342567116</v>
      </c>
      <c r="N62" s="543">
        <f t="shared" si="20"/>
        <v>24281.391342567116</v>
      </c>
      <c r="O62" s="543">
        <f t="shared" si="19"/>
        <v>401739.02921828738</v>
      </c>
    </row>
    <row r="63" spans="1:17">
      <c r="A63" s="459">
        <f t="shared" si="1"/>
        <v>52</v>
      </c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</row>
    <row r="64" spans="1:17">
      <c r="A64" s="459">
        <f t="shared" si="1"/>
        <v>53</v>
      </c>
      <c r="B64" s="196" t="s">
        <v>209</v>
      </c>
      <c r="C64" s="579"/>
      <c r="D64" s="579"/>
      <c r="E64" s="579"/>
      <c r="F64" s="579"/>
      <c r="G64" s="579"/>
      <c r="H64" s="579"/>
      <c r="I64" s="579"/>
      <c r="J64" s="579"/>
      <c r="K64" s="579"/>
      <c r="L64" s="579">
        <v>1</v>
      </c>
      <c r="M64" s="579">
        <f t="shared" ref="M64:N64" si="21">L64</f>
        <v>1</v>
      </c>
      <c r="N64" s="579">
        <f t="shared" si="21"/>
        <v>1</v>
      </c>
    </row>
    <row r="65" spans="1:16">
      <c r="A65" s="459">
        <f t="shared" si="1"/>
        <v>54</v>
      </c>
      <c r="B65" s="196" t="s">
        <v>210</v>
      </c>
      <c r="C65" s="579"/>
      <c r="D65" s="579"/>
      <c r="E65" s="579"/>
      <c r="F65" s="579"/>
      <c r="G65" s="579"/>
      <c r="H65" s="579"/>
      <c r="I65" s="579"/>
      <c r="J65" s="579"/>
      <c r="K65" s="579"/>
      <c r="L65" s="579">
        <f>Allocation!$H$17</f>
        <v>0.5025136071712456</v>
      </c>
      <c r="M65" s="579">
        <f t="shared" ref="M65:N65" si="22">L65</f>
        <v>0.5025136071712456</v>
      </c>
      <c r="N65" s="579">
        <f t="shared" si="22"/>
        <v>0.5025136071712456</v>
      </c>
    </row>
    <row r="66" spans="1:16">
      <c r="A66" s="459">
        <f t="shared" si="1"/>
        <v>55</v>
      </c>
    </row>
    <row r="67" spans="1:16">
      <c r="A67" s="459">
        <f t="shared" si="1"/>
        <v>56</v>
      </c>
      <c r="B67" s="196" t="s">
        <v>211</v>
      </c>
      <c r="C67" s="543">
        <f t="shared" ref="C67:K67" si="23">C22</f>
        <v>55870.77</v>
      </c>
      <c r="D67" s="543">
        <f t="shared" si="23"/>
        <v>11950.04</v>
      </c>
      <c r="E67" s="543">
        <f t="shared" si="23"/>
        <v>6562.43</v>
      </c>
      <c r="F67" s="543">
        <f t="shared" si="23"/>
        <v>12969.21</v>
      </c>
      <c r="G67" s="543">
        <f t="shared" si="23"/>
        <v>19059.84</v>
      </c>
      <c r="H67" s="543">
        <f t="shared" si="23"/>
        <v>17434.490000000002</v>
      </c>
      <c r="I67" s="543">
        <f t="shared" si="23"/>
        <v>13807.999415393204</v>
      </c>
      <c r="J67" s="543">
        <f t="shared" si="23"/>
        <v>13807.999415393204</v>
      </c>
      <c r="K67" s="543">
        <f t="shared" si="23"/>
        <v>13807.999415393204</v>
      </c>
      <c r="L67" s="543">
        <f t="shared" ref="L67:N67" si="24">(L62)*L64*L65</f>
        <v>12201.729550690055</v>
      </c>
      <c r="M67" s="543">
        <f t="shared" si="24"/>
        <v>12201.729550690055</v>
      </c>
      <c r="N67" s="543">
        <f t="shared" si="24"/>
        <v>12201.729550690055</v>
      </c>
      <c r="O67" s="543">
        <f>SUM(C67:N67)</f>
        <v>201875.9668982497</v>
      </c>
    </row>
    <row r="68" spans="1:16">
      <c r="C68" s="760"/>
    </row>
    <row r="70" spans="1:16">
      <c r="B70" s="504"/>
      <c r="C70" s="579"/>
      <c r="D70" s="579"/>
      <c r="E70" s="579"/>
      <c r="F70" s="579"/>
      <c r="G70" s="579"/>
      <c r="H70" s="579"/>
      <c r="I70" s="579"/>
      <c r="J70" s="579"/>
      <c r="K70" s="579"/>
      <c r="L70" s="579"/>
      <c r="M70" s="579"/>
      <c r="N70" s="579"/>
      <c r="O70" s="670"/>
    </row>
    <row r="71" spans="1:16">
      <c r="B71" s="504"/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P71" s="670"/>
    </row>
    <row r="72" spans="1:16">
      <c r="B72" s="504"/>
      <c r="C72" s="579"/>
      <c r="D72" s="579"/>
      <c r="E72" s="579"/>
      <c r="F72" s="579"/>
      <c r="G72" s="579"/>
      <c r="H72" s="579"/>
      <c r="I72" s="579"/>
      <c r="J72" s="579"/>
      <c r="K72" s="579"/>
      <c r="L72" s="579"/>
      <c r="M72" s="579"/>
      <c r="N72" s="579"/>
      <c r="P72" s="670"/>
    </row>
    <row r="73" spans="1:16">
      <c r="P73" s="670"/>
    </row>
    <row r="74" spans="1:16">
      <c r="P74" s="670"/>
    </row>
    <row r="75" spans="1:16">
      <c r="E75" s="670"/>
      <c r="J75" s="690"/>
    </row>
    <row r="78" spans="1:16">
      <c r="J78" s="670"/>
      <c r="K78" s="670"/>
    </row>
    <row r="79" spans="1:16">
      <c r="J79" s="670"/>
      <c r="K79" s="670"/>
    </row>
    <row r="80" spans="1:16">
      <c r="J80" s="670"/>
      <c r="K80" s="670"/>
    </row>
    <row r="81" spans="10:11">
      <c r="J81" s="670"/>
      <c r="K81" s="670"/>
    </row>
    <row r="82" spans="10:11">
      <c r="J82" s="670"/>
      <c r="K82" s="670"/>
    </row>
    <row r="83" spans="10:11">
      <c r="J83" s="670"/>
      <c r="K83" s="670"/>
    </row>
    <row r="84" spans="10:11">
      <c r="J84" s="670"/>
      <c r="K84" s="670"/>
    </row>
  </sheetData>
  <mergeCells count="4">
    <mergeCell ref="A1:O1"/>
    <mergeCell ref="A2:O2"/>
    <mergeCell ref="A3:O3"/>
    <mergeCell ref="A4:O4"/>
  </mergeCells>
  <phoneticPr fontId="22" type="noConversion"/>
  <printOptions horizontalCentered="1"/>
  <pageMargins left="0.17" right="0.17" top="0.6" bottom="0.17" header="0.18" footer="0.42"/>
  <pageSetup scale="48" orientation="landscape" r:id="rId1"/>
  <headerFooter alignWithMargins="0">
    <oddFooter>&amp;RSchedule &amp;A
Page &amp;P of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S69"/>
  <sheetViews>
    <sheetView view="pageBreakPreview" zoomScale="70" zoomScaleNormal="70" zoomScaleSheetLayoutView="70" workbookViewId="0">
      <pane xSplit="2" ySplit="10" topLeftCell="C11" activePane="bottomRight" state="frozen"/>
      <selection activeCell="F55" sqref="F55"/>
      <selection pane="topRight" activeCell="F55" sqref="F55"/>
      <selection pane="bottomLeft" activeCell="F55" sqref="F55"/>
      <selection pane="bottomRight" activeCell="A21" sqref="A21"/>
    </sheetView>
  </sheetViews>
  <sheetFormatPr defaultRowHeight="15"/>
  <cols>
    <col min="1" max="1" width="4.6640625" style="81" customWidth="1"/>
    <col min="2" max="2" width="40.6640625" style="81" customWidth="1"/>
    <col min="3" max="14" width="10" style="81" customWidth="1"/>
    <col min="15" max="15" width="13.88671875" style="81" customWidth="1"/>
    <col min="16" max="16" width="13.109375" style="81" bestFit="1" customWidth="1"/>
    <col min="17" max="17" width="12" style="81" bestFit="1" customWidth="1"/>
    <col min="18" max="18" width="11.44140625" style="81" bestFit="1" customWidth="1"/>
    <col min="19" max="16384" width="8.88671875" style="81"/>
  </cols>
  <sheetData>
    <row r="1" spans="1:19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</row>
    <row r="2" spans="1:19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</row>
    <row r="3" spans="1:19">
      <c r="A3" s="1190" t="s">
        <v>193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Q3" s="690"/>
    </row>
    <row r="4" spans="1:19">
      <c r="A4" s="1190" t="str">
        <f>'Table of Contents'!A4:C4</f>
        <v>Forecasted Test Period: Twelve Months Ended March 31, 2019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</row>
    <row r="5" spans="1:19">
      <c r="B5" s="150"/>
      <c r="C5" s="150"/>
      <c r="D5" s="150"/>
      <c r="E5" s="150"/>
      <c r="F5" s="873"/>
      <c r="G5" s="150"/>
      <c r="H5" s="150"/>
      <c r="I5" s="150"/>
      <c r="J5" s="150"/>
      <c r="K5" s="150"/>
      <c r="L5" s="150"/>
      <c r="M5" s="370"/>
      <c r="N5" s="150"/>
    </row>
    <row r="6" spans="1:19">
      <c r="A6" s="88" t="str">
        <f>'C.2.1 F'!A6</f>
        <v>Data:________Base Period___X____Forecasted Period</v>
      </c>
      <c r="M6" s="74"/>
      <c r="O6" s="170" t="s">
        <v>1455</v>
      </c>
    </row>
    <row r="7" spans="1:19">
      <c r="A7" s="88" t="str">
        <f>'C.2.1 F'!A7</f>
        <v>Type of Filing:___X____Original________Updated ________Revised</v>
      </c>
      <c r="E7" s="670"/>
      <c r="H7" s="670"/>
      <c r="M7" s="74"/>
      <c r="N7" s="918"/>
      <c r="O7" s="507" t="s">
        <v>721</v>
      </c>
    </row>
    <row r="8" spans="1:19">
      <c r="A8" s="390" t="str">
        <f>'C.2.1 F'!A8</f>
        <v>Workpaper Reference No(s).____________________</v>
      </c>
      <c r="B8" s="82"/>
      <c r="C8" s="151"/>
      <c r="D8" s="151"/>
      <c r="E8" s="151"/>
      <c r="F8" s="151"/>
      <c r="G8" s="151"/>
      <c r="H8" s="151"/>
      <c r="I8" s="151"/>
      <c r="J8" s="151"/>
      <c r="K8" s="151"/>
      <c r="L8" s="82"/>
      <c r="M8" s="82"/>
      <c r="N8" s="360"/>
      <c r="O8" s="919" t="str">
        <f>LEFT(C.1!J9,15)</f>
        <v>Witness: Waller</v>
      </c>
    </row>
    <row r="9" spans="1:19">
      <c r="A9" s="391" t="s">
        <v>94</v>
      </c>
      <c r="C9" s="855" t="str">
        <f>'C.2.2-F 09'!D9</f>
        <v>Forecasted</v>
      </c>
      <c r="D9" s="855" t="str">
        <f>'C.2.2-F 09'!E9</f>
        <v>Forecasted</v>
      </c>
      <c r="E9" s="855" t="str">
        <f>'C.2.2-F 09'!F9</f>
        <v>Forecasted</v>
      </c>
      <c r="F9" s="855" t="str">
        <f>'C.2.2-F 09'!G9</f>
        <v>Forecasted</v>
      </c>
      <c r="G9" s="855" t="str">
        <f>'C.2.2-F 09'!H9</f>
        <v>Forecasted</v>
      </c>
      <c r="H9" s="855" t="str">
        <f>'C.2.2-F 09'!I9</f>
        <v>Forecasted</v>
      </c>
      <c r="I9" s="855" t="str">
        <f>'C.2.2-F 09'!J9</f>
        <v>Forecasted</v>
      </c>
      <c r="J9" s="855" t="str">
        <f>'C.2.2-F 09'!K9</f>
        <v>Forecasted</v>
      </c>
      <c r="K9" s="855" t="str">
        <f>'C.2.2-F 09'!L9</f>
        <v>Forecasted</v>
      </c>
      <c r="L9" s="855" t="str">
        <f>'C.2.2-F 09'!M9</f>
        <v>Forecasted</v>
      </c>
      <c r="M9" s="855" t="str">
        <f>'C.2.2-F 09'!N9</f>
        <v>Forecasted</v>
      </c>
      <c r="N9" s="855" t="str">
        <f>'C.2.2-F 09'!O9</f>
        <v>Forecasted</v>
      </c>
      <c r="O9" s="908"/>
    </row>
    <row r="10" spans="1:19">
      <c r="A10" s="392" t="s">
        <v>100</v>
      </c>
      <c r="B10" s="360" t="s">
        <v>192</v>
      </c>
      <c r="C10" s="393">
        <f>'C.2.2-F 09'!D10</f>
        <v>43191</v>
      </c>
      <c r="D10" s="393">
        <f>'C.2.2-F 09'!E10</f>
        <v>43221</v>
      </c>
      <c r="E10" s="393">
        <f>'C.2.2-F 09'!F10</f>
        <v>43252</v>
      </c>
      <c r="F10" s="393">
        <f>'C.2.2-F 09'!G10</f>
        <v>43282</v>
      </c>
      <c r="G10" s="393">
        <f>'C.2.2-F 09'!H10</f>
        <v>43313</v>
      </c>
      <c r="H10" s="393">
        <f>'C.2.2-F 09'!I10</f>
        <v>43344</v>
      </c>
      <c r="I10" s="393">
        <f>'C.2.2-F 09'!J10</f>
        <v>43374</v>
      </c>
      <c r="J10" s="393">
        <f>'C.2.2-F 09'!K10</f>
        <v>43405</v>
      </c>
      <c r="K10" s="393">
        <f>'C.2.2-F 09'!L10</f>
        <v>43435</v>
      </c>
      <c r="L10" s="393">
        <f>'C.2.2-F 09'!M10</f>
        <v>43466</v>
      </c>
      <c r="M10" s="393">
        <f>'C.2.2-F 09'!N10</f>
        <v>43497</v>
      </c>
      <c r="N10" s="393">
        <f>'C.2.2-F 09'!O10</f>
        <v>43525</v>
      </c>
      <c r="O10" s="362" t="str">
        <f>'C.2.2 B 09'!P10</f>
        <v>Total</v>
      </c>
      <c r="P10" s="76"/>
    </row>
    <row r="11" spans="1:19" ht="15.75">
      <c r="B11" s="296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</row>
    <row r="12" spans="1:19" ht="15.75">
      <c r="B12" s="296" t="s">
        <v>194</v>
      </c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2"/>
      <c r="N12" s="852"/>
      <c r="O12" s="852"/>
    </row>
    <row r="13" spans="1:19">
      <c r="A13" s="854">
        <v>1</v>
      </c>
      <c r="B13" s="81" t="s">
        <v>290</v>
      </c>
      <c r="C13" s="915">
        <f>'C.2.3 B'!F12*1.03</f>
        <v>21689.935699999998</v>
      </c>
      <c r="D13" s="915">
        <f>'C.2.3 B'!G12*1.03</f>
        <v>22055.060400000002</v>
      </c>
      <c r="E13" s="915">
        <f>'C.2.3 B'!H12*1.03</f>
        <v>20619.796599999994</v>
      </c>
      <c r="F13" s="915">
        <f>'C.2.3 B'!I12*1.03</f>
        <v>41819.770430420162</v>
      </c>
      <c r="G13" s="915">
        <f>'C.2.3 B'!J12*1.03</f>
        <v>16077.227465666949</v>
      </c>
      <c r="H13" s="915">
        <f>'C.2.3 B'!K12*1.03</f>
        <v>44558.742639855314</v>
      </c>
      <c r="I13" s="915">
        <f>'C.2.3 B'!L12*1.03</f>
        <v>21303.45014975328</v>
      </c>
      <c r="J13" s="915">
        <f>'C.2.3 B'!M12*1.03</f>
        <v>67671.193034425174</v>
      </c>
      <c r="K13" s="915">
        <f>'C.2.3 B'!N12*1.03</f>
        <v>12074.652103447163</v>
      </c>
      <c r="L13" s="915">
        <f>'C.2.3 B'!C12*1.03*1.03</f>
        <v>35512.927306000005</v>
      </c>
      <c r="M13" s="915">
        <f>'C.2.3 B'!D12*1.03*1.03</f>
        <v>26863.292907000006</v>
      </c>
      <c r="N13" s="915">
        <f>'C.2.3 B'!E12*1.03*1.03</f>
        <v>41431.900585999996</v>
      </c>
      <c r="O13" s="345">
        <f t="shared" ref="O13:O23" si="0">SUM(C13:N13)</f>
        <v>371677.94932256808</v>
      </c>
      <c r="P13" s="670"/>
      <c r="S13" s="690"/>
    </row>
    <row r="14" spans="1:19">
      <c r="A14" s="854">
        <f>A13+1</f>
        <v>2</v>
      </c>
      <c r="B14" s="81" t="s">
        <v>291</v>
      </c>
      <c r="C14" s="511">
        <f>'C.2.3 B'!F13*1.03</f>
        <v>-3.646199999999999</v>
      </c>
      <c r="D14" s="511">
        <f>'C.2.3 B'!G13*1.03</f>
        <v>27.913</v>
      </c>
      <c r="E14" s="511">
        <f>'C.2.3 B'!H13*1.03</f>
        <v>5.3869000000000007</v>
      </c>
      <c r="F14" s="511">
        <f>'C.2.3 B'!I13*1.03</f>
        <v>751.19469981178486</v>
      </c>
      <c r="G14" s="511">
        <f>'C.2.3 B'!J13*1.03</f>
        <v>288.78991767712887</v>
      </c>
      <c r="H14" s="511">
        <f>'C.2.3 B'!K13*1.03</f>
        <v>800.39395139741305</v>
      </c>
      <c r="I14" s="511">
        <f>'C.2.3 B'!L13*1.03</f>
        <v>382.66682661075657</v>
      </c>
      <c r="J14" s="511">
        <f>'C.2.3 B'!M13*1.03</f>
        <v>1215.5552508825581</v>
      </c>
      <c r="K14" s="511">
        <f>'C.2.3 B'!N13*1.03</f>
        <v>216.89298073197475</v>
      </c>
      <c r="L14" s="511">
        <f>'C.2.3 B'!C13*1.03*1.03</f>
        <v>3342.1638790000006</v>
      </c>
      <c r="M14" s="511">
        <f>'C.2.3 B'!D13*1.03*1.03</f>
        <v>28.272985000000219</v>
      </c>
      <c r="N14" s="511">
        <f>'C.2.3 B'!E13*1.03*1.03</f>
        <v>-345.46086700000012</v>
      </c>
      <c r="O14" s="428">
        <f t="shared" si="0"/>
        <v>6710.1233241116179</v>
      </c>
      <c r="P14" s="920"/>
    </row>
    <row r="15" spans="1:19">
      <c r="A15" s="854">
        <f t="shared" ref="A15:A68" si="1">A14+1</f>
        <v>3</v>
      </c>
      <c r="B15" s="81" t="s">
        <v>292</v>
      </c>
      <c r="C15" s="511">
        <f>'C.2.3 B'!F14*1.03</f>
        <v>246.12879999999998</v>
      </c>
      <c r="D15" s="511">
        <f>'C.2.3 B'!G14*1.03</f>
        <v>16.253400000000003</v>
      </c>
      <c r="E15" s="511">
        <f>'C.2.3 B'!H14*1.03</f>
        <v>4.604099999999999</v>
      </c>
      <c r="F15" s="511">
        <f>'C.2.3 B'!I14*1.03</f>
        <v>551.01486976805563</v>
      </c>
      <c r="G15" s="511">
        <f>'C.2.3 B'!J14*1.03</f>
        <v>211.83261665592264</v>
      </c>
      <c r="H15" s="511">
        <f>'C.2.3 B'!K14*1.03</f>
        <v>587.10340874727535</v>
      </c>
      <c r="I15" s="511">
        <f>'C.2.3 B'!L14*1.03</f>
        <v>280.69302363596529</v>
      </c>
      <c r="J15" s="511">
        <f>'C.2.3 B'!M14*1.03</f>
        <v>891.63171469227302</v>
      </c>
      <c r="K15" s="511">
        <f>'C.2.3 B'!N14*1.03</f>
        <v>159.09491582086315</v>
      </c>
      <c r="L15" s="511">
        <f>'C.2.3 B'!C14*1.03*1.03</f>
        <v>3413.2123519999996</v>
      </c>
      <c r="M15" s="511">
        <f>'C.2.3 B'!D14*1.03*1.03</f>
        <v>996.18510000000015</v>
      </c>
      <c r="N15" s="511">
        <f>'C.2.3 B'!E14*1.03*1.03</f>
        <v>-2443.114783</v>
      </c>
      <c r="O15" s="428">
        <f t="shared" si="0"/>
        <v>4914.6395183203558</v>
      </c>
      <c r="P15" s="920"/>
    </row>
    <row r="16" spans="1:19">
      <c r="A16" s="854">
        <f t="shared" si="1"/>
        <v>4</v>
      </c>
      <c r="B16" s="81" t="s">
        <v>1233</v>
      </c>
      <c r="C16" s="511">
        <f>'C.2.3 B'!F15*1.03</f>
        <v>48.152500000000003</v>
      </c>
      <c r="D16" s="511">
        <f>'C.2.3 B'!G15*1.03</f>
        <v>0</v>
      </c>
      <c r="E16" s="511">
        <f>'C.2.3 B'!H15*1.03</f>
        <v>13.1325</v>
      </c>
      <c r="F16" s="511">
        <f>'C.2.3 B'!I15</f>
        <v>0</v>
      </c>
      <c r="G16" s="511">
        <f>'C.2.3 B'!J15</f>
        <v>0</v>
      </c>
      <c r="H16" s="511">
        <f>'C.2.3 B'!K15</f>
        <v>0</v>
      </c>
      <c r="I16" s="511">
        <f>'C.2.3 B'!L15</f>
        <v>0</v>
      </c>
      <c r="J16" s="511">
        <f>'C.2.3 B'!M15</f>
        <v>0</v>
      </c>
      <c r="K16" s="511">
        <f>'C.2.3 B'!N15</f>
        <v>0</v>
      </c>
      <c r="L16" s="629">
        <f>'C.2.3 B'!C15*1.03</f>
        <v>0</v>
      </c>
      <c r="M16" s="629">
        <f>'C.2.3 B'!M15</f>
        <v>0</v>
      </c>
      <c r="N16" s="629">
        <f>'C.2.3 B'!N15</f>
        <v>0</v>
      </c>
      <c r="O16" s="428">
        <f t="shared" si="0"/>
        <v>61.285000000000004</v>
      </c>
      <c r="P16" s="670"/>
      <c r="R16" s="890"/>
    </row>
    <row r="17" spans="1:18">
      <c r="A17" s="854">
        <f t="shared" si="1"/>
        <v>5</v>
      </c>
      <c r="B17" s="81" t="s">
        <v>110</v>
      </c>
      <c r="C17" s="511">
        <f>'[17]FY 2018 Budget'!$E$21</f>
        <v>423000</v>
      </c>
      <c r="D17" s="511">
        <f>'[17]FY 2018 Budget'!$E$21</f>
        <v>423000</v>
      </c>
      <c r="E17" s="511">
        <f>'[17]FY 2018 Budget'!$E$21</f>
        <v>423000</v>
      </c>
      <c r="F17" s="511">
        <f>'[17]FY 2018 Budget'!$E$21</f>
        <v>423000</v>
      </c>
      <c r="G17" s="511">
        <f>'[17]FY 2018 Budget'!$E$21</f>
        <v>423000</v>
      </c>
      <c r="H17" s="511">
        <f>'[17]FY 2018 Budget'!$E$21</f>
        <v>423000</v>
      </c>
      <c r="I17" s="511">
        <f>'[17]FY 2018 Budget'!$E$21</f>
        <v>423000</v>
      </c>
      <c r="J17" s="511">
        <f>'[17]FY 2018 Budget'!$E$21</f>
        <v>423000</v>
      </c>
      <c r="K17" s="511">
        <f>'[17]FY 2018 Budget'!$E$21</f>
        <v>423000</v>
      </c>
      <c r="L17" s="511">
        <f>'[17]FY 2018 Budget'!$E$21</f>
        <v>423000</v>
      </c>
      <c r="M17" s="511">
        <f>'[17]FY 2018 Budget'!$E$21</f>
        <v>423000</v>
      </c>
      <c r="N17" s="511">
        <f>'[17]FY 2018 Budget'!$E$21</f>
        <v>423000</v>
      </c>
      <c r="O17" s="511">
        <f>SUM(C17:N17)</f>
        <v>5076000</v>
      </c>
      <c r="P17" s="626"/>
      <c r="Q17" s="626"/>
      <c r="R17" s="670"/>
    </row>
    <row r="18" spans="1:18">
      <c r="A18" s="854">
        <f t="shared" si="1"/>
        <v>6</v>
      </c>
      <c r="B18" s="196" t="s">
        <v>1372</v>
      </c>
      <c r="C18" s="511">
        <f>'C.2.3 B'!F17</f>
        <v>0</v>
      </c>
      <c r="D18" s="511">
        <f>'C.2.3 B'!G17</f>
        <v>0</v>
      </c>
      <c r="E18" s="511">
        <f>'C.2.3 B'!H17</f>
        <v>52130.400000000001</v>
      </c>
      <c r="F18" s="511">
        <f>'C.2.3 B'!I17</f>
        <v>0</v>
      </c>
      <c r="G18" s="511">
        <f>'C.2.3 B'!J17</f>
        <v>0</v>
      </c>
      <c r="H18" s="511">
        <f>'C.2.3 B'!K17</f>
        <v>0</v>
      </c>
      <c r="I18" s="511">
        <f>'C.2.3 B'!L17</f>
        <v>0</v>
      </c>
      <c r="J18" s="511">
        <f>'C.2.3 B'!M17</f>
        <v>0</v>
      </c>
      <c r="K18" s="511">
        <f>'C.2.3 B'!N17</f>
        <v>0</v>
      </c>
      <c r="L18" s="511">
        <f>'C.2.3 B'!C17</f>
        <v>0</v>
      </c>
      <c r="M18" s="511">
        <f>'C.2.3 B'!D17</f>
        <v>0</v>
      </c>
      <c r="N18" s="511">
        <f>'C.2.3 B'!E17</f>
        <v>30150.68</v>
      </c>
      <c r="O18" s="428">
        <f t="shared" si="0"/>
        <v>82281.08</v>
      </c>
      <c r="Q18" s="921"/>
    </row>
    <row r="19" spans="1:18">
      <c r="A19" s="854">
        <f t="shared" si="1"/>
        <v>7</v>
      </c>
      <c r="B19" s="81" t="s">
        <v>109</v>
      </c>
      <c r="C19" s="511">
        <f>'C.2.3 B'!F18</f>
        <v>37106.720000000001</v>
      </c>
      <c r="D19" s="511">
        <f>'C.2.3 B'!G18</f>
        <v>42</v>
      </c>
      <c r="E19" s="511">
        <f>'C.2.3 B'!H18</f>
        <v>0</v>
      </c>
      <c r="F19" s="511">
        <f>'C.2.3 B'!I18</f>
        <v>17415</v>
      </c>
      <c r="G19" s="511">
        <f>'C.2.3 B'!J18</f>
        <v>192</v>
      </c>
      <c r="H19" s="511">
        <f>'C.2.3 B'!K18</f>
        <v>47279</v>
      </c>
      <c r="I19" s="511">
        <f>'C.2.3 B'!L18</f>
        <v>12215</v>
      </c>
      <c r="J19" s="511">
        <f>'C.2.3 B'!M18</f>
        <v>64</v>
      </c>
      <c r="K19" s="511">
        <f>'C.2.3 B'!N18</f>
        <v>873</v>
      </c>
      <c r="L19" s="511">
        <f>'C.2.3 B'!C18</f>
        <v>19080.940000000002</v>
      </c>
      <c r="M19" s="511">
        <f>'C.2.3 B'!D18</f>
        <v>0</v>
      </c>
      <c r="N19" s="511">
        <f>'C.2.3 B'!E18</f>
        <v>158.94999999999999</v>
      </c>
      <c r="O19" s="428">
        <f t="shared" si="0"/>
        <v>134426.61000000002</v>
      </c>
      <c r="P19" s="670"/>
      <c r="Q19" s="921"/>
    </row>
    <row r="20" spans="1:18">
      <c r="A20" s="854">
        <f t="shared" si="1"/>
        <v>8</v>
      </c>
      <c r="B20" s="81" t="s">
        <v>294</v>
      </c>
      <c r="C20" s="511">
        <f>$O20/12</f>
        <v>28397.969559932972</v>
      </c>
      <c r="D20" s="511">
        <f>C20</f>
        <v>28397.969559932972</v>
      </c>
      <c r="E20" s="511">
        <f t="shared" ref="E20" si="2">D20</f>
        <v>28397.969559932972</v>
      </c>
      <c r="F20" s="511">
        <f t="shared" ref="F20" si="3">E20</f>
        <v>28397.969559932972</v>
      </c>
      <c r="G20" s="511">
        <f t="shared" ref="G20" si="4">F20</f>
        <v>28397.969559932972</v>
      </c>
      <c r="H20" s="511">
        <f t="shared" ref="H20" si="5">G20</f>
        <v>28397.969559932972</v>
      </c>
      <c r="I20" s="511">
        <f t="shared" ref="I20" si="6">H20</f>
        <v>28397.969559932972</v>
      </c>
      <c r="J20" s="511">
        <f t="shared" ref="J20" si="7">I20</f>
        <v>28397.969559932972</v>
      </c>
      <c r="K20" s="511">
        <f t="shared" ref="K20" si="8">J20</f>
        <v>28397.969559932972</v>
      </c>
      <c r="L20" s="511">
        <f t="shared" ref="L20" si="9">K20</f>
        <v>28397.969559932972</v>
      </c>
      <c r="M20" s="511">
        <f t="shared" ref="M20" si="10">L20</f>
        <v>28397.969559932972</v>
      </c>
      <c r="N20" s="511">
        <f t="shared" ref="N20" si="11">M20</f>
        <v>28397.969559932972</v>
      </c>
      <c r="O20" s="511">
        <f>-H.1!$E$21*SUM('C.2.2-F 09'!$P$17:$P$28)</f>
        <v>340775.63471919566</v>
      </c>
      <c r="P20" s="922"/>
      <c r="Q20" s="670"/>
      <c r="R20" s="670"/>
    </row>
    <row r="21" spans="1:18">
      <c r="A21" s="854">
        <f t="shared" si="1"/>
        <v>9</v>
      </c>
      <c r="B21" s="81" t="s">
        <v>43</v>
      </c>
      <c r="C21" s="428">
        <f>C53</f>
        <v>11736.866354638472</v>
      </c>
      <c r="D21" s="428">
        <f t="shared" ref="D21:N21" si="12">D53</f>
        <v>15879.964904618653</v>
      </c>
      <c r="E21" s="428">
        <f t="shared" si="12"/>
        <v>11626.521061010399</v>
      </c>
      <c r="F21" s="428">
        <f t="shared" si="12"/>
        <v>9731.053361637707</v>
      </c>
      <c r="G21" s="428">
        <f t="shared" si="12"/>
        <v>9731.053361637707</v>
      </c>
      <c r="H21" s="428">
        <f t="shared" si="12"/>
        <v>9731.053361637707</v>
      </c>
      <c r="I21" s="428">
        <f t="shared" si="12"/>
        <v>10274.837593185417</v>
      </c>
      <c r="J21" s="428">
        <f t="shared" si="12"/>
        <v>10274.837593185417</v>
      </c>
      <c r="K21" s="428">
        <f t="shared" si="12"/>
        <v>10274.837593185417</v>
      </c>
      <c r="L21" s="428">
        <f t="shared" si="12"/>
        <v>17946.769514222971</v>
      </c>
      <c r="M21" s="428">
        <f t="shared" si="12"/>
        <v>16443.790015699869</v>
      </c>
      <c r="N21" s="428">
        <f t="shared" si="12"/>
        <v>13562.352044133386</v>
      </c>
      <c r="O21" s="428">
        <f t="shared" si="0"/>
        <v>147213.93675879313</v>
      </c>
      <c r="P21" s="626"/>
      <c r="Q21" s="670"/>
    </row>
    <row r="22" spans="1:18">
      <c r="A22" s="854">
        <f t="shared" si="1"/>
        <v>10</v>
      </c>
      <c r="B22" s="81" t="s">
        <v>1009</v>
      </c>
      <c r="C22" s="428">
        <f>C40</f>
        <v>17443.086679145817</v>
      </c>
      <c r="D22" s="428">
        <f t="shared" ref="D22:N22" si="13">D40</f>
        <v>23580.843203682558</v>
      </c>
      <c r="E22" s="428">
        <f t="shared" si="13"/>
        <v>17415.925382948666</v>
      </c>
      <c r="F22" s="428">
        <f t="shared" si="13"/>
        <v>14492.376855488626</v>
      </c>
      <c r="G22" s="428">
        <f t="shared" si="13"/>
        <v>14492.376855488626</v>
      </c>
      <c r="H22" s="428">
        <f t="shared" si="13"/>
        <v>14492.376855488626</v>
      </c>
      <c r="I22" s="428">
        <f t="shared" si="13"/>
        <v>15264.11331073052</v>
      </c>
      <c r="J22" s="428">
        <f t="shared" si="13"/>
        <v>15264.11331073052</v>
      </c>
      <c r="K22" s="428">
        <f t="shared" si="13"/>
        <v>15264.11331073052</v>
      </c>
      <c r="L22" s="428">
        <f t="shared" si="13"/>
        <v>25022.073234556614</v>
      </c>
      <c r="M22" s="428">
        <f t="shared" si="13"/>
        <v>22554.145748736646</v>
      </c>
      <c r="N22" s="428">
        <f t="shared" si="13"/>
        <v>18890.173654462524</v>
      </c>
      <c r="O22" s="428">
        <f t="shared" si="0"/>
        <v>214175.71840219031</v>
      </c>
      <c r="P22" s="626"/>
      <c r="Q22" s="670"/>
    </row>
    <row r="23" spans="1:18">
      <c r="A23" s="854">
        <f t="shared" si="1"/>
        <v>11</v>
      </c>
      <c r="B23" s="81" t="s">
        <v>1234</v>
      </c>
      <c r="C23" s="428">
        <f>C68</f>
        <v>10921.460587152462</v>
      </c>
      <c r="D23" s="428">
        <f t="shared" ref="D23:N23" si="14">D68</f>
        <v>17194.97071060527</v>
      </c>
      <c r="E23" s="428">
        <f t="shared" si="14"/>
        <v>15520.818688557711</v>
      </c>
      <c r="F23" s="428">
        <f t="shared" si="14"/>
        <v>11785.048403074456</v>
      </c>
      <c r="G23" s="428">
        <f t="shared" si="14"/>
        <v>11785.048403074456</v>
      </c>
      <c r="H23" s="428">
        <f t="shared" si="14"/>
        <v>11785.048403074456</v>
      </c>
      <c r="I23" s="428">
        <f t="shared" si="14"/>
        <v>12615.017716284854</v>
      </c>
      <c r="J23" s="428">
        <f t="shared" si="14"/>
        <v>12615.017716284854</v>
      </c>
      <c r="K23" s="428">
        <f t="shared" si="14"/>
        <v>12615.017716284854</v>
      </c>
      <c r="L23" s="428">
        <f t="shared" si="14"/>
        <v>56760.079901263758</v>
      </c>
      <c r="M23" s="428">
        <f t="shared" si="14"/>
        <v>10163.314520065634</v>
      </c>
      <c r="N23" s="428">
        <f t="shared" si="14"/>
        <v>4447.4453299111365</v>
      </c>
      <c r="O23" s="428">
        <f t="shared" si="0"/>
        <v>188208.28809563391</v>
      </c>
      <c r="P23" s="626"/>
      <c r="Q23" s="670"/>
    </row>
    <row r="24" spans="1:18">
      <c r="A24" s="854">
        <f t="shared" si="1"/>
        <v>12</v>
      </c>
      <c r="C24" s="428"/>
      <c r="D24" s="428"/>
      <c r="E24" s="428"/>
      <c r="F24" s="428"/>
      <c r="G24" s="428"/>
      <c r="H24" s="428"/>
      <c r="I24" s="428"/>
      <c r="J24" s="428"/>
      <c r="K24" s="428"/>
      <c r="L24" s="428"/>
      <c r="M24" s="428"/>
      <c r="N24" s="428"/>
      <c r="O24" s="428"/>
    </row>
    <row r="25" spans="1:18">
      <c r="A25" s="854">
        <f t="shared" si="1"/>
        <v>13</v>
      </c>
      <c r="B25" s="81" t="s">
        <v>97</v>
      </c>
      <c r="C25" s="544">
        <f t="shared" ref="C25:N25" si="15">SUM(C13:C24)</f>
        <v>550586.6739808697</v>
      </c>
      <c r="D25" s="544">
        <f t="shared" si="15"/>
        <v>530194.97517883952</v>
      </c>
      <c r="E25" s="544">
        <f t="shared" si="15"/>
        <v>568734.55479244981</v>
      </c>
      <c r="F25" s="544">
        <f t="shared" si="15"/>
        <v>547943.42818013369</v>
      </c>
      <c r="G25" s="544">
        <f t="shared" si="15"/>
        <v>504176.29818013369</v>
      </c>
      <c r="H25" s="544">
        <f t="shared" si="15"/>
        <v>580631.68818013382</v>
      </c>
      <c r="I25" s="544">
        <f t="shared" si="15"/>
        <v>523733.74818013376</v>
      </c>
      <c r="J25" s="544">
        <f t="shared" si="15"/>
        <v>559394.31818013371</v>
      </c>
      <c r="K25" s="544">
        <f t="shared" si="15"/>
        <v>502875.57818013371</v>
      </c>
      <c r="L25" s="544">
        <f t="shared" si="15"/>
        <v>612476.13574697636</v>
      </c>
      <c r="M25" s="544">
        <f t="shared" si="15"/>
        <v>528446.9708364351</v>
      </c>
      <c r="N25" s="544">
        <f t="shared" si="15"/>
        <v>557250.8955244401</v>
      </c>
      <c r="O25" s="544">
        <f>SUM(C25:N25)</f>
        <v>6566445.2651408128</v>
      </c>
      <c r="P25" s="921"/>
    </row>
    <row r="26" spans="1:18">
      <c r="A26" s="854">
        <f t="shared" si="1"/>
        <v>14</v>
      </c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</row>
    <row r="27" spans="1:18" ht="15.75">
      <c r="A27" s="854">
        <f t="shared" si="1"/>
        <v>15</v>
      </c>
      <c r="B27" s="296" t="s">
        <v>77</v>
      </c>
    </row>
    <row r="28" spans="1:18">
      <c r="A28" s="854">
        <f t="shared" si="1"/>
        <v>16</v>
      </c>
      <c r="B28" s="81" t="s">
        <v>290</v>
      </c>
      <c r="C28" s="915">
        <f>'C.2.3 B'!F27*1.03</f>
        <v>265133.42270000011</v>
      </c>
      <c r="D28" s="915">
        <f>'C.2.3 B'!G27*1.03</f>
        <v>381294.89660000009</v>
      </c>
      <c r="E28" s="915">
        <f>'C.2.3 B'!H27*1.03</f>
        <v>263864.09190000012</v>
      </c>
      <c r="F28" s="915">
        <f>'C.2.3 B'!I27*1.03</f>
        <v>197340.40795472829</v>
      </c>
      <c r="G28" s="915">
        <f>'C.2.3 B'!J27*1.03</f>
        <v>197340.40795472829</v>
      </c>
      <c r="H28" s="915">
        <f>'C.2.3 B'!K27*1.03</f>
        <v>197340.40795472829</v>
      </c>
      <c r="I28" s="915">
        <f>'C.2.3 B'!L27*1.03</f>
        <v>211354.48908652144</v>
      </c>
      <c r="J28" s="915">
        <f>'C.2.3 B'!M27*1.03</f>
        <v>211354.48908652144</v>
      </c>
      <c r="K28" s="915">
        <f>'C.2.3 B'!N27*1.03</f>
        <v>211354.48908652144</v>
      </c>
      <c r="L28" s="915">
        <f>'C.2.3 B'!C27*1.03*1.03</f>
        <v>398598.0486010001</v>
      </c>
      <c r="M28" s="915">
        <f>'C.2.3 B'!D27*1.03*1.03</f>
        <v>351147.17430100002</v>
      </c>
      <c r="N28" s="915">
        <f>'C.2.3 B'!E27*1.03*1.03</f>
        <v>280699.93454900017</v>
      </c>
      <c r="O28" s="345">
        <f t="shared" ref="O28:O35" si="16">SUM(C28:N28)</f>
        <v>3166822.2597747492</v>
      </c>
    </row>
    <row r="29" spans="1:18">
      <c r="A29" s="854">
        <f t="shared" si="1"/>
        <v>17</v>
      </c>
      <c r="B29" s="81" t="s">
        <v>291</v>
      </c>
      <c r="C29" s="511">
        <f>'C.2.3 B'!F28*1.03</f>
        <v>41.004299999999944</v>
      </c>
      <c r="D29" s="511">
        <f>'C.2.3 B'!G28*1.03</f>
        <v>682.92089999999996</v>
      </c>
      <c r="E29" s="511">
        <f>'C.2.3 B'!H28*1.03</f>
        <v>279.78920000000005</v>
      </c>
      <c r="F29" s="511">
        <f>'C.2.3 B'!I28*1.03</f>
        <v>3132.4625177882217</v>
      </c>
      <c r="G29" s="511">
        <f>'C.2.3 B'!J28*1.03</f>
        <v>3132.4625177882217</v>
      </c>
      <c r="H29" s="511">
        <f>'C.2.3 B'!K28*1.03</f>
        <v>3132.4625177882217</v>
      </c>
      <c r="I29" s="511">
        <f>'C.2.3 B'!L28*1.03</f>
        <v>3354.9135825324265</v>
      </c>
      <c r="J29" s="511">
        <f>'C.2.3 B'!M28*1.03</f>
        <v>3354.9135825324265</v>
      </c>
      <c r="K29" s="511">
        <f>'C.2.3 B'!N28*1.03</f>
        <v>3354.9135825324265</v>
      </c>
      <c r="L29" s="511">
        <f>'C.2.3 B'!L28*1.03*1.03</f>
        <v>3455.5609900083996</v>
      </c>
      <c r="M29" s="511">
        <f>'C.2.3 B'!M28*1.03*1.03</f>
        <v>3455.5609900083996</v>
      </c>
      <c r="N29" s="511">
        <f>'C.2.3 B'!N28*1.03*1.03</f>
        <v>3455.5609900083996</v>
      </c>
      <c r="O29" s="428">
        <f t="shared" si="16"/>
        <v>30832.525670987139</v>
      </c>
    </row>
    <row r="30" spans="1:18">
      <c r="A30" s="854">
        <f t="shared" si="1"/>
        <v>18</v>
      </c>
      <c r="B30" s="81" t="s">
        <v>292</v>
      </c>
      <c r="C30" s="511">
        <f>'C.2.3 B'!F29*1.03</f>
        <v>504.03050000000042</v>
      </c>
      <c r="D30" s="511">
        <f>'C.2.3 B'!G29*1.03</f>
        <v>1711.3655999999999</v>
      </c>
      <c r="E30" s="511">
        <f>'C.2.3 B'!H29*1.03</f>
        <v>1012.3457999999998</v>
      </c>
      <c r="F30" s="511">
        <f>'C.2.3 B'!I29*1.03</f>
        <v>8472.2503542573941</v>
      </c>
      <c r="G30" s="511">
        <f>'C.2.3 B'!J29*1.03</f>
        <v>8472.2503542573941</v>
      </c>
      <c r="H30" s="511">
        <f>'C.2.3 B'!K29*1.03</f>
        <v>8472.2503542573941</v>
      </c>
      <c r="I30" s="511">
        <f>'C.2.3 B'!L29*1.03</f>
        <v>9073.9051550352669</v>
      </c>
      <c r="J30" s="511">
        <f>'C.2.3 B'!M29*1.03</f>
        <v>9073.9051550352669</v>
      </c>
      <c r="K30" s="511">
        <f>'C.2.3 B'!N29*1.03</f>
        <v>9073.9051550352669</v>
      </c>
      <c r="L30" s="511">
        <f>'C.2.3 B'!L29*1.03*1.03</f>
        <v>9346.122309686325</v>
      </c>
      <c r="M30" s="511">
        <f>'C.2.3 B'!M29*1.03*1.03</f>
        <v>9346.122309686325</v>
      </c>
      <c r="N30" s="511">
        <f>'C.2.3 B'!N29*1.03*1.03</f>
        <v>9346.122309686325</v>
      </c>
      <c r="O30" s="428">
        <f t="shared" si="16"/>
        <v>83904.575356936955</v>
      </c>
    </row>
    <row r="31" spans="1:18">
      <c r="A31" s="854">
        <f t="shared" si="1"/>
        <v>19</v>
      </c>
      <c r="B31" s="81" t="s">
        <v>293</v>
      </c>
      <c r="C31" s="511">
        <f>'[17]FY 2018 Budget'!$E$5</f>
        <v>69700</v>
      </c>
      <c r="D31" s="511">
        <f>'[17]FY 2018 Budget'!$E$5</f>
        <v>69700</v>
      </c>
      <c r="E31" s="511">
        <f>'[17]FY 2018 Budget'!$E$5</f>
        <v>69700</v>
      </c>
      <c r="F31" s="511">
        <f>'[17]FY 2018 Budget'!$E$5</f>
        <v>69700</v>
      </c>
      <c r="G31" s="511">
        <f>'[17]FY 2018 Budget'!$E$5</f>
        <v>69700</v>
      </c>
      <c r="H31" s="511">
        <f>'[17]FY 2018 Budget'!$E$5</f>
        <v>69700</v>
      </c>
      <c r="I31" s="511">
        <f>'[17]FY 2018 Budget'!$E$5</f>
        <v>69700</v>
      </c>
      <c r="J31" s="511">
        <f>'[17]FY 2018 Budget'!$E$5</f>
        <v>69700</v>
      </c>
      <c r="K31" s="511">
        <f>'[17]FY 2018 Budget'!$E$5</f>
        <v>69700</v>
      </c>
      <c r="L31" s="511">
        <f>'[17]FY 2018 Budget'!$E$5</f>
        <v>69700</v>
      </c>
      <c r="M31" s="511">
        <f>'[17]FY 2018 Budget'!$E$5</f>
        <v>69700</v>
      </c>
      <c r="N31" s="511">
        <f>'[17]FY 2018 Budget'!$E$5</f>
        <v>69700</v>
      </c>
      <c r="O31" s="511">
        <f>SUM(C31:N31)</f>
        <v>836400</v>
      </c>
      <c r="P31" s="626"/>
      <c r="Q31" s="626"/>
      <c r="R31" s="670"/>
    </row>
    <row r="32" spans="1:18">
      <c r="A32" s="854">
        <f t="shared" si="1"/>
        <v>20</v>
      </c>
      <c r="B32" s="81" t="s">
        <v>206</v>
      </c>
      <c r="C32" s="511">
        <f>'C.2.3 B'!N31</f>
        <v>0</v>
      </c>
      <c r="D32" s="511">
        <f>C32</f>
        <v>0</v>
      </c>
      <c r="E32" s="511">
        <f t="shared" ref="E32:N32" si="17">D32</f>
        <v>0</v>
      </c>
      <c r="F32" s="511">
        <f t="shared" si="17"/>
        <v>0</v>
      </c>
      <c r="G32" s="511">
        <f t="shared" si="17"/>
        <v>0</v>
      </c>
      <c r="H32" s="511">
        <f t="shared" si="17"/>
        <v>0</v>
      </c>
      <c r="I32" s="511">
        <f t="shared" si="17"/>
        <v>0</v>
      </c>
      <c r="J32" s="511">
        <f t="shared" si="17"/>
        <v>0</v>
      </c>
      <c r="K32" s="511">
        <f t="shared" si="17"/>
        <v>0</v>
      </c>
      <c r="L32" s="511">
        <f t="shared" si="17"/>
        <v>0</v>
      </c>
      <c r="M32" s="511">
        <f t="shared" si="17"/>
        <v>0</v>
      </c>
      <c r="N32" s="511">
        <f t="shared" si="17"/>
        <v>0</v>
      </c>
      <c r="O32" s="428">
        <f t="shared" si="16"/>
        <v>0</v>
      </c>
    </row>
    <row r="33" spans="1:18">
      <c r="A33" s="854">
        <f t="shared" si="1"/>
        <v>21</v>
      </c>
      <c r="B33" s="81" t="s">
        <v>207</v>
      </c>
      <c r="C33" s="511">
        <f>'C.2.3 B'!N32</f>
        <v>0</v>
      </c>
      <c r="D33" s="511">
        <f>C33</f>
        <v>0</v>
      </c>
      <c r="E33" s="511">
        <f t="shared" ref="E33:N33" si="18">D33</f>
        <v>0</v>
      </c>
      <c r="F33" s="511">
        <f t="shared" si="18"/>
        <v>0</v>
      </c>
      <c r="G33" s="511">
        <f t="shared" si="18"/>
        <v>0</v>
      </c>
      <c r="H33" s="511">
        <f t="shared" si="18"/>
        <v>0</v>
      </c>
      <c r="I33" s="511">
        <f t="shared" si="18"/>
        <v>0</v>
      </c>
      <c r="J33" s="511">
        <f t="shared" si="18"/>
        <v>0</v>
      </c>
      <c r="K33" s="511">
        <f t="shared" si="18"/>
        <v>0</v>
      </c>
      <c r="L33" s="511">
        <f t="shared" si="18"/>
        <v>0</v>
      </c>
      <c r="M33" s="511">
        <f t="shared" si="18"/>
        <v>0</v>
      </c>
      <c r="N33" s="511">
        <f t="shared" si="18"/>
        <v>0</v>
      </c>
      <c r="O33" s="428">
        <f t="shared" si="16"/>
        <v>0</v>
      </c>
    </row>
    <row r="34" spans="1:18">
      <c r="A34" s="854">
        <f t="shared" si="1"/>
        <v>22</v>
      </c>
      <c r="C34" s="428"/>
      <c r="D34" s="428"/>
      <c r="E34" s="428"/>
      <c r="F34" s="428"/>
      <c r="G34" s="428"/>
      <c r="H34" s="428"/>
      <c r="I34" s="428"/>
      <c r="J34" s="428"/>
      <c r="K34" s="428"/>
      <c r="L34" s="428"/>
      <c r="M34" s="428"/>
      <c r="N34" s="428"/>
      <c r="O34" s="428"/>
    </row>
    <row r="35" spans="1:18">
      <c r="A35" s="854">
        <f t="shared" si="1"/>
        <v>23</v>
      </c>
      <c r="B35" s="81" t="s">
        <v>208</v>
      </c>
      <c r="C35" s="544">
        <f t="shared" ref="C35:N35" si="19">SUM(C28:C34)</f>
        <v>335378.45750000008</v>
      </c>
      <c r="D35" s="544">
        <f t="shared" si="19"/>
        <v>453389.18310000014</v>
      </c>
      <c r="E35" s="544">
        <f t="shared" si="19"/>
        <v>334856.22690000013</v>
      </c>
      <c r="F35" s="544">
        <f t="shared" si="19"/>
        <v>278645.12082677393</v>
      </c>
      <c r="G35" s="544">
        <f t="shared" si="19"/>
        <v>278645.12082677393</v>
      </c>
      <c r="H35" s="544">
        <f t="shared" si="19"/>
        <v>278645.12082677393</v>
      </c>
      <c r="I35" s="544">
        <f t="shared" si="19"/>
        <v>293483.30782408913</v>
      </c>
      <c r="J35" s="544">
        <f t="shared" si="19"/>
        <v>293483.30782408913</v>
      </c>
      <c r="K35" s="544">
        <f t="shared" si="19"/>
        <v>293483.30782408913</v>
      </c>
      <c r="L35" s="544">
        <f t="shared" si="19"/>
        <v>481099.73190069484</v>
      </c>
      <c r="M35" s="544">
        <f t="shared" si="19"/>
        <v>433648.85760069476</v>
      </c>
      <c r="N35" s="544">
        <f t="shared" si="19"/>
        <v>363201.61784869491</v>
      </c>
      <c r="O35" s="544">
        <f t="shared" si="16"/>
        <v>4117959.3608026742</v>
      </c>
    </row>
    <row r="36" spans="1:18">
      <c r="A36" s="854">
        <f t="shared" si="1"/>
        <v>24</v>
      </c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</row>
    <row r="37" spans="1:18">
      <c r="A37" s="854">
        <f t="shared" si="1"/>
        <v>25</v>
      </c>
      <c r="B37" s="81" t="s">
        <v>209</v>
      </c>
      <c r="C37" s="318">
        <f>Allocation!C14</f>
        <v>0.10349999999999999</v>
      </c>
      <c r="D37" s="318">
        <f>$C$37</f>
        <v>0.10349999999999999</v>
      </c>
      <c r="E37" s="318">
        <f t="shared" ref="E37:N37" si="20">$C$37</f>
        <v>0.10349999999999999</v>
      </c>
      <c r="F37" s="318">
        <f t="shared" si="20"/>
        <v>0.10349999999999999</v>
      </c>
      <c r="G37" s="318">
        <f t="shared" si="20"/>
        <v>0.10349999999999999</v>
      </c>
      <c r="H37" s="318">
        <f t="shared" si="20"/>
        <v>0.10349999999999999</v>
      </c>
      <c r="I37" s="318">
        <f t="shared" si="20"/>
        <v>0.10349999999999999</v>
      </c>
      <c r="J37" s="318">
        <f t="shared" si="20"/>
        <v>0.10349999999999999</v>
      </c>
      <c r="K37" s="318">
        <f t="shared" si="20"/>
        <v>0.10349999999999999</v>
      </c>
      <c r="L37" s="318">
        <f t="shared" si="20"/>
        <v>0.10349999999999999</v>
      </c>
      <c r="M37" s="318">
        <f t="shared" si="20"/>
        <v>0.10349999999999999</v>
      </c>
      <c r="N37" s="318">
        <f t="shared" si="20"/>
        <v>0.10349999999999999</v>
      </c>
    </row>
    <row r="38" spans="1:18">
      <c r="A38" s="854">
        <f t="shared" si="1"/>
        <v>26</v>
      </c>
      <c r="B38" s="81" t="s">
        <v>210</v>
      </c>
      <c r="C38" s="579">
        <f>Allocation!D14</f>
        <v>0.5025136071712456</v>
      </c>
      <c r="D38" s="579">
        <f>$C$38</f>
        <v>0.5025136071712456</v>
      </c>
      <c r="E38" s="579">
        <f t="shared" ref="E38:N38" si="21">$C$38</f>
        <v>0.5025136071712456</v>
      </c>
      <c r="F38" s="579">
        <f t="shared" si="21"/>
        <v>0.5025136071712456</v>
      </c>
      <c r="G38" s="579">
        <f t="shared" si="21"/>
        <v>0.5025136071712456</v>
      </c>
      <c r="H38" s="579">
        <f t="shared" si="21"/>
        <v>0.5025136071712456</v>
      </c>
      <c r="I38" s="579">
        <f t="shared" si="21"/>
        <v>0.5025136071712456</v>
      </c>
      <c r="J38" s="579">
        <f t="shared" si="21"/>
        <v>0.5025136071712456</v>
      </c>
      <c r="K38" s="579">
        <f t="shared" si="21"/>
        <v>0.5025136071712456</v>
      </c>
      <c r="L38" s="579">
        <f t="shared" si="21"/>
        <v>0.5025136071712456</v>
      </c>
      <c r="M38" s="579">
        <f t="shared" si="21"/>
        <v>0.5025136071712456</v>
      </c>
      <c r="N38" s="579">
        <f t="shared" si="21"/>
        <v>0.5025136071712456</v>
      </c>
    </row>
    <row r="39" spans="1:18">
      <c r="A39" s="854">
        <f t="shared" si="1"/>
        <v>27</v>
      </c>
    </row>
    <row r="40" spans="1:18">
      <c r="A40" s="854">
        <f t="shared" si="1"/>
        <v>28</v>
      </c>
      <c r="B40" s="81" t="s">
        <v>1375</v>
      </c>
      <c r="C40" s="923">
        <f t="shared" ref="C40:N40" si="22">C35*C37*C38</f>
        <v>17443.086679145817</v>
      </c>
      <c r="D40" s="923">
        <f t="shared" si="22"/>
        <v>23580.843203682558</v>
      </c>
      <c r="E40" s="923">
        <f t="shared" si="22"/>
        <v>17415.925382948666</v>
      </c>
      <c r="F40" s="923">
        <f t="shared" si="22"/>
        <v>14492.376855488626</v>
      </c>
      <c r="G40" s="923">
        <f t="shared" si="22"/>
        <v>14492.376855488626</v>
      </c>
      <c r="H40" s="923">
        <f t="shared" si="22"/>
        <v>14492.376855488626</v>
      </c>
      <c r="I40" s="923">
        <f t="shared" si="22"/>
        <v>15264.11331073052</v>
      </c>
      <c r="J40" s="923">
        <f t="shared" si="22"/>
        <v>15264.11331073052</v>
      </c>
      <c r="K40" s="923">
        <f t="shared" si="22"/>
        <v>15264.11331073052</v>
      </c>
      <c r="L40" s="923">
        <f t="shared" si="22"/>
        <v>25022.073234556614</v>
      </c>
      <c r="M40" s="923">
        <f t="shared" si="22"/>
        <v>22554.145748736646</v>
      </c>
      <c r="N40" s="923">
        <f t="shared" si="22"/>
        <v>18890.173654462524</v>
      </c>
      <c r="O40" s="544">
        <f>SUM(C40:N40)</f>
        <v>214175.71840219031</v>
      </c>
    </row>
    <row r="41" spans="1:18">
      <c r="A41" s="854">
        <f t="shared" si="1"/>
        <v>29</v>
      </c>
    </row>
    <row r="42" spans="1:18" ht="15.75">
      <c r="A42" s="854">
        <f t="shared" si="1"/>
        <v>30</v>
      </c>
      <c r="B42" s="296" t="s">
        <v>78</v>
      </c>
      <c r="C42" s="345"/>
      <c r="D42" s="345"/>
      <c r="E42" s="345"/>
      <c r="F42" s="345"/>
      <c r="G42" s="345"/>
      <c r="H42" s="345"/>
      <c r="I42" s="345"/>
      <c r="J42" s="345"/>
      <c r="K42" s="345"/>
      <c r="L42" s="345"/>
      <c r="M42" s="345"/>
      <c r="N42" s="345"/>
      <c r="O42" s="345"/>
    </row>
    <row r="43" spans="1:18">
      <c r="A43" s="854">
        <f t="shared" si="1"/>
        <v>31</v>
      </c>
      <c r="B43" s="81" t="s">
        <v>290</v>
      </c>
      <c r="C43" s="915">
        <f>'C.2.3 B'!F42*1.03</f>
        <v>154100.86470000001</v>
      </c>
      <c r="D43" s="915">
        <f>'C.2.3 B'!G42*1.03</f>
        <v>226005.56640000001</v>
      </c>
      <c r="E43" s="915">
        <f>'C.2.3 B'!H42*1.03</f>
        <v>151677.68670000002</v>
      </c>
      <c r="F43" s="915">
        <f>'C.2.3 B'!I42*1.03</f>
        <v>112379.52837791362</v>
      </c>
      <c r="G43" s="915">
        <f>'C.2.3 B'!J42*1.03</f>
        <v>112379.52837791362</v>
      </c>
      <c r="H43" s="915">
        <f>'C.2.3 B'!K42*1.03</f>
        <v>112379.52837791362</v>
      </c>
      <c r="I43" s="915">
        <f>'C.2.3 B'!L42*1.03</f>
        <v>121435.36645291798</v>
      </c>
      <c r="J43" s="915">
        <f>'C.2.3 B'!M42*1.03</f>
        <v>121435.36645291798</v>
      </c>
      <c r="K43" s="915">
        <f>'C.2.3 B'!N42*1.03</f>
        <v>121435.36645291798</v>
      </c>
      <c r="L43" s="915">
        <f>'C.2.3 B'!C42*1.03*1.03</f>
        <v>211890.215165</v>
      </c>
      <c r="M43" s="915">
        <f>'C.2.3 B'!D42*1.03*1.03</f>
        <v>219248.18259600003</v>
      </c>
      <c r="N43" s="915">
        <f>'C.2.3 B'!E42*1.03*1.03</f>
        <v>190318.924856</v>
      </c>
      <c r="O43" s="345">
        <f t="shared" ref="O43:O48" si="23">SUM(C43:N43)</f>
        <v>1854686.124909495</v>
      </c>
      <c r="P43" s="670"/>
    </row>
    <row r="44" spans="1:18">
      <c r="A44" s="854">
        <f t="shared" si="1"/>
        <v>32</v>
      </c>
      <c r="B44" s="81" t="s">
        <v>291</v>
      </c>
      <c r="C44" s="915">
        <f>'C.2.3 B'!F43*1.03</f>
        <v>12.679300000000003</v>
      </c>
      <c r="D44" s="915">
        <f>'C.2.3 B'!G43*1.03</f>
        <v>405.5625</v>
      </c>
      <c r="E44" s="915">
        <f>'C.2.3 B'!H43*1.03</f>
        <v>160.2886</v>
      </c>
      <c r="F44" s="915">
        <f>'C.2.3 B'!I43*1.03</f>
        <v>1769.6079651996758</v>
      </c>
      <c r="G44" s="915">
        <f>'C.2.3 B'!J43*1.03</f>
        <v>1769.6079651996758</v>
      </c>
      <c r="H44" s="915">
        <f>'C.2.3 B'!K43*1.03</f>
        <v>1769.6079651996758</v>
      </c>
      <c r="I44" s="915">
        <f>'C.2.3 B'!L43*1.03</f>
        <v>1912.20763099642</v>
      </c>
      <c r="J44" s="915">
        <f>'C.2.3 B'!M43*1.03</f>
        <v>1912.20763099642</v>
      </c>
      <c r="K44" s="915">
        <f>'C.2.3 B'!N43*1.03</f>
        <v>1912.20763099642</v>
      </c>
      <c r="L44" s="915">
        <f>'C.2.3 B'!C43*1.03*1.03</f>
        <v>18017.073738000003</v>
      </c>
      <c r="M44" s="915">
        <f>'C.2.3 B'!D43*1.03*1.03</f>
        <v>306.32426599999974</v>
      </c>
      <c r="N44" s="915">
        <f>'C.2.3 B'!E43*1.03*1.03</f>
        <v>-508.30901699999987</v>
      </c>
      <c r="O44" s="428">
        <f t="shared" si="23"/>
        <v>29439.06617558829</v>
      </c>
    </row>
    <row r="45" spans="1:18">
      <c r="A45" s="854">
        <f t="shared" si="1"/>
        <v>33</v>
      </c>
      <c r="B45" s="81" t="s">
        <v>292</v>
      </c>
      <c r="C45" s="915">
        <f>'C.2.3 B'!F44*1.03</f>
        <v>252.79290000000006</v>
      </c>
      <c r="D45" s="915">
        <f>'C.2.3 B'!G44*1.03</f>
        <v>1014.0556</v>
      </c>
      <c r="E45" s="915">
        <f>'C.2.3 B'!H44*1.03</f>
        <v>582.54740000000015</v>
      </c>
      <c r="F45" s="915">
        <f>'C.2.3 B'!I44*1.03</f>
        <v>4846.9615915490667</v>
      </c>
      <c r="G45" s="915">
        <f>'C.2.3 B'!J44*1.03</f>
        <v>4846.9615915490667</v>
      </c>
      <c r="H45" s="915">
        <f>'C.2.3 B'!K44*1.03</f>
        <v>4846.9615915490667</v>
      </c>
      <c r="I45" s="915">
        <f>'C.2.3 B'!L44*1.03</f>
        <v>5237.5425092872847</v>
      </c>
      <c r="J45" s="915">
        <f>'C.2.3 B'!M44*1.03</f>
        <v>5237.5425092872847</v>
      </c>
      <c r="K45" s="915">
        <f>'C.2.3 B'!N44*1.03</f>
        <v>5237.5425092872847</v>
      </c>
      <c r="L45" s="915">
        <f>'C.2.3 B'!C44*1.03*1.03</f>
        <v>33963.652600000001</v>
      </c>
      <c r="M45" s="915">
        <f>'C.2.3 B'!D44*1.03*1.03</f>
        <v>17813.094494999998</v>
      </c>
      <c r="N45" s="915">
        <f>'C.2.3 B'!E44*1.03*1.03</f>
        <v>-3253.9076080000013</v>
      </c>
      <c r="O45" s="428">
        <f t="shared" si="23"/>
        <v>80625.747689509037</v>
      </c>
    </row>
    <row r="46" spans="1:18">
      <c r="A46" s="854">
        <f t="shared" si="1"/>
        <v>34</v>
      </c>
      <c r="B46" s="81" t="s">
        <v>293</v>
      </c>
      <c r="C46" s="511">
        <f>'[17]FY 2018 Budget'!$E$6</f>
        <v>52600</v>
      </c>
      <c r="D46" s="511">
        <f>C46</f>
        <v>52600</v>
      </c>
      <c r="E46" s="511">
        <f t="shared" ref="E46:N46" si="24">D46</f>
        <v>52600</v>
      </c>
      <c r="F46" s="511">
        <f t="shared" si="24"/>
        <v>52600</v>
      </c>
      <c r="G46" s="511">
        <f t="shared" si="24"/>
        <v>52600</v>
      </c>
      <c r="H46" s="511">
        <f t="shared" si="24"/>
        <v>52600</v>
      </c>
      <c r="I46" s="511">
        <f t="shared" si="24"/>
        <v>52600</v>
      </c>
      <c r="J46" s="511">
        <f t="shared" si="24"/>
        <v>52600</v>
      </c>
      <c r="K46" s="511">
        <f t="shared" si="24"/>
        <v>52600</v>
      </c>
      <c r="L46" s="511">
        <f t="shared" si="24"/>
        <v>52600</v>
      </c>
      <c r="M46" s="511">
        <f t="shared" si="24"/>
        <v>52600</v>
      </c>
      <c r="N46" s="511">
        <f t="shared" si="24"/>
        <v>52600</v>
      </c>
      <c r="O46" s="511">
        <f>SUM(C46:N46)</f>
        <v>631200</v>
      </c>
      <c r="P46" s="626"/>
      <c r="Q46" s="626"/>
      <c r="R46" s="670"/>
    </row>
    <row r="47" spans="1:18">
      <c r="A47" s="854">
        <f t="shared" si="1"/>
        <v>35</v>
      </c>
      <c r="C47" s="428"/>
      <c r="D47" s="428"/>
      <c r="E47" s="428"/>
      <c r="F47" s="428"/>
      <c r="G47" s="428"/>
      <c r="H47" s="428"/>
      <c r="I47" s="428"/>
      <c r="J47" s="428"/>
      <c r="K47" s="428"/>
      <c r="L47" s="428"/>
      <c r="M47" s="428"/>
      <c r="N47" s="428"/>
      <c r="O47" s="428"/>
    </row>
    <row r="48" spans="1:18">
      <c r="A48" s="854">
        <f t="shared" si="1"/>
        <v>36</v>
      </c>
      <c r="B48" s="81" t="s">
        <v>208</v>
      </c>
      <c r="C48" s="544">
        <f t="shared" ref="C48:N48" si="25">SUM(C43:C46)</f>
        <v>206966.33689999999</v>
      </c>
      <c r="D48" s="544">
        <f t="shared" si="25"/>
        <v>280025.18449999997</v>
      </c>
      <c r="E48" s="544">
        <f t="shared" si="25"/>
        <v>205020.52270000003</v>
      </c>
      <c r="F48" s="544">
        <f t="shared" si="25"/>
        <v>171596.09793466236</v>
      </c>
      <c r="G48" s="544">
        <f t="shared" si="25"/>
        <v>171596.09793466236</v>
      </c>
      <c r="H48" s="544">
        <f t="shared" si="25"/>
        <v>171596.09793466236</v>
      </c>
      <c r="I48" s="544">
        <f t="shared" si="25"/>
        <v>181185.1165932017</v>
      </c>
      <c r="J48" s="544">
        <f t="shared" si="25"/>
        <v>181185.1165932017</v>
      </c>
      <c r="K48" s="544">
        <f t="shared" si="25"/>
        <v>181185.1165932017</v>
      </c>
      <c r="L48" s="544">
        <f t="shared" si="25"/>
        <v>316470.94150299998</v>
      </c>
      <c r="M48" s="544">
        <f t="shared" si="25"/>
        <v>289967.60135700007</v>
      </c>
      <c r="N48" s="544">
        <f t="shared" si="25"/>
        <v>239156.708231</v>
      </c>
      <c r="O48" s="544">
        <f t="shared" si="23"/>
        <v>2595950.9387745922</v>
      </c>
    </row>
    <row r="49" spans="1:18">
      <c r="A49" s="854">
        <f t="shared" si="1"/>
        <v>37</v>
      </c>
    </row>
    <row r="50" spans="1:18">
      <c r="A50" s="854">
        <f t="shared" si="1"/>
        <v>38</v>
      </c>
      <c r="B50" s="81" t="s">
        <v>209</v>
      </c>
      <c r="C50" s="579">
        <f>Allocation!C15</f>
        <v>0.10929999999999999</v>
      </c>
      <c r="D50" s="579">
        <f>$C$50</f>
        <v>0.10929999999999999</v>
      </c>
      <c r="E50" s="579">
        <f t="shared" ref="E50:N50" si="26">$C$50</f>
        <v>0.10929999999999999</v>
      </c>
      <c r="F50" s="579">
        <f t="shared" si="26"/>
        <v>0.10929999999999999</v>
      </c>
      <c r="G50" s="579">
        <f t="shared" si="26"/>
        <v>0.10929999999999999</v>
      </c>
      <c r="H50" s="579">
        <f t="shared" si="26"/>
        <v>0.10929999999999999</v>
      </c>
      <c r="I50" s="579">
        <f t="shared" si="26"/>
        <v>0.10929999999999999</v>
      </c>
      <c r="J50" s="579">
        <f t="shared" si="26"/>
        <v>0.10929999999999999</v>
      </c>
      <c r="K50" s="579">
        <f t="shared" si="26"/>
        <v>0.10929999999999999</v>
      </c>
      <c r="L50" s="579">
        <f t="shared" si="26"/>
        <v>0.10929999999999999</v>
      </c>
      <c r="M50" s="579">
        <f t="shared" si="26"/>
        <v>0.10929999999999999</v>
      </c>
      <c r="N50" s="579">
        <f t="shared" si="26"/>
        <v>0.10929999999999999</v>
      </c>
    </row>
    <row r="51" spans="1:18">
      <c r="A51" s="854">
        <f t="shared" si="1"/>
        <v>39</v>
      </c>
      <c r="B51" s="81" t="s">
        <v>210</v>
      </c>
      <c r="C51" s="579">
        <f>Allocation!D15</f>
        <v>0.51883860656465508</v>
      </c>
      <c r="D51" s="579">
        <f>$C$51</f>
        <v>0.51883860656465508</v>
      </c>
      <c r="E51" s="579">
        <f t="shared" ref="E51:N51" si="27">$C$51</f>
        <v>0.51883860656465508</v>
      </c>
      <c r="F51" s="579">
        <f t="shared" si="27"/>
        <v>0.51883860656465508</v>
      </c>
      <c r="G51" s="579">
        <f t="shared" si="27"/>
        <v>0.51883860656465508</v>
      </c>
      <c r="H51" s="579">
        <f t="shared" si="27"/>
        <v>0.51883860656465508</v>
      </c>
      <c r="I51" s="579">
        <f t="shared" si="27"/>
        <v>0.51883860656465508</v>
      </c>
      <c r="J51" s="579">
        <f t="shared" si="27"/>
        <v>0.51883860656465508</v>
      </c>
      <c r="K51" s="579">
        <f t="shared" si="27"/>
        <v>0.51883860656465508</v>
      </c>
      <c r="L51" s="579">
        <f t="shared" si="27"/>
        <v>0.51883860656465508</v>
      </c>
      <c r="M51" s="579">
        <f t="shared" si="27"/>
        <v>0.51883860656465508</v>
      </c>
      <c r="N51" s="579">
        <f t="shared" si="27"/>
        <v>0.51883860656465508</v>
      </c>
    </row>
    <row r="52" spans="1:18">
      <c r="A52" s="854">
        <f t="shared" si="1"/>
        <v>40</v>
      </c>
    </row>
    <row r="53" spans="1:18">
      <c r="A53" s="854">
        <f t="shared" si="1"/>
        <v>41</v>
      </c>
      <c r="B53" s="81" t="s">
        <v>1374</v>
      </c>
      <c r="C53" s="923">
        <f t="shared" ref="C53:N53" si="28">C48*C50*C51</f>
        <v>11736.866354638472</v>
      </c>
      <c r="D53" s="923">
        <f t="shared" si="28"/>
        <v>15879.964904618653</v>
      </c>
      <c r="E53" s="923">
        <f t="shared" si="28"/>
        <v>11626.521061010399</v>
      </c>
      <c r="F53" s="923">
        <f t="shared" si="28"/>
        <v>9731.053361637707</v>
      </c>
      <c r="G53" s="923">
        <f t="shared" si="28"/>
        <v>9731.053361637707</v>
      </c>
      <c r="H53" s="923">
        <f t="shared" si="28"/>
        <v>9731.053361637707</v>
      </c>
      <c r="I53" s="923">
        <f t="shared" si="28"/>
        <v>10274.837593185417</v>
      </c>
      <c r="J53" s="923">
        <f t="shared" si="28"/>
        <v>10274.837593185417</v>
      </c>
      <c r="K53" s="923">
        <f t="shared" si="28"/>
        <v>10274.837593185417</v>
      </c>
      <c r="L53" s="923">
        <f t="shared" si="28"/>
        <v>17946.769514222971</v>
      </c>
      <c r="M53" s="923">
        <f t="shared" si="28"/>
        <v>16443.790015699869</v>
      </c>
      <c r="N53" s="923">
        <f t="shared" si="28"/>
        <v>13562.352044133386</v>
      </c>
      <c r="O53" s="544">
        <f>SUM(C53:N53)</f>
        <v>147213.93675879313</v>
      </c>
    </row>
    <row r="54" spans="1:18">
      <c r="A54" s="854">
        <f t="shared" si="1"/>
        <v>42</v>
      </c>
    </row>
    <row r="55" spans="1:18" ht="15.75">
      <c r="A55" s="854">
        <f t="shared" si="1"/>
        <v>43</v>
      </c>
      <c r="B55" s="296" t="s">
        <v>79</v>
      </c>
    </row>
    <row r="56" spans="1:18">
      <c r="A56" s="854">
        <f t="shared" si="1"/>
        <v>44</v>
      </c>
      <c r="B56" s="81" t="s">
        <v>290</v>
      </c>
      <c r="C56" s="915">
        <f>'C.2.3 B'!F55*1.03</f>
        <v>21288.328399999999</v>
      </c>
      <c r="D56" s="915">
        <f>'C.2.3 B'!G55*1.03</f>
        <v>33880.356500000002</v>
      </c>
      <c r="E56" s="915">
        <f>'C.2.3 B'!H55*1.03</f>
        <v>30581.390100000004</v>
      </c>
      <c r="F56" s="915">
        <f>'C.2.3 B'!I55*1.03</f>
        <v>22871.31185982289</v>
      </c>
      <c r="G56" s="915">
        <f>'C.2.3 B'!J55*1.03</f>
        <v>22871.31185982289</v>
      </c>
      <c r="H56" s="915">
        <f>'C.2.3 B'!K55*1.03</f>
        <v>22871.31185982289</v>
      </c>
      <c r="I56" s="915">
        <f>'C.2.3 B'!L55*1.03</f>
        <v>24502.909486021843</v>
      </c>
      <c r="J56" s="915">
        <f>'C.2.3 B'!M55*1.03</f>
        <v>24502.909486021843</v>
      </c>
      <c r="K56" s="915">
        <f>'C.2.3 B'!N55*1.03</f>
        <v>24502.909486021843</v>
      </c>
      <c r="L56" s="915">
        <f>'C.2.3 B'!C55*1.03*1.03</f>
        <v>108977.75919099998</v>
      </c>
      <c r="M56" s="915">
        <f>'C.2.3 B'!D55*1.03*1.03</f>
        <v>19200.274290000001</v>
      </c>
      <c r="N56" s="915">
        <f>'C.2.3 B'!E55*1.03*1.03</f>
        <v>9960.6946190000053</v>
      </c>
      <c r="O56" s="345">
        <f t="shared" ref="O56:O63" si="29">SUM(C56:N56)</f>
        <v>366011.46713753423</v>
      </c>
    </row>
    <row r="57" spans="1:18">
      <c r="A57" s="854">
        <f t="shared" si="1"/>
        <v>45</v>
      </c>
      <c r="B57" s="81" t="s">
        <v>291</v>
      </c>
      <c r="C57" s="915">
        <f>'C.2.3 B'!F56*1.03</f>
        <v>-2.1424000000000003</v>
      </c>
      <c r="D57" s="915">
        <f>'C.2.3 B'!G56*1.03</f>
        <v>15.419100000000002</v>
      </c>
      <c r="E57" s="915">
        <f>'C.2.3 B'!H56*1.03</f>
        <v>2.6471</v>
      </c>
      <c r="F57" s="915">
        <f>'C.2.3 B'!I56*1.03</f>
        <v>163.05097154307114</v>
      </c>
      <c r="G57" s="915">
        <f>'C.2.3 B'!J56*1.03</f>
        <v>163.05097154307114</v>
      </c>
      <c r="H57" s="915">
        <f>'C.2.3 B'!K56*1.03</f>
        <v>163.05097154307114</v>
      </c>
      <c r="I57" s="915">
        <f>'C.2.3 B'!L56*1.03</f>
        <v>174.68273012996875</v>
      </c>
      <c r="J57" s="915">
        <f>'C.2.3 B'!M56*1.03</f>
        <v>174.68273012996875</v>
      </c>
      <c r="K57" s="915">
        <f>'C.2.3 B'!N56*1.03</f>
        <v>174.68273012996875</v>
      </c>
      <c r="L57" s="915">
        <f>'C.2.3 B'!C56*1.03*1.03</f>
        <v>1739.8759999999997</v>
      </c>
      <c r="M57" s="915">
        <f>'C.2.3 B'!D56*1.03*1.03</f>
        <v>46.297676000000052</v>
      </c>
      <c r="N57" s="915">
        <f>'C.2.3 B'!E56*1.03*1.03</f>
        <v>-188.118788</v>
      </c>
      <c r="O57" s="428">
        <f t="shared" si="29"/>
        <v>2627.1797930191196</v>
      </c>
    </row>
    <row r="58" spans="1:18">
      <c r="A58" s="854">
        <f t="shared" si="1"/>
        <v>46</v>
      </c>
      <c r="B58" s="81" t="s">
        <v>292</v>
      </c>
      <c r="C58" s="915">
        <f>'C.2.3 B'!F57*1.03</f>
        <v>134.34290000000001</v>
      </c>
      <c r="D58" s="915">
        <f>'C.2.3 B'!G57*1.03</f>
        <v>9.0124999999999993</v>
      </c>
      <c r="E58" s="915">
        <f>'C.2.3 B'!H57*1.03</f>
        <v>2.3277999999999999</v>
      </c>
      <c r="F58" s="915">
        <f>'C.2.3 B'!I57*1.03</f>
        <v>117.83475073527271</v>
      </c>
      <c r="G58" s="915">
        <f>'C.2.3 B'!J57*1.03</f>
        <v>117.83475073527271</v>
      </c>
      <c r="H58" s="915">
        <f>'C.2.3 B'!K57*1.03</f>
        <v>117.83475073527271</v>
      </c>
      <c r="I58" s="915">
        <f>'C.2.3 B'!L57*1.03</f>
        <v>126.24086669231798</v>
      </c>
      <c r="J58" s="915">
        <f>'C.2.3 B'!M57*1.03</f>
        <v>126.24086669231798</v>
      </c>
      <c r="K58" s="915">
        <f>'C.2.3 B'!N57*1.03</f>
        <v>126.24086669231798</v>
      </c>
      <c r="L58" s="915">
        <f>'C.2.3 B'!C57*1.03*1.03</f>
        <v>1776.890801</v>
      </c>
      <c r="M58" s="915">
        <f>'C.2.3 B'!D57*1.03*1.03</f>
        <v>574.68952999999988</v>
      </c>
      <c r="N58" s="915">
        <f>'C.2.3 B'!E57*1.03*1.03</f>
        <v>-1334.8880340000003</v>
      </c>
      <c r="O58" s="428">
        <f t="shared" si="29"/>
        <v>1894.602349282771</v>
      </c>
    </row>
    <row r="59" spans="1:18">
      <c r="A59" s="854">
        <f t="shared" si="1"/>
        <v>47</v>
      </c>
      <c r="B59" s="80" t="s">
        <v>1233</v>
      </c>
      <c r="C59" s="915">
        <f>'C.2.3 B'!F58*1.03</f>
        <v>13.1325</v>
      </c>
      <c r="D59" s="915">
        <f>'C.2.3 B'!G58*1.03</f>
        <v>13.1325</v>
      </c>
      <c r="E59" s="915">
        <f>'C.2.3 B'!H58*1.03</f>
        <v>0</v>
      </c>
      <c r="F59" s="915">
        <f>'C.2.3 B'!I58*1.03</f>
        <v>0</v>
      </c>
      <c r="G59" s="915">
        <f>'C.2.3 B'!J58*1.03</f>
        <v>0</v>
      </c>
      <c r="H59" s="915">
        <f>'C.2.3 B'!K58*1.03</f>
        <v>0</v>
      </c>
      <c r="I59" s="915">
        <f>'C.2.3 B'!L58*1.03</f>
        <v>0</v>
      </c>
      <c r="J59" s="915">
        <f>'C.2.3 B'!M58*1.03</f>
        <v>0</v>
      </c>
      <c r="K59" s="915">
        <f>'C.2.3 B'!N58*1.03</f>
        <v>0</v>
      </c>
      <c r="L59" s="915">
        <f>'C.2.3 B'!C58*1.03*1.03</f>
        <v>157.79826600000001</v>
      </c>
      <c r="M59" s="915">
        <f>'C.2.3 B'!D58*1.03*1.03</f>
        <v>103.69236600000001</v>
      </c>
      <c r="N59" s="915">
        <f>'C.2.3 B'!E58*1.03*1.03</f>
        <v>112.710016</v>
      </c>
      <c r="O59" s="428">
        <f t="shared" si="29"/>
        <v>400.46564799999999</v>
      </c>
    </row>
    <row r="60" spans="1:18">
      <c r="A60" s="854">
        <f t="shared" si="1"/>
        <v>48</v>
      </c>
      <c r="B60" s="81" t="s">
        <v>293</v>
      </c>
      <c r="C60" s="511">
        <f>'[17]FY 2018 Budget'!$E$25</f>
        <v>300</v>
      </c>
      <c r="D60" s="511">
        <f>C60</f>
        <v>300</v>
      </c>
      <c r="E60" s="511">
        <f t="shared" ref="E60:N60" si="30">D60</f>
        <v>300</v>
      </c>
      <c r="F60" s="511">
        <f t="shared" si="30"/>
        <v>300</v>
      </c>
      <c r="G60" s="511">
        <f t="shared" si="30"/>
        <v>300</v>
      </c>
      <c r="H60" s="511">
        <f t="shared" si="30"/>
        <v>300</v>
      </c>
      <c r="I60" s="511">
        <f t="shared" si="30"/>
        <v>300</v>
      </c>
      <c r="J60" s="511">
        <f t="shared" si="30"/>
        <v>300</v>
      </c>
      <c r="K60" s="511">
        <f t="shared" si="30"/>
        <v>300</v>
      </c>
      <c r="L60" s="511">
        <f t="shared" si="30"/>
        <v>300</v>
      </c>
      <c r="M60" s="511">
        <f t="shared" si="30"/>
        <v>300</v>
      </c>
      <c r="N60" s="511">
        <f t="shared" si="30"/>
        <v>300</v>
      </c>
      <c r="O60" s="511">
        <f>SUM(C60:N60)</f>
        <v>3600</v>
      </c>
      <c r="P60" s="626"/>
      <c r="Q60" s="626"/>
      <c r="R60" s="670"/>
    </row>
    <row r="61" spans="1:18">
      <c r="A61" s="854">
        <f t="shared" si="1"/>
        <v>49</v>
      </c>
      <c r="B61" s="103" t="s">
        <v>1371</v>
      </c>
      <c r="C61" s="511">
        <f>'C.2.3 B'!N60</f>
        <v>0</v>
      </c>
      <c r="D61" s="511">
        <f>C61</f>
        <v>0</v>
      </c>
      <c r="E61" s="511">
        <f t="shared" ref="E61:N61" si="31">D61</f>
        <v>0</v>
      </c>
      <c r="F61" s="511">
        <f t="shared" si="31"/>
        <v>0</v>
      </c>
      <c r="G61" s="511">
        <f t="shared" si="31"/>
        <v>0</v>
      </c>
      <c r="H61" s="511">
        <f t="shared" si="31"/>
        <v>0</v>
      </c>
      <c r="I61" s="511">
        <f t="shared" si="31"/>
        <v>0</v>
      </c>
      <c r="J61" s="511">
        <f t="shared" si="31"/>
        <v>0</v>
      </c>
      <c r="K61" s="511">
        <f t="shared" si="31"/>
        <v>0</v>
      </c>
      <c r="L61" s="511">
        <f t="shared" si="31"/>
        <v>0</v>
      </c>
      <c r="M61" s="511">
        <f t="shared" si="31"/>
        <v>0</v>
      </c>
      <c r="N61" s="511">
        <f t="shared" si="31"/>
        <v>0</v>
      </c>
      <c r="O61" s="428">
        <f t="shared" si="29"/>
        <v>0</v>
      </c>
      <c r="P61" s="921"/>
    </row>
    <row r="62" spans="1:18">
      <c r="A62" s="854">
        <f t="shared" si="1"/>
        <v>50</v>
      </c>
      <c r="C62" s="428"/>
      <c r="D62" s="428"/>
      <c r="E62" s="428"/>
      <c r="F62" s="428"/>
      <c r="G62" s="428"/>
      <c r="H62" s="428"/>
      <c r="I62" s="428"/>
      <c r="J62" s="428"/>
      <c r="K62" s="428"/>
      <c r="L62" s="428"/>
      <c r="M62" s="428"/>
      <c r="N62" s="428"/>
      <c r="O62" s="428"/>
    </row>
    <row r="63" spans="1:18">
      <c r="A63" s="854">
        <f t="shared" si="1"/>
        <v>51</v>
      </c>
      <c r="B63" s="81" t="s">
        <v>208</v>
      </c>
      <c r="C63" s="544">
        <f t="shared" ref="C63:N63" si="32">SUM(C56:C62)</f>
        <v>21733.661399999997</v>
      </c>
      <c r="D63" s="544">
        <f t="shared" si="32"/>
        <v>34217.920599999998</v>
      </c>
      <c r="E63" s="544">
        <f t="shared" si="32"/>
        <v>30886.365000000002</v>
      </c>
      <c r="F63" s="544">
        <f t="shared" si="32"/>
        <v>23452.197582101235</v>
      </c>
      <c r="G63" s="544">
        <f t="shared" si="32"/>
        <v>23452.197582101235</v>
      </c>
      <c r="H63" s="544">
        <f t="shared" si="32"/>
        <v>23452.197582101235</v>
      </c>
      <c r="I63" s="544">
        <f t="shared" si="32"/>
        <v>25103.833082844129</v>
      </c>
      <c r="J63" s="544">
        <f t="shared" si="32"/>
        <v>25103.833082844129</v>
      </c>
      <c r="K63" s="544">
        <f t="shared" si="32"/>
        <v>25103.833082844129</v>
      </c>
      <c r="L63" s="544">
        <f t="shared" si="32"/>
        <v>112952.32425799998</v>
      </c>
      <c r="M63" s="544">
        <f t="shared" si="32"/>
        <v>20224.953861999998</v>
      </c>
      <c r="N63" s="544">
        <f t="shared" si="32"/>
        <v>8850.3978130000069</v>
      </c>
      <c r="O63" s="544">
        <f t="shared" si="29"/>
        <v>374533.71492783609</v>
      </c>
    </row>
    <row r="64" spans="1:18">
      <c r="A64" s="854">
        <f t="shared" si="1"/>
        <v>52</v>
      </c>
      <c r="G64" s="920"/>
    </row>
    <row r="65" spans="1:15">
      <c r="A65" s="854">
        <f t="shared" si="1"/>
        <v>53</v>
      </c>
      <c r="B65" s="81" t="s">
        <v>209</v>
      </c>
      <c r="C65" s="579">
        <v>1</v>
      </c>
      <c r="D65" s="579">
        <f>$C$65</f>
        <v>1</v>
      </c>
      <c r="E65" s="579">
        <f t="shared" ref="E65:N65" si="33">$C$65</f>
        <v>1</v>
      </c>
      <c r="F65" s="579">
        <f t="shared" si="33"/>
        <v>1</v>
      </c>
      <c r="G65" s="579">
        <f t="shared" si="33"/>
        <v>1</v>
      </c>
      <c r="H65" s="579">
        <f t="shared" si="33"/>
        <v>1</v>
      </c>
      <c r="I65" s="579">
        <f t="shared" si="33"/>
        <v>1</v>
      </c>
      <c r="J65" s="579">
        <f t="shared" si="33"/>
        <v>1</v>
      </c>
      <c r="K65" s="579">
        <f t="shared" si="33"/>
        <v>1</v>
      </c>
      <c r="L65" s="579">
        <f t="shared" si="33"/>
        <v>1</v>
      </c>
      <c r="M65" s="579">
        <f t="shared" si="33"/>
        <v>1</v>
      </c>
      <c r="N65" s="579">
        <f t="shared" si="33"/>
        <v>1</v>
      </c>
    </row>
    <row r="66" spans="1:15">
      <c r="A66" s="854">
        <f t="shared" si="1"/>
        <v>54</v>
      </c>
      <c r="B66" s="81" t="s">
        <v>210</v>
      </c>
      <c r="C66" s="579">
        <f>Allocation!D17</f>
        <v>0.5025136071712456</v>
      </c>
      <c r="D66" s="579">
        <f>$C$66</f>
        <v>0.5025136071712456</v>
      </c>
      <c r="E66" s="579">
        <f t="shared" ref="E66:N66" si="34">$C$66</f>
        <v>0.5025136071712456</v>
      </c>
      <c r="F66" s="579">
        <f t="shared" si="34"/>
        <v>0.5025136071712456</v>
      </c>
      <c r="G66" s="579">
        <f t="shared" si="34"/>
        <v>0.5025136071712456</v>
      </c>
      <c r="H66" s="579">
        <f t="shared" si="34"/>
        <v>0.5025136071712456</v>
      </c>
      <c r="I66" s="579">
        <f t="shared" si="34"/>
        <v>0.5025136071712456</v>
      </c>
      <c r="J66" s="579">
        <f t="shared" si="34"/>
        <v>0.5025136071712456</v>
      </c>
      <c r="K66" s="579">
        <f t="shared" si="34"/>
        <v>0.5025136071712456</v>
      </c>
      <c r="L66" s="579">
        <f t="shared" si="34"/>
        <v>0.5025136071712456</v>
      </c>
      <c r="M66" s="579">
        <f t="shared" si="34"/>
        <v>0.5025136071712456</v>
      </c>
      <c r="N66" s="579">
        <f t="shared" si="34"/>
        <v>0.5025136071712456</v>
      </c>
    </row>
    <row r="67" spans="1:15">
      <c r="A67" s="854">
        <f t="shared" si="1"/>
        <v>55</v>
      </c>
    </row>
    <row r="68" spans="1:15">
      <c r="A68" s="854">
        <f t="shared" si="1"/>
        <v>56</v>
      </c>
      <c r="B68" s="81" t="s">
        <v>1373</v>
      </c>
      <c r="C68" s="923">
        <f>C63*C65*C66</f>
        <v>10921.460587152462</v>
      </c>
      <c r="D68" s="923">
        <f t="shared" ref="D68:N68" si="35">D63*D65*D66</f>
        <v>17194.97071060527</v>
      </c>
      <c r="E68" s="923">
        <f t="shared" si="35"/>
        <v>15520.818688557711</v>
      </c>
      <c r="F68" s="923">
        <f t="shared" si="35"/>
        <v>11785.048403074456</v>
      </c>
      <c r="G68" s="923">
        <f t="shared" si="35"/>
        <v>11785.048403074456</v>
      </c>
      <c r="H68" s="923">
        <f t="shared" si="35"/>
        <v>11785.048403074456</v>
      </c>
      <c r="I68" s="923">
        <f t="shared" si="35"/>
        <v>12615.017716284854</v>
      </c>
      <c r="J68" s="923">
        <f t="shared" si="35"/>
        <v>12615.017716284854</v>
      </c>
      <c r="K68" s="923">
        <f t="shared" si="35"/>
        <v>12615.017716284854</v>
      </c>
      <c r="L68" s="923">
        <f t="shared" si="35"/>
        <v>56760.079901263758</v>
      </c>
      <c r="M68" s="923">
        <f t="shared" si="35"/>
        <v>10163.314520065634</v>
      </c>
      <c r="N68" s="923">
        <f t="shared" si="35"/>
        <v>4447.4453299111365</v>
      </c>
      <c r="O68" s="544">
        <f>SUM(C68:N68)</f>
        <v>188208.28809563391</v>
      </c>
    </row>
    <row r="69" spans="1:15">
      <c r="B69" s="924"/>
    </row>
  </sheetData>
  <mergeCells count="4">
    <mergeCell ref="A1:O1"/>
    <mergeCell ref="A2:O2"/>
    <mergeCell ref="A3:O3"/>
    <mergeCell ref="A4:O4"/>
  </mergeCells>
  <phoneticPr fontId="22" type="noConversion"/>
  <printOptions horizontalCentered="1"/>
  <pageMargins left="0.17" right="0.17" top="0.66" bottom="0.17" header="0.5" footer="0.44"/>
  <pageSetup scale="47" orientation="landscape" r:id="rId1"/>
  <headerFooter alignWithMargins="0">
    <oddFooter>&amp;RSchedule &amp;A
Page &amp;P of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C23"/>
  <sheetViews>
    <sheetView view="pageBreakPreview" zoomScale="60" zoomScaleNormal="100" workbookViewId="0">
      <selection activeCell="E14" sqref="E14"/>
    </sheetView>
  </sheetViews>
  <sheetFormatPr defaultRowHeight="15"/>
  <cols>
    <col min="2" max="2" width="8.109375" customWidth="1"/>
    <col min="3" max="3" width="61.44140625" bestFit="1" customWidth="1"/>
  </cols>
  <sheetData>
    <row r="1" spans="1:3">
      <c r="A1" s="1175" t="str">
        <f>'Table of Contents'!A1:C1</f>
        <v>Atmos Energy Corporation, Kentucky/Mid-States Division</v>
      </c>
      <c r="B1" s="1175"/>
      <c r="C1" s="1175"/>
    </row>
    <row r="2" spans="1:3">
      <c r="A2" s="1175" t="str">
        <f>'Table of Contents'!A2:C2</f>
        <v>Kentucky Jurisdiction Case No. 2017-00349</v>
      </c>
      <c r="B2" s="1175"/>
      <c r="C2" s="1175"/>
    </row>
    <row r="3" spans="1:3">
      <c r="A3" s="1175" t="str">
        <f>'Table of Contents'!A3:C3</f>
        <v>Base Period: Twelve Months Ended December 31, 2017</v>
      </c>
      <c r="B3" s="1175"/>
      <c r="C3" s="1175"/>
    </row>
    <row r="4" spans="1:3">
      <c r="A4" s="1175" t="str">
        <f>'Table of Contents'!A4:C4</f>
        <v>Forecasted Test Period: Twelve Months Ended March 31, 2019</v>
      </c>
      <c r="B4" s="1175"/>
      <c r="C4" s="1175"/>
    </row>
    <row r="13" spans="1:3">
      <c r="A13" s="1175" t="s">
        <v>1456</v>
      </c>
      <c r="B13" s="1175"/>
      <c r="C13" s="1175"/>
    </row>
    <row r="15" spans="1:3">
      <c r="A15" s="1175" t="s">
        <v>60</v>
      </c>
      <c r="B15" s="1175"/>
      <c r="C15" s="1175"/>
    </row>
    <row r="18" spans="1:3">
      <c r="A18" s="58" t="s">
        <v>59</v>
      </c>
      <c r="B18" s="58" t="s">
        <v>620</v>
      </c>
      <c r="C18" s="58" t="s">
        <v>993</v>
      </c>
    </row>
    <row r="20" spans="1:3">
      <c r="A20" t="s">
        <v>1074</v>
      </c>
      <c r="B20" s="53">
        <v>4</v>
      </c>
      <c r="C20" t="s">
        <v>1086</v>
      </c>
    </row>
    <row r="21" spans="1:3">
      <c r="A21" t="s">
        <v>475</v>
      </c>
      <c r="B21" s="53">
        <v>1</v>
      </c>
      <c r="C21" t="s">
        <v>435</v>
      </c>
    </row>
    <row r="22" spans="1:3">
      <c r="A22" t="s">
        <v>1098</v>
      </c>
      <c r="B22" s="53">
        <v>1</v>
      </c>
      <c r="C22" t="s">
        <v>435</v>
      </c>
    </row>
    <row r="23" spans="1:3">
      <c r="A23" t="s">
        <v>1100</v>
      </c>
      <c r="B23" s="53">
        <v>1</v>
      </c>
      <c r="C23" t="s">
        <v>435</v>
      </c>
    </row>
  </sheetData>
  <mergeCells count="6">
    <mergeCell ref="A4:C4"/>
    <mergeCell ref="A13:C13"/>
    <mergeCell ref="A15:C15"/>
    <mergeCell ref="A1:C1"/>
    <mergeCell ref="A2:C2"/>
    <mergeCell ref="A3:C3"/>
  </mergeCells>
  <phoneticPr fontId="22" type="noConversion"/>
  <pageMargins left="0.87" right="0.69" top="1" bottom="1" header="0.5" footer="0.5"/>
  <pageSetup scale="94" orientation="portrait" r:id="rId1"/>
  <headerFooter alignWithMargins="0"/>
  <colBreaks count="1" manualBreakCount="1">
    <brk id="3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U178"/>
  <sheetViews>
    <sheetView view="pageBreakPreview" zoomScale="60" zoomScaleNormal="85" workbookViewId="0">
      <pane ySplit="12" topLeftCell="A13" activePane="bottomLeft" state="frozen"/>
      <selection activeCell="H168" sqref="H168"/>
      <selection pane="bottomLeft" activeCell="D40" sqref="D40"/>
    </sheetView>
  </sheetViews>
  <sheetFormatPr defaultColWidth="7.109375" defaultRowHeight="15.75" customHeight="1"/>
  <cols>
    <col min="1" max="1" width="15.21875" style="62" customWidth="1"/>
    <col min="2" max="2" width="9.109375" style="62" customWidth="1"/>
    <col min="3" max="3" width="43.109375" style="62" customWidth="1"/>
    <col min="4" max="4" width="12.44140625" style="62" customWidth="1"/>
    <col min="5" max="5" width="1.44140625" style="62" customWidth="1"/>
    <col min="6" max="6" width="11.33203125" style="62" customWidth="1"/>
    <col min="7" max="7" width="1.44140625" style="62" customWidth="1"/>
    <col min="8" max="8" width="10.6640625" style="62" customWidth="1"/>
    <col min="9" max="9" width="1.44140625" style="62" customWidth="1"/>
    <col min="10" max="10" width="16" style="62" customWidth="1"/>
    <col min="11" max="11" width="1.44140625" style="62" customWidth="1"/>
    <col min="12" max="12" width="10" style="62" customWidth="1"/>
    <col min="13" max="13" width="1.44140625" style="62" customWidth="1"/>
    <col min="14" max="14" width="12" style="62" customWidth="1"/>
    <col min="15" max="15" width="1.44140625" style="62" customWidth="1"/>
    <col min="16" max="16" width="13.5546875" style="62" customWidth="1"/>
    <col min="17" max="17" width="6.6640625" style="62" customWidth="1"/>
    <col min="18" max="18" width="7.44140625" style="62" customWidth="1"/>
    <col min="19" max="19" width="9.5546875" style="62" customWidth="1"/>
    <col min="20" max="20" width="6.109375" style="62" customWidth="1"/>
    <col min="21" max="21" width="5.33203125" style="62" customWidth="1"/>
    <col min="22" max="22" width="7.44140625" style="62" customWidth="1"/>
    <col min="23" max="16384" width="7.109375" style="62"/>
  </cols>
  <sheetData>
    <row r="1" spans="1:16" ht="15.75" customHeight="1">
      <c r="A1" s="173" t="str">
        <f>'Table of Contents'!A1:C1</f>
        <v>Atmos Energy Corporation, Kentucky/Mid-States Division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</row>
    <row r="2" spans="1:16" ht="15.75" customHeight="1">
      <c r="A2" s="173" t="str">
        <f>'Table of Contents'!A2:C2</f>
        <v>Kentucky Jurisdiction Case No. 2017-00349</v>
      </c>
      <c r="B2" s="201"/>
      <c r="C2" s="201"/>
      <c r="D2" s="1080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</row>
    <row r="3" spans="1:16" ht="15.75" customHeight="1">
      <c r="A3" s="65" t="s">
        <v>54</v>
      </c>
      <c r="B3" s="201"/>
      <c r="C3" s="201"/>
      <c r="D3" s="108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</row>
    <row r="4" spans="1:16" ht="15.75" customHeight="1">
      <c r="A4" s="65" t="s">
        <v>858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</row>
    <row r="5" spans="1:16" ht="15.75" customHeight="1">
      <c r="A5" s="65" t="str">
        <f>Allocation!A4</f>
        <v>Forecasted Test Period: Twelve Months Ended March 31, 2019</v>
      </c>
      <c r="B5" s="201"/>
      <c r="C5" s="201"/>
      <c r="D5" s="65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</row>
    <row r="6" spans="1:16" ht="15.75" customHeight="1">
      <c r="A6" s="65"/>
      <c r="B6" s="201"/>
      <c r="C6" s="201"/>
      <c r="D6" s="65"/>
      <c r="E6" s="201"/>
      <c r="F6" s="201"/>
      <c r="G6" s="201"/>
      <c r="H6" s="201"/>
      <c r="I6" s="201"/>
      <c r="J6" s="201"/>
      <c r="K6" s="201"/>
      <c r="M6" s="201"/>
      <c r="N6" s="94"/>
      <c r="O6" s="201"/>
      <c r="P6" s="94"/>
    </row>
    <row r="7" spans="1:16" ht="15.75" customHeight="1">
      <c r="A7" s="66" t="s">
        <v>686</v>
      </c>
      <c r="N7" s="468"/>
      <c r="P7" s="1082" t="s">
        <v>1457</v>
      </c>
    </row>
    <row r="8" spans="1:16" ht="15.75" customHeight="1">
      <c r="A8" s="66" t="s">
        <v>1057</v>
      </c>
      <c r="P8" s="696" t="s">
        <v>683</v>
      </c>
    </row>
    <row r="9" spans="1:16" ht="15.75" customHeight="1">
      <c r="A9" s="238" t="s">
        <v>369</v>
      </c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697"/>
      <c r="M9" s="239"/>
      <c r="N9" s="239"/>
      <c r="O9" s="239"/>
      <c r="P9" s="1083" t="s">
        <v>1677</v>
      </c>
    </row>
    <row r="10" spans="1:16" ht="15.75" customHeight="1">
      <c r="H10" s="240" t="s">
        <v>219</v>
      </c>
    </row>
    <row r="11" spans="1:16" ht="15.75" customHeight="1">
      <c r="A11" s="240" t="s">
        <v>94</v>
      </c>
      <c r="B11" s="275" t="s">
        <v>1324</v>
      </c>
      <c r="D11" s="240" t="s">
        <v>45</v>
      </c>
      <c r="F11" s="1084" t="s">
        <v>475</v>
      </c>
      <c r="G11" s="1085"/>
      <c r="H11" s="1084" t="s">
        <v>475</v>
      </c>
      <c r="I11" s="1086"/>
      <c r="J11" s="1084" t="s">
        <v>475</v>
      </c>
      <c r="K11" s="1085"/>
      <c r="L11" s="1087" t="s">
        <v>1098</v>
      </c>
      <c r="M11" s="1088"/>
      <c r="N11" s="1087" t="s">
        <v>1098</v>
      </c>
      <c r="O11" s="1085"/>
      <c r="P11" s="1084" t="s">
        <v>97</v>
      </c>
    </row>
    <row r="12" spans="1:16" ht="15.75" customHeight="1">
      <c r="A12" s="1089" t="s">
        <v>100</v>
      </c>
      <c r="B12" s="276" t="s">
        <v>220</v>
      </c>
      <c r="C12" s="239"/>
      <c r="D12" s="1089" t="s">
        <v>543</v>
      </c>
      <c r="E12" s="239"/>
      <c r="F12" s="1089" t="s">
        <v>612</v>
      </c>
      <c r="G12" s="238" t="s">
        <v>327</v>
      </c>
      <c r="H12" s="1089" t="s">
        <v>469</v>
      </c>
      <c r="I12" s="238" t="s">
        <v>327</v>
      </c>
      <c r="J12" s="1089" t="s">
        <v>470</v>
      </c>
      <c r="K12" s="238" t="s">
        <v>327</v>
      </c>
      <c r="L12" s="977" t="s">
        <v>471</v>
      </c>
      <c r="M12" s="973" t="s">
        <v>327</v>
      </c>
      <c r="N12" s="977" t="s">
        <v>472</v>
      </c>
      <c r="O12" s="239"/>
      <c r="P12" s="1089" t="s">
        <v>476</v>
      </c>
    </row>
    <row r="14" spans="1:16" ht="15.75" customHeight="1">
      <c r="B14" s="66" t="s">
        <v>1123</v>
      </c>
    </row>
    <row r="15" spans="1:16" ht="15.75" customHeight="1">
      <c r="A15" s="240" t="s">
        <v>370</v>
      </c>
      <c r="B15" s="66" t="s">
        <v>1023</v>
      </c>
      <c r="D15" s="86">
        <f>'C.2.1 B'!D15</f>
        <v>92003987.593029201</v>
      </c>
      <c r="E15" s="96"/>
      <c r="F15" s="86">
        <f>D.2.1!D15</f>
        <v>6373931.8221630752</v>
      </c>
      <c r="G15" s="86"/>
      <c r="H15" s="86"/>
      <c r="I15" s="86"/>
      <c r="J15" s="86"/>
      <c r="K15" s="86"/>
      <c r="L15" s="86"/>
      <c r="M15" s="86"/>
      <c r="N15" s="86"/>
      <c r="O15" s="86"/>
      <c r="P15" s="86">
        <f>SUM(F15:O15)</f>
        <v>6373931.8221630752</v>
      </c>
    </row>
    <row r="16" spans="1:16" ht="15.75" customHeight="1">
      <c r="A16" s="240">
        <f>A15+1</f>
        <v>2</v>
      </c>
      <c r="B16" s="66" t="s">
        <v>1024</v>
      </c>
      <c r="D16" s="86">
        <f>'C.2.1 B'!D17</f>
        <v>38443047.651499577</v>
      </c>
      <c r="E16" s="96"/>
      <c r="F16" s="86">
        <f>D.2.1!D20</f>
        <v>2194016.0857044533</v>
      </c>
      <c r="G16" s="86"/>
      <c r="H16" s="86"/>
      <c r="I16" s="86"/>
      <c r="J16" s="86"/>
      <c r="K16" s="86"/>
      <c r="L16" s="86"/>
      <c r="M16" s="86"/>
      <c r="N16" s="86"/>
      <c r="O16" s="86"/>
      <c r="P16" s="86">
        <f>SUM(F16:O16)</f>
        <v>2194016.0857044533</v>
      </c>
    </row>
    <row r="17" spans="1:16" ht="15.75" customHeight="1">
      <c r="A17" s="240">
        <f t="shared" ref="A17:A42" si="0">A16+1</f>
        <v>3</v>
      </c>
      <c r="B17" s="66" t="s">
        <v>1025</v>
      </c>
      <c r="D17" s="86">
        <f>'C.2.1 B'!D18</f>
        <v>6816385.5647433177</v>
      </c>
      <c r="E17" s="96"/>
      <c r="F17" s="86">
        <f>D.2.1!D25</f>
        <v>-1529630.2253902424</v>
      </c>
      <c r="G17" s="86"/>
      <c r="H17" s="86"/>
      <c r="I17" s="86"/>
      <c r="J17" s="86"/>
      <c r="K17" s="86"/>
      <c r="L17" s="86"/>
      <c r="M17" s="86"/>
      <c r="N17" s="86"/>
      <c r="O17" s="86"/>
      <c r="P17" s="86">
        <f>SUM(F17:O17)</f>
        <v>-1529630.2253902424</v>
      </c>
    </row>
    <row r="18" spans="1:16" ht="15.75" customHeight="1">
      <c r="A18" s="240">
        <f t="shared" si="0"/>
        <v>4</v>
      </c>
      <c r="B18" s="66" t="s">
        <v>1026</v>
      </c>
      <c r="D18" s="86">
        <f>'C.2.1 B'!D21</f>
        <v>6397243.3093471676</v>
      </c>
      <c r="E18" s="96"/>
      <c r="F18" s="86">
        <f>D.2.1!D30</f>
        <v>450129.07767787017</v>
      </c>
      <c r="G18" s="86"/>
      <c r="H18" s="86"/>
      <c r="I18" s="86"/>
      <c r="J18" s="86"/>
      <c r="K18" s="86"/>
      <c r="L18" s="86"/>
      <c r="M18" s="86"/>
      <c r="N18" s="86"/>
      <c r="O18" s="86"/>
      <c r="P18" s="86">
        <f>SUM(F18:O18)</f>
        <v>450129.07767787017</v>
      </c>
    </row>
    <row r="19" spans="1:16" ht="15.75" customHeight="1">
      <c r="A19" s="240">
        <f t="shared" si="0"/>
        <v>5</v>
      </c>
      <c r="B19" s="66"/>
      <c r="D19" s="460"/>
      <c r="E19" s="96"/>
      <c r="F19" s="125"/>
      <c r="G19" s="86"/>
      <c r="H19" s="125"/>
      <c r="I19" s="86"/>
      <c r="J19" s="125"/>
      <c r="K19" s="86"/>
      <c r="L19" s="125"/>
      <c r="M19" s="86"/>
      <c r="N19" s="125"/>
      <c r="O19" s="86"/>
      <c r="P19" s="125"/>
    </row>
    <row r="20" spans="1:16" ht="15.75" customHeight="1">
      <c r="A20" s="240">
        <f t="shared" si="0"/>
        <v>6</v>
      </c>
      <c r="D20" s="86"/>
      <c r="E20" s="9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</row>
    <row r="21" spans="1:16" ht="15.75" customHeight="1">
      <c r="A21" s="240">
        <f t="shared" si="0"/>
        <v>7</v>
      </c>
      <c r="B21" s="66" t="s">
        <v>586</v>
      </c>
      <c r="D21" s="86">
        <f>SUM(D15:D19)</f>
        <v>143660664.11861926</v>
      </c>
      <c r="E21" s="96"/>
      <c r="F21" s="86">
        <f>SUM(F15:F19)</f>
        <v>7488446.7601551563</v>
      </c>
      <c r="G21" s="86"/>
      <c r="H21" s="86">
        <f>SUM(H15:H19)</f>
        <v>0</v>
      </c>
      <c r="I21" s="86"/>
      <c r="J21" s="86">
        <f>SUM(J15:J19)</f>
        <v>0</v>
      </c>
      <c r="K21" s="86"/>
      <c r="L21" s="86">
        <f>SUM(L15:L19)</f>
        <v>0</v>
      </c>
      <c r="M21" s="86"/>
      <c r="N21" s="86">
        <f>SUM(N15:N19)</f>
        <v>0</v>
      </c>
      <c r="O21" s="86"/>
      <c r="P21" s="86">
        <f>SUM(F21:O21)</f>
        <v>7488446.7601551563</v>
      </c>
    </row>
    <row r="22" spans="1:16" ht="15.75" customHeight="1">
      <c r="A22" s="240">
        <f t="shared" si="0"/>
        <v>8</v>
      </c>
      <c r="D22" s="86"/>
      <c r="E22" s="9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</row>
    <row r="23" spans="1:16" ht="15.75" customHeight="1">
      <c r="A23" s="240">
        <f t="shared" si="0"/>
        <v>9</v>
      </c>
      <c r="B23" s="66" t="s">
        <v>439</v>
      </c>
      <c r="D23" s="86"/>
      <c r="E23" s="9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</row>
    <row r="24" spans="1:16" ht="15.75" customHeight="1">
      <c r="A24" s="240">
        <f t="shared" si="0"/>
        <v>10</v>
      </c>
      <c r="B24" s="66" t="s">
        <v>231</v>
      </c>
      <c r="D24" s="86">
        <f>'C.2.1 B'!D26</f>
        <v>1231451.7485199214</v>
      </c>
      <c r="E24" s="96"/>
      <c r="F24" s="86"/>
      <c r="G24" s="86"/>
      <c r="H24" s="86">
        <f>D.2.1!D40</f>
        <v>66512.43117774534</v>
      </c>
      <c r="I24" s="86"/>
      <c r="J24" s="86"/>
      <c r="K24" s="86"/>
      <c r="L24" s="86"/>
      <c r="M24" s="86"/>
      <c r="N24" s="86"/>
      <c r="O24" s="86"/>
      <c r="P24" s="86">
        <f>SUM(F24:O24)</f>
        <v>66512.43117774534</v>
      </c>
    </row>
    <row r="25" spans="1:16" ht="15.75" customHeight="1">
      <c r="A25" s="240">
        <f t="shared" si="0"/>
        <v>11</v>
      </c>
      <c r="B25" s="66" t="s">
        <v>572</v>
      </c>
      <c r="D25" s="86">
        <f>'C.2.1 B'!D27</f>
        <v>805992</v>
      </c>
      <c r="E25" s="96"/>
      <c r="F25" s="86"/>
      <c r="G25" s="86"/>
      <c r="H25" s="86">
        <f>D.2.1!D45</f>
        <v>62</v>
      </c>
      <c r="I25" s="86"/>
      <c r="J25" s="86"/>
      <c r="K25" s="86"/>
      <c r="L25" s="86"/>
      <c r="M25" s="86"/>
      <c r="N25" s="86"/>
      <c r="O25" s="86"/>
      <c r="P25" s="86">
        <f>SUM(F25:O25)</f>
        <v>62</v>
      </c>
    </row>
    <row r="26" spans="1:16" ht="15.75" customHeight="1">
      <c r="A26" s="240">
        <f t="shared" si="0"/>
        <v>12</v>
      </c>
      <c r="B26" s="66" t="s">
        <v>1232</v>
      </c>
      <c r="D26" s="86">
        <f>'C.2.1 B'!D28</f>
        <v>15830893.886251401</v>
      </c>
      <c r="E26" s="96"/>
      <c r="F26" s="86"/>
      <c r="G26" s="86"/>
      <c r="H26" s="86">
        <f>D.2.1!D50</f>
        <v>-628806.69358575717</v>
      </c>
      <c r="I26" s="86"/>
      <c r="J26" s="86"/>
      <c r="K26" s="86"/>
      <c r="L26" s="86"/>
      <c r="M26" s="86"/>
      <c r="N26" s="86"/>
      <c r="O26" s="86"/>
      <c r="P26" s="86">
        <f>SUM(F26:O26)</f>
        <v>-628806.69358575717</v>
      </c>
    </row>
    <row r="27" spans="1:16" ht="15.75" customHeight="1">
      <c r="A27" s="240">
        <f t="shared" si="0"/>
        <v>13</v>
      </c>
      <c r="B27" s="66" t="s">
        <v>223</v>
      </c>
      <c r="D27" s="460">
        <f>'C.2.1 B'!D29</f>
        <v>1173474.0575652353</v>
      </c>
      <c r="E27" s="96"/>
      <c r="F27" s="125"/>
      <c r="G27" s="86"/>
      <c r="H27" s="125">
        <f>D.2.1!D55</f>
        <v>1100585.6027177174</v>
      </c>
      <c r="I27" s="86"/>
      <c r="J27" s="125"/>
      <c r="K27" s="86"/>
      <c r="L27" s="125"/>
      <c r="M27" s="86"/>
      <c r="N27" s="125"/>
      <c r="O27" s="86"/>
      <c r="P27" s="125">
        <f>SUM(F27:O27)</f>
        <v>1100585.6027177174</v>
      </c>
    </row>
    <row r="28" spans="1:16" ht="15.75" customHeight="1">
      <c r="A28" s="240">
        <f t="shared" si="0"/>
        <v>14</v>
      </c>
      <c r="D28" s="86"/>
      <c r="E28" s="9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</row>
    <row r="29" spans="1:16" ht="15.75" customHeight="1">
      <c r="A29" s="240">
        <f t="shared" si="0"/>
        <v>15</v>
      </c>
      <c r="B29" s="66" t="s">
        <v>1166</v>
      </c>
      <c r="D29" s="125">
        <f>SUM(D24:D27)</f>
        <v>19041811.692336556</v>
      </c>
      <c r="E29" s="96"/>
      <c r="F29" s="125">
        <f>SUM(F25:F27)</f>
        <v>0</v>
      </c>
      <c r="G29" s="86"/>
      <c r="H29" s="125">
        <f>SUM(H24:H27)</f>
        <v>538353.34030970559</v>
      </c>
      <c r="I29" s="86"/>
      <c r="J29" s="125">
        <f>SUM(J25:J27)</f>
        <v>0</v>
      </c>
      <c r="K29" s="96"/>
      <c r="L29" s="125">
        <f>SUM(L25:L27)</f>
        <v>0</v>
      </c>
      <c r="M29" s="86"/>
      <c r="N29" s="125">
        <f>SUM(N25:N27)</f>
        <v>0</v>
      </c>
      <c r="O29" s="86"/>
      <c r="P29" s="125">
        <f>SUM(F29:O29)</f>
        <v>538353.34030970559</v>
      </c>
    </row>
    <row r="30" spans="1:16" ht="15.75" customHeight="1">
      <c r="A30" s="240">
        <f t="shared" si="0"/>
        <v>16</v>
      </c>
      <c r="D30" s="86"/>
      <c r="E30" s="96"/>
      <c r="F30" s="86"/>
      <c r="G30" s="86"/>
      <c r="H30" s="86"/>
      <c r="I30" s="86"/>
      <c r="J30" s="86"/>
      <c r="K30" s="96"/>
      <c r="L30" s="86"/>
      <c r="M30" s="86"/>
      <c r="N30" s="86"/>
      <c r="O30" s="86"/>
      <c r="P30" s="86"/>
    </row>
    <row r="31" spans="1:16" ht="15.75" customHeight="1">
      <c r="A31" s="240">
        <f t="shared" si="0"/>
        <v>17</v>
      </c>
      <c r="B31" s="66" t="s">
        <v>490</v>
      </c>
      <c r="D31" s="284">
        <f>D21+D29</f>
        <v>162702475.81095582</v>
      </c>
      <c r="E31" s="96"/>
      <c r="F31" s="284">
        <f>F21+F29</f>
        <v>7488446.7601551563</v>
      </c>
      <c r="G31" s="86"/>
      <c r="H31" s="284">
        <f>H21+H29</f>
        <v>538353.34030970559</v>
      </c>
      <c r="I31" s="86"/>
      <c r="J31" s="284">
        <f>J21+J29</f>
        <v>0</v>
      </c>
      <c r="K31" s="96"/>
      <c r="L31" s="284">
        <f>L21+L29</f>
        <v>0</v>
      </c>
      <c r="M31" s="86"/>
      <c r="N31" s="284">
        <f>N21+N29</f>
        <v>0</v>
      </c>
      <c r="O31" s="86"/>
      <c r="P31" s="284">
        <f>SUM(F31:O31)</f>
        <v>8026800.1004648618</v>
      </c>
    </row>
    <row r="32" spans="1:16" ht="15.75" customHeight="1">
      <c r="A32" s="240">
        <f t="shared" si="0"/>
        <v>18</v>
      </c>
      <c r="D32" s="86"/>
      <c r="E32" s="9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</row>
    <row r="33" spans="1:20" ht="15.75" customHeight="1">
      <c r="A33" s="240">
        <f t="shared" si="0"/>
        <v>19</v>
      </c>
      <c r="B33" s="66" t="s">
        <v>845</v>
      </c>
      <c r="D33" s="86"/>
      <c r="E33" s="9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</row>
    <row r="34" spans="1:20" ht="15.75" customHeight="1">
      <c r="A34" s="240">
        <f t="shared" si="0"/>
        <v>20</v>
      </c>
      <c r="B34" s="66" t="s">
        <v>224</v>
      </c>
      <c r="D34" s="125">
        <f>'C.2.1 B'!D104</f>
        <v>65546014.381216273</v>
      </c>
      <c r="E34" s="96"/>
      <c r="F34" s="125"/>
      <c r="G34" s="86"/>
      <c r="H34" s="125"/>
      <c r="I34" s="86"/>
      <c r="J34" s="125">
        <f>D.2.1!D60</f>
        <v>13163102.86159277</v>
      </c>
      <c r="K34" s="86"/>
      <c r="L34" s="125"/>
      <c r="M34" s="86"/>
      <c r="N34" s="125"/>
      <c r="O34" s="86"/>
      <c r="P34" s="125">
        <f>SUM(F34:O34)</f>
        <v>13163102.86159277</v>
      </c>
    </row>
    <row r="35" spans="1:20" ht="15.75" customHeight="1">
      <c r="A35" s="240">
        <f t="shared" si="0"/>
        <v>21</v>
      </c>
      <c r="D35" s="86"/>
      <c r="E35" s="9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</row>
    <row r="36" spans="1:20" ht="15.75" customHeight="1">
      <c r="A36" s="240">
        <f t="shared" si="0"/>
        <v>22</v>
      </c>
      <c r="B36" s="66" t="s">
        <v>846</v>
      </c>
      <c r="D36" s="125">
        <f>SUM(D34:D34)</f>
        <v>65546014.381216273</v>
      </c>
      <c r="E36" s="96"/>
      <c r="F36" s="125">
        <f>SUM(F34:F34)</f>
        <v>0</v>
      </c>
      <c r="G36" s="86"/>
      <c r="H36" s="125">
        <f>SUM(H34:H34)</f>
        <v>0</v>
      </c>
      <c r="I36" s="86"/>
      <c r="J36" s="125">
        <f>SUM(J34:J34)</f>
        <v>13163102.86159277</v>
      </c>
      <c r="K36" s="86"/>
      <c r="L36" s="125">
        <f>SUM(L34:L34)</f>
        <v>0</v>
      </c>
      <c r="M36" s="96"/>
      <c r="N36" s="125">
        <f>SUM(N34:N34)</f>
        <v>0</v>
      </c>
      <c r="O36" s="86"/>
      <c r="P36" s="125">
        <f>SUM(F36:O36)</f>
        <v>13163102.86159277</v>
      </c>
    </row>
    <row r="37" spans="1:20" ht="15.75" customHeight="1">
      <c r="A37" s="240">
        <f t="shared" si="0"/>
        <v>23</v>
      </c>
      <c r="D37" s="86"/>
      <c r="E37" s="9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</row>
    <row r="38" spans="1:20" ht="15.75" customHeight="1">
      <c r="A38" s="240">
        <f t="shared" si="0"/>
        <v>24</v>
      </c>
      <c r="B38" s="66" t="s">
        <v>491</v>
      </c>
      <c r="D38" s="284">
        <f>D31-D36</f>
        <v>97156461.42973955</v>
      </c>
      <c r="E38" s="96"/>
      <c r="F38" s="284">
        <f>F31-F36</f>
        <v>7488446.7601551563</v>
      </c>
      <c r="G38" s="86"/>
      <c r="H38" s="284">
        <f>H31-H36</f>
        <v>538353.34030970559</v>
      </c>
      <c r="I38" s="86"/>
      <c r="J38" s="284">
        <f>J31-J36</f>
        <v>-13163102.86159277</v>
      </c>
      <c r="K38" s="86"/>
      <c r="L38" s="284">
        <f>L31-L36</f>
        <v>0</v>
      </c>
      <c r="M38" s="96"/>
      <c r="N38" s="284">
        <f>N31-N36</f>
        <v>0</v>
      </c>
      <c r="O38" s="86"/>
      <c r="P38" s="284">
        <f>SUM(F38:O38)</f>
        <v>-5136302.7611279078</v>
      </c>
    </row>
    <row r="39" spans="1:20" ht="15.75" customHeight="1">
      <c r="A39" s="240">
        <f t="shared" si="0"/>
        <v>25</v>
      </c>
      <c r="D39" s="86"/>
      <c r="E39" s="9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</row>
    <row r="40" spans="1:20" ht="15.75" customHeight="1">
      <c r="A40" s="240">
        <f t="shared" si="0"/>
        <v>26</v>
      </c>
      <c r="B40" s="66" t="s">
        <v>225</v>
      </c>
      <c r="D40" s="1014">
        <f>Allocation!E25</f>
        <v>0.25740000000000002</v>
      </c>
      <c r="E40" s="96"/>
      <c r="F40" s="284">
        <f>F38*$D$40</f>
        <v>1927526.1960639374</v>
      </c>
      <c r="G40" s="86"/>
      <c r="H40" s="284">
        <f>H38*$D$40</f>
        <v>138572.14979571823</v>
      </c>
      <c r="I40" s="86"/>
      <c r="J40" s="284">
        <f>J38*$D$40</f>
        <v>-3388182.6765739792</v>
      </c>
      <c r="K40" s="86"/>
      <c r="L40" s="284">
        <f>L38*$D$40</f>
        <v>0</v>
      </c>
      <c r="M40" s="86"/>
      <c r="N40" s="284">
        <f>N38*$D$40</f>
        <v>0</v>
      </c>
      <c r="O40" s="86"/>
      <c r="P40" s="284">
        <f>P38*$D$40</f>
        <v>-1322084.3307143236</v>
      </c>
    </row>
    <row r="41" spans="1:20" ht="15.75" customHeight="1">
      <c r="A41" s="240">
        <f t="shared" si="0"/>
        <v>27</v>
      </c>
      <c r="D41" s="1014"/>
      <c r="E41" s="9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</row>
    <row r="42" spans="1:20" ht="15.75" customHeight="1">
      <c r="A42" s="240">
        <f t="shared" si="0"/>
        <v>28</v>
      </c>
      <c r="B42" s="66" t="s">
        <v>847</v>
      </c>
      <c r="D42" s="86"/>
      <c r="E42" s="96"/>
      <c r="F42" s="284">
        <f>F38-F40</f>
        <v>5560920.5640912186</v>
      </c>
      <c r="G42" s="86"/>
      <c r="H42" s="284">
        <f>H38-H40</f>
        <v>399781.19051398733</v>
      </c>
      <c r="I42" s="86"/>
      <c r="J42" s="284">
        <f>J38-J40</f>
        <v>-9774920.1850187909</v>
      </c>
      <c r="K42" s="86"/>
      <c r="L42" s="284">
        <f>L38-L40</f>
        <v>0</v>
      </c>
      <c r="M42" s="86"/>
      <c r="N42" s="284">
        <f>N38-N40</f>
        <v>0</v>
      </c>
      <c r="O42" s="86"/>
      <c r="P42" s="284">
        <f>P38-P40</f>
        <v>-3814218.4304135842</v>
      </c>
    </row>
    <row r="43" spans="1:20" ht="15.75" customHeight="1">
      <c r="A43" s="240"/>
      <c r="B43" s="66"/>
      <c r="D43" s="86"/>
      <c r="E43" s="96"/>
      <c r="F43" s="284"/>
      <c r="G43" s="86"/>
      <c r="H43" s="284"/>
      <c r="I43" s="86"/>
      <c r="J43" s="284"/>
      <c r="K43" s="86"/>
      <c r="L43" s="284"/>
      <c r="M43" s="86"/>
      <c r="N43" s="284"/>
      <c r="O43" s="86"/>
      <c r="P43" s="284"/>
    </row>
    <row r="44" spans="1:20" ht="15.75" customHeight="1">
      <c r="D44" s="96"/>
      <c r="E44" s="96"/>
      <c r="F44" s="96"/>
      <c r="G44" s="96"/>
      <c r="H44" s="859" t="s">
        <v>219</v>
      </c>
      <c r="I44" s="96"/>
      <c r="J44" s="96"/>
      <c r="K44" s="96"/>
      <c r="L44" s="96"/>
      <c r="M44" s="96"/>
      <c r="N44" s="96"/>
      <c r="O44" s="96"/>
      <c r="P44" s="859" t="s">
        <v>1099</v>
      </c>
    </row>
    <row r="45" spans="1:20" ht="15.75" customHeight="1">
      <c r="A45" s="240" t="s">
        <v>94</v>
      </c>
      <c r="B45" s="275" t="s">
        <v>1136</v>
      </c>
      <c r="D45" s="859" t="s">
        <v>45</v>
      </c>
      <c r="E45" s="96"/>
      <c r="F45" s="1087" t="s">
        <v>1098</v>
      </c>
      <c r="G45" s="1090"/>
      <c r="H45" s="1087" t="s">
        <v>1098</v>
      </c>
      <c r="I45" s="1088"/>
      <c r="J45" s="1087" t="s">
        <v>1098</v>
      </c>
      <c r="K45" s="1088"/>
      <c r="L45" s="1087" t="s">
        <v>1098</v>
      </c>
      <c r="M45" s="1088"/>
      <c r="N45" s="1087" t="s">
        <v>1098</v>
      </c>
      <c r="O45" s="1088"/>
      <c r="P45" s="859" t="s">
        <v>97</v>
      </c>
    </row>
    <row r="46" spans="1:20" ht="15.75" customHeight="1">
      <c r="A46" s="1089" t="s">
        <v>100</v>
      </c>
      <c r="B46" s="276" t="s">
        <v>220</v>
      </c>
      <c r="C46" s="239"/>
      <c r="D46" s="977" t="s">
        <v>543</v>
      </c>
      <c r="E46" s="640"/>
      <c r="F46" s="977" t="s">
        <v>612</v>
      </c>
      <c r="G46" s="973" t="s">
        <v>327</v>
      </c>
      <c r="H46" s="977" t="s">
        <v>469</v>
      </c>
      <c r="I46" s="973" t="s">
        <v>327</v>
      </c>
      <c r="J46" s="977" t="s">
        <v>470</v>
      </c>
      <c r="K46" s="973" t="s">
        <v>327</v>
      </c>
      <c r="L46" s="977" t="s">
        <v>471</v>
      </c>
      <c r="M46" s="973" t="s">
        <v>327</v>
      </c>
      <c r="N46" s="977" t="s">
        <v>472</v>
      </c>
      <c r="O46" s="973" t="s">
        <v>327</v>
      </c>
      <c r="P46" s="977" t="s">
        <v>476</v>
      </c>
    </row>
    <row r="47" spans="1:20" ht="15.75" customHeight="1"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</row>
    <row r="48" spans="1:20" ht="15.75" customHeight="1">
      <c r="A48" s="240">
        <f>A42+1</f>
        <v>29</v>
      </c>
      <c r="B48" s="1091">
        <v>7590</v>
      </c>
      <c r="C48" s="62" t="s">
        <v>111</v>
      </c>
      <c r="D48" s="352">
        <f>'C.2.1 B'!D37</f>
        <v>0</v>
      </c>
      <c r="E48" s="352"/>
      <c r="F48" s="352">
        <f>SUMIF('[13]Div 9 forecast'!$C$9:$C$503,$B48, '[13]Div 9 forecast'!$AL$9:$AL$504)</f>
        <v>0</v>
      </c>
      <c r="G48" s="396"/>
      <c r="H48" s="352">
        <f>SUMIF('[13]Div 9 forecast'!$C$9:$C$503,$B48, '[13]Div 9 forecast'!$AM$9:$AM$504)</f>
        <v>0</v>
      </c>
      <c r="I48" s="352"/>
      <c r="J48" s="352">
        <f>SUMIF('[13]Div 9 forecast'!$C$9:$C$503,$B48, '[13]Div 9 forecast'!$AN$9:$AN$504)</f>
        <v>0</v>
      </c>
      <c r="K48" s="352"/>
      <c r="L48" s="352">
        <v>0</v>
      </c>
      <c r="M48" s="352"/>
      <c r="N48" s="352">
        <v>0</v>
      </c>
      <c r="O48" s="455"/>
      <c r="P48" s="352">
        <f t="shared" ref="P48:P93" si="1">SUM(F48:O48)</f>
        <v>0</v>
      </c>
      <c r="T48" s="1091"/>
    </row>
    <row r="49" spans="1:21" ht="15.75" customHeight="1">
      <c r="A49" s="240">
        <f t="shared" ref="A49:A93" si="2">A48+1</f>
        <v>30</v>
      </c>
      <c r="B49" s="1091">
        <v>8140</v>
      </c>
      <c r="C49" s="62" t="s">
        <v>111</v>
      </c>
      <c r="D49" s="352">
        <f>'C.2.1 B'!D44</f>
        <v>0</v>
      </c>
      <c r="E49" s="352"/>
      <c r="F49" s="352">
        <f>SUMIF('[13]Div 9 forecast'!$C$9:$C$503,$B49, '[13]Div 9 forecast'!$AL$9:$AL$504)</f>
        <v>0</v>
      </c>
      <c r="G49" s="396"/>
      <c r="H49" s="352">
        <f>SUMIF('[13]Div 9 forecast'!$C$9:$C$503,$B49, '[13]Div 9 forecast'!$AM$9:$AM$504)</f>
        <v>0</v>
      </c>
      <c r="I49" s="352"/>
      <c r="J49" s="352">
        <f>SUMIF('[13]Div 9 forecast'!$C$9:$C$503,$B49, '[13]Div 9 forecast'!$AN$9:$AN$504)</f>
        <v>0</v>
      </c>
      <c r="K49" s="352"/>
      <c r="L49" s="352">
        <v>0</v>
      </c>
      <c r="M49" s="352"/>
      <c r="N49" s="352"/>
      <c r="O49" s="455"/>
      <c r="P49" s="352">
        <f t="shared" si="1"/>
        <v>0</v>
      </c>
      <c r="T49" s="1091"/>
    </row>
    <row r="50" spans="1:21" ht="15.75" customHeight="1">
      <c r="A50" s="240">
        <f t="shared" si="2"/>
        <v>31</v>
      </c>
      <c r="B50" s="1091">
        <v>8150</v>
      </c>
      <c r="C50" s="62" t="s">
        <v>232</v>
      </c>
      <c r="D50" s="352">
        <f>'C.2.1 B'!D45</f>
        <v>0</v>
      </c>
      <c r="E50" s="352"/>
      <c r="F50" s="352">
        <f>SUMIF('[13]Div 9 forecast'!$C$9:$C$503,$B50, '[13]Div 9 forecast'!$AL$9:$AL$504)</f>
        <v>0</v>
      </c>
      <c r="G50" s="396"/>
      <c r="H50" s="352">
        <f>SUMIF('[13]Div 9 forecast'!$C$9:$C$503,$B50, '[13]Div 9 forecast'!$AM$9:$AM$504)</f>
        <v>0</v>
      </c>
      <c r="I50" s="352"/>
      <c r="J50" s="352">
        <f>SUMIF('[13]Div 9 forecast'!$C$9:$C$503,$B50, '[13]Div 9 forecast'!$AN$9:$AN$504)</f>
        <v>0</v>
      </c>
      <c r="K50" s="352"/>
      <c r="L50" s="352">
        <v>0</v>
      </c>
      <c r="M50" s="352"/>
      <c r="N50" s="352">
        <v>0</v>
      </c>
      <c r="O50" s="455"/>
      <c r="P50" s="352">
        <f t="shared" si="1"/>
        <v>0</v>
      </c>
      <c r="T50" s="1091"/>
    </row>
    <row r="51" spans="1:21" ht="15.75" customHeight="1">
      <c r="A51" s="240">
        <f t="shared" si="2"/>
        <v>32</v>
      </c>
      <c r="B51" s="1091">
        <v>8160</v>
      </c>
      <c r="C51" s="62" t="s">
        <v>112</v>
      </c>
      <c r="D51" s="352">
        <f>'C.2.1 B'!D46</f>
        <v>128970.30463018743</v>
      </c>
      <c r="E51" s="352"/>
      <c r="F51" s="352">
        <f>SUMIF('[13]Div 9 forecast'!$C$9:$C$503,$B51, '[13]Div 9 forecast'!$AL$9:$AL$504)</f>
        <v>215.33957868340724</v>
      </c>
      <c r="G51" s="396"/>
      <c r="H51" s="352">
        <f>SUMIF('[13]Div 9 forecast'!$C$9:$C$503,$B51, '[13]Div 9 forecast'!$AM$9:$AM$504)</f>
        <v>0</v>
      </c>
      <c r="I51" s="352"/>
      <c r="J51" s="352">
        <f>SUMIF('[13]Div 9 forecast'!$C$9:$C$503,$B51, '[13]Div 9 forecast'!$AN$9:$AN$504)</f>
        <v>6751.3491000256727</v>
      </c>
      <c r="K51" s="352"/>
      <c r="L51" s="352">
        <v>0</v>
      </c>
      <c r="M51" s="352"/>
      <c r="N51" s="352">
        <v>0</v>
      </c>
      <c r="O51" s="352"/>
      <c r="P51" s="352">
        <f t="shared" si="1"/>
        <v>6966.6886787090798</v>
      </c>
      <c r="T51" s="1091"/>
      <c r="U51" s="1091"/>
    </row>
    <row r="52" spans="1:21" ht="15.75" customHeight="1">
      <c r="A52" s="240">
        <f t="shared" si="2"/>
        <v>33</v>
      </c>
      <c r="B52" s="1091">
        <v>8170</v>
      </c>
      <c r="C52" s="62" t="s">
        <v>1202</v>
      </c>
      <c r="D52" s="352">
        <f>'C.2.1 B'!D47</f>
        <v>35012.455108996946</v>
      </c>
      <c r="E52" s="352"/>
      <c r="F52" s="352">
        <f>SUMIF('[13]Div 9 forecast'!$C$9:$C$503,$B52, '[13]Div 9 forecast'!$AL$9:$AL$504)</f>
        <v>175.71439352657512</v>
      </c>
      <c r="G52" s="396"/>
      <c r="H52" s="352">
        <f>SUMIF('[13]Div 9 forecast'!$C$9:$C$503,$B52, '[13]Div 9 forecast'!$AM$9:$AM$504)</f>
        <v>-218.95803664505729</v>
      </c>
      <c r="I52" s="352"/>
      <c r="J52" s="352">
        <f>SUMIF('[13]Div 9 forecast'!$C$9:$C$503,$B52, '[13]Div 9 forecast'!$AN$9:$AN$504)</f>
        <v>45.086959648940365</v>
      </c>
      <c r="K52" s="352"/>
      <c r="L52" s="352">
        <v>0</v>
      </c>
      <c r="M52" s="352"/>
      <c r="N52" s="352">
        <v>0</v>
      </c>
      <c r="O52" s="352"/>
      <c r="P52" s="352">
        <f t="shared" si="1"/>
        <v>1.8433165304581962</v>
      </c>
      <c r="T52" s="1091"/>
      <c r="U52" s="1091"/>
    </row>
    <row r="53" spans="1:21" ht="15.75" customHeight="1">
      <c r="A53" s="240">
        <f t="shared" si="2"/>
        <v>34</v>
      </c>
      <c r="B53" s="1091">
        <v>8180</v>
      </c>
      <c r="C53" s="62" t="s">
        <v>1203</v>
      </c>
      <c r="D53" s="352">
        <f>'C.2.1 B'!D48</f>
        <v>34837.861808389884</v>
      </c>
      <c r="E53" s="352"/>
      <c r="F53" s="352">
        <f>SUMIF('[13]Div 9 forecast'!$C$9:$C$503,$B53, '[13]Div 9 forecast'!$AL$9:$AL$504)</f>
        <v>92.156492045881123</v>
      </c>
      <c r="G53" s="396"/>
      <c r="H53" s="352">
        <f>SUMIF('[13]Div 9 forecast'!$C$9:$C$503,$B53, '[13]Div 9 forecast'!$AM$9:$AM$504)</f>
        <v>-64.031053835950388</v>
      </c>
      <c r="I53" s="352"/>
      <c r="J53" s="352">
        <f>SUMIF('[13]Div 9 forecast'!$C$9:$C$503,$B53, '[13]Div 9 forecast'!$AN$9:$AN$504)</f>
        <v>766.57138091392108</v>
      </c>
      <c r="K53" s="352"/>
      <c r="L53" s="352">
        <v>0</v>
      </c>
      <c r="M53" s="352"/>
      <c r="N53" s="352">
        <v>0</v>
      </c>
      <c r="O53" s="352"/>
      <c r="P53" s="352">
        <f t="shared" si="1"/>
        <v>794.69681912385181</v>
      </c>
      <c r="T53" s="1091"/>
      <c r="U53" s="1091"/>
    </row>
    <row r="54" spans="1:21" ht="15.75" customHeight="1">
      <c r="A54" s="240">
        <f t="shared" si="2"/>
        <v>35</v>
      </c>
      <c r="B54" s="1091">
        <v>8190</v>
      </c>
      <c r="C54" s="62" t="s">
        <v>1050</v>
      </c>
      <c r="D54" s="352">
        <f>'C.2.1 B'!D49</f>
        <v>1122.6154937582521</v>
      </c>
      <c r="E54" s="352"/>
      <c r="F54" s="352">
        <f>SUMIF('[13]Div 9 forecast'!$C$9:$C$503,$B54, '[13]Div 9 forecast'!$AL$9:$AL$504)</f>
        <v>0</v>
      </c>
      <c r="G54" s="396"/>
      <c r="H54" s="352">
        <f>SUMIF('[13]Div 9 forecast'!$C$9:$C$503,$B54, '[13]Div 9 forecast'!$AM$9:$AM$504)</f>
        <v>-119.15546623924695</v>
      </c>
      <c r="I54" s="352"/>
      <c r="J54" s="352">
        <f>SUMIF('[13]Div 9 forecast'!$C$9:$C$503,$B54, '[13]Div 9 forecast'!$AN$9:$AN$504)</f>
        <v>0</v>
      </c>
      <c r="K54" s="352"/>
      <c r="L54" s="352">
        <v>0</v>
      </c>
      <c r="M54" s="352"/>
      <c r="N54" s="352">
        <v>0</v>
      </c>
      <c r="O54" s="352"/>
      <c r="P54" s="352">
        <f t="shared" si="1"/>
        <v>-119.15546623924695</v>
      </c>
      <c r="T54" s="1091"/>
      <c r="U54" s="1091"/>
    </row>
    <row r="55" spans="1:21" ht="15.75" customHeight="1">
      <c r="A55" s="240">
        <f t="shared" si="2"/>
        <v>36</v>
      </c>
      <c r="B55" s="1091">
        <v>8200</v>
      </c>
      <c r="C55" s="62" t="s">
        <v>1051</v>
      </c>
      <c r="D55" s="352">
        <f>'C.2.1 B'!D50</f>
        <v>3666.7845814151633</v>
      </c>
      <c r="E55" s="352"/>
      <c r="F55" s="352">
        <f>SUMIF('[13]Div 9 forecast'!$C$9:$C$503,$B55, '[13]Div 9 forecast'!$AL$9:$AL$504)</f>
        <v>10.240095047594409</v>
      </c>
      <c r="G55" s="396"/>
      <c r="H55" s="352">
        <f>SUMIF('[13]Div 9 forecast'!$C$9:$C$503,$B55, '[13]Div 9 forecast'!$AM$9:$AM$504)</f>
        <v>-191.94821066861482</v>
      </c>
      <c r="I55" s="352"/>
      <c r="J55" s="352">
        <f>SUMIF('[13]Div 9 forecast'!$C$9:$C$503,$B55, '[13]Div 9 forecast'!$AN$9:$AN$504)</f>
        <v>0</v>
      </c>
      <c r="K55" s="352"/>
      <c r="L55" s="352">
        <v>0</v>
      </c>
      <c r="M55" s="352"/>
      <c r="N55" s="352">
        <v>0</v>
      </c>
      <c r="O55" s="352"/>
      <c r="P55" s="352">
        <f t="shared" si="1"/>
        <v>-181.7081156210204</v>
      </c>
      <c r="T55" s="1091"/>
      <c r="U55" s="1091"/>
    </row>
    <row r="56" spans="1:21" ht="15.75" customHeight="1">
      <c r="A56" s="240">
        <f t="shared" si="2"/>
        <v>37</v>
      </c>
      <c r="B56" s="1091">
        <v>8210</v>
      </c>
      <c r="C56" s="62" t="s">
        <v>1052</v>
      </c>
      <c r="D56" s="352">
        <f>'C.2.1 B'!D51</f>
        <v>25634.811314407776</v>
      </c>
      <c r="E56" s="352"/>
      <c r="F56" s="352">
        <f>SUMIF('[13]Div 9 forecast'!$C$9:$C$503,$B56, '[13]Div 9 forecast'!$AL$9:$AL$504)</f>
        <v>55.194061036786707</v>
      </c>
      <c r="G56" s="396"/>
      <c r="H56" s="352">
        <f>SUMIF('[13]Div 9 forecast'!$C$9:$C$503,$B56, '[13]Div 9 forecast'!$AM$9:$AM$504)</f>
        <v>-273.13830979817931</v>
      </c>
      <c r="I56" s="455"/>
      <c r="J56" s="352">
        <f>SUMIF('[13]Div 9 forecast'!$C$9:$C$503,$B56, '[13]Div 9 forecast'!$AN$9:$AN$504)</f>
        <v>557.16047117933681</v>
      </c>
      <c r="K56" s="352"/>
      <c r="L56" s="352">
        <v>0</v>
      </c>
      <c r="M56" s="352"/>
      <c r="N56" s="352">
        <v>0</v>
      </c>
      <c r="O56" s="352"/>
      <c r="P56" s="352">
        <f t="shared" si="1"/>
        <v>339.21622241794421</v>
      </c>
      <c r="T56" s="1091"/>
      <c r="U56" s="1091"/>
    </row>
    <row r="57" spans="1:21" ht="15.75" customHeight="1">
      <c r="A57" s="240">
        <f t="shared" si="2"/>
        <v>38</v>
      </c>
      <c r="B57" s="1091">
        <v>8240</v>
      </c>
      <c r="C57" s="62" t="s">
        <v>1053</v>
      </c>
      <c r="D57" s="352">
        <f>'C.2.1 B'!D52</f>
        <v>0</v>
      </c>
      <c r="E57" s="352"/>
      <c r="F57" s="352">
        <f>SUMIF('[13]Div 9 forecast'!$C$9:$C$503,$B57, '[13]Div 9 forecast'!$AL$9:$AL$504)</f>
        <v>0</v>
      </c>
      <c r="G57" s="396"/>
      <c r="H57" s="352">
        <f>SUMIF('[13]Div 9 forecast'!$C$9:$C$503,$B57, '[13]Div 9 forecast'!$AM$9:$AM$504)</f>
        <v>0</v>
      </c>
      <c r="I57" s="455"/>
      <c r="J57" s="352">
        <f>SUMIF('[13]Div 9 forecast'!$C$9:$C$503,$B57, '[13]Div 9 forecast'!$AN$9:$AN$504)</f>
        <v>0</v>
      </c>
      <c r="K57" s="455"/>
      <c r="L57" s="352">
        <v>0</v>
      </c>
      <c r="M57" s="455"/>
      <c r="N57" s="352">
        <v>0</v>
      </c>
      <c r="O57" s="352"/>
      <c r="P57" s="352">
        <f t="shared" si="1"/>
        <v>0</v>
      </c>
      <c r="T57" s="1091"/>
      <c r="U57" s="1091"/>
    </row>
    <row r="58" spans="1:21" ht="15.75" customHeight="1">
      <c r="A58" s="240">
        <f t="shared" si="2"/>
        <v>39</v>
      </c>
      <c r="B58" s="1091">
        <v>8250</v>
      </c>
      <c r="C58" s="62" t="s">
        <v>1054</v>
      </c>
      <c r="D58" s="352">
        <f>'C.2.1 B'!D53</f>
        <v>13498.232385991532</v>
      </c>
      <c r="E58" s="352"/>
      <c r="F58" s="352">
        <f>SUMIF('[13]Div 9 forecast'!$C$9:$C$503,$B58, '[13]Div 9 forecast'!$AL$9:$AL$504)</f>
        <v>0</v>
      </c>
      <c r="G58" s="396"/>
      <c r="H58" s="352">
        <f>SUMIF('[13]Div 9 forecast'!$C$9:$C$503,$B58, '[13]Div 9 forecast'!$AM$9:$AM$504)</f>
        <v>-1004.5739561604507</v>
      </c>
      <c r="I58" s="455"/>
      <c r="J58" s="352">
        <f>SUMIF('[13]Div 9 forecast'!$C$9:$C$503,$B58, '[13]Div 9 forecast'!$AN$9:$AN$504)</f>
        <v>-3105.5816833709137</v>
      </c>
      <c r="K58" s="455"/>
      <c r="L58" s="352">
        <v>0</v>
      </c>
      <c r="M58" s="455"/>
      <c r="N58" s="352">
        <v>0</v>
      </c>
      <c r="O58" s="455"/>
      <c r="P58" s="352">
        <f t="shared" si="1"/>
        <v>-4110.1556395313646</v>
      </c>
      <c r="T58" s="1091"/>
      <c r="U58" s="1091"/>
    </row>
    <row r="59" spans="1:21" ht="15.75" customHeight="1">
      <c r="A59" s="240">
        <f t="shared" si="2"/>
        <v>40</v>
      </c>
      <c r="B59" s="1091">
        <v>8310</v>
      </c>
      <c r="C59" s="62" t="s">
        <v>1055</v>
      </c>
      <c r="D59" s="352">
        <f>'C.2.1 B'!D57</f>
        <v>15144.962592184031</v>
      </c>
      <c r="E59" s="352"/>
      <c r="F59" s="352">
        <f>SUMIF('[13]Div 9 forecast'!$C$9:$C$503,$B59, '[13]Div 9 forecast'!$AL$9:$AL$504)</f>
        <v>0</v>
      </c>
      <c r="G59" s="396"/>
      <c r="H59" s="352">
        <f>SUMIF('[13]Div 9 forecast'!$C$9:$C$503,$B59, '[13]Div 9 forecast'!$AM$9:$AM$504)</f>
        <v>0</v>
      </c>
      <c r="I59" s="455"/>
      <c r="J59" s="352">
        <f>SUMIF('[13]Div 9 forecast'!$C$9:$C$503,$B59, '[13]Div 9 forecast'!$AN$9:$AN$504)</f>
        <v>1103.3373496283621</v>
      </c>
      <c r="K59" s="455"/>
      <c r="L59" s="352">
        <v>0</v>
      </c>
      <c r="M59" s="455"/>
      <c r="N59" s="352">
        <v>0</v>
      </c>
      <c r="O59" s="352"/>
      <c r="P59" s="352">
        <f t="shared" si="1"/>
        <v>1103.3373496283621</v>
      </c>
      <c r="T59" s="1091"/>
      <c r="U59" s="1091"/>
    </row>
    <row r="60" spans="1:21" ht="15.75" customHeight="1">
      <c r="A60" s="240">
        <f t="shared" si="2"/>
        <v>41</v>
      </c>
      <c r="B60" s="1091">
        <v>8320</v>
      </c>
      <c r="C60" s="62" t="s">
        <v>1056</v>
      </c>
      <c r="D60" s="352">
        <f>'C.2.1 B'!D58</f>
        <v>0</v>
      </c>
      <c r="E60" s="352"/>
      <c r="F60" s="352">
        <f>SUMIF('[13]Div 9 forecast'!$C$9:$C$503,$B60, '[13]Div 9 forecast'!$AL$9:$AL$504)</f>
        <v>0</v>
      </c>
      <c r="G60" s="396"/>
      <c r="H60" s="352">
        <f>SUMIF('[13]Div 9 forecast'!$C$9:$C$503,$B60, '[13]Div 9 forecast'!$AM$9:$AM$504)</f>
        <v>0</v>
      </c>
      <c r="I60" s="455"/>
      <c r="J60" s="352">
        <f>SUMIF('[13]Div 9 forecast'!$C$9:$C$503,$B60, '[13]Div 9 forecast'!$AN$9:$AN$504)</f>
        <v>0</v>
      </c>
      <c r="K60" s="455"/>
      <c r="L60" s="352">
        <v>0</v>
      </c>
      <c r="M60" s="455"/>
      <c r="N60" s="352">
        <v>0</v>
      </c>
      <c r="O60" s="455"/>
      <c r="P60" s="352">
        <f t="shared" si="1"/>
        <v>0</v>
      </c>
      <c r="T60" s="1091"/>
      <c r="U60" s="1091"/>
    </row>
    <row r="61" spans="1:21" ht="15.75" customHeight="1">
      <c r="A61" s="240">
        <f t="shared" si="2"/>
        <v>42</v>
      </c>
      <c r="B61" s="1091">
        <v>8340</v>
      </c>
      <c r="C61" s="62" t="s">
        <v>391</v>
      </c>
      <c r="D61" s="352">
        <f>'C.2.1 B'!D59</f>
        <v>11247.78480437396</v>
      </c>
      <c r="E61" s="352"/>
      <c r="F61" s="352">
        <f>SUMIF('[13]Div 9 forecast'!$C$9:$C$503,$B61, '[13]Div 9 forecast'!$AL$9:$AL$504)</f>
        <v>13.343659908620339</v>
      </c>
      <c r="G61" s="396"/>
      <c r="H61" s="352">
        <f>SUMIF('[13]Div 9 forecast'!$C$9:$C$503,$B61, '[13]Div 9 forecast'!$AM$9:$AM$504)</f>
        <v>0</v>
      </c>
      <c r="I61" s="455"/>
      <c r="J61" s="352">
        <f>SUMIF('[13]Div 9 forecast'!$C$9:$C$503,$B61, '[13]Div 9 forecast'!$AN$9:$AN$504)</f>
        <v>627.92695007296879</v>
      </c>
      <c r="K61" s="455"/>
      <c r="L61" s="352">
        <v>0</v>
      </c>
      <c r="M61" s="455"/>
      <c r="N61" s="352">
        <v>0</v>
      </c>
      <c r="O61" s="352"/>
      <c r="P61" s="352">
        <f t="shared" si="1"/>
        <v>641.27060998158913</v>
      </c>
      <c r="T61" s="1091"/>
      <c r="U61" s="1091"/>
    </row>
    <row r="62" spans="1:21" ht="15.75" customHeight="1">
      <c r="A62" s="240">
        <f t="shared" si="2"/>
        <v>43</v>
      </c>
      <c r="B62" s="1091">
        <v>8350</v>
      </c>
      <c r="C62" s="62" t="s">
        <v>236</v>
      </c>
      <c r="D62" s="352">
        <f>'C.2.1 B'!D60</f>
        <v>0</v>
      </c>
      <c r="E62" s="352"/>
      <c r="F62" s="352">
        <f>SUMIF('[13]Div 9 forecast'!$C$9:$C$503,$B62, '[13]Div 9 forecast'!$AL$9:$AL$504)</f>
        <v>0</v>
      </c>
      <c r="G62" s="396"/>
      <c r="H62" s="352">
        <f>SUMIF('[13]Div 9 forecast'!$C$9:$C$503,$B62, '[13]Div 9 forecast'!$AM$9:$AM$504)</f>
        <v>0</v>
      </c>
      <c r="I62" s="455"/>
      <c r="J62" s="352">
        <f>SUMIF('[13]Div 9 forecast'!$C$9:$C$503,$B62, '[13]Div 9 forecast'!$AN$9:$AN$504)</f>
        <v>0</v>
      </c>
      <c r="K62" s="352"/>
      <c r="L62" s="352">
        <v>0</v>
      </c>
      <c r="M62" s="455"/>
      <c r="N62" s="352">
        <v>0</v>
      </c>
      <c r="O62" s="455"/>
      <c r="P62" s="352">
        <f t="shared" si="1"/>
        <v>0</v>
      </c>
      <c r="T62" s="1091"/>
      <c r="U62" s="1091"/>
    </row>
    <row r="63" spans="1:21" ht="15.75" customHeight="1">
      <c r="A63" s="240">
        <f t="shared" si="2"/>
        <v>44</v>
      </c>
      <c r="B63" s="1091">
        <v>8360</v>
      </c>
      <c r="C63" s="62" t="s">
        <v>237</v>
      </c>
      <c r="D63" s="352">
        <f>'C.2.1 B'!D61</f>
        <v>0</v>
      </c>
      <c r="E63" s="352"/>
      <c r="F63" s="352">
        <f>SUMIF('[13]Div 9 forecast'!$C$9:$C$503,$B63, '[13]Div 9 forecast'!$AL$9:$AL$504)</f>
        <v>0</v>
      </c>
      <c r="G63" s="396"/>
      <c r="H63" s="352">
        <f>SUMIF('[13]Div 9 forecast'!$C$9:$C$503,$B63, '[13]Div 9 forecast'!$AM$9:$AM$504)</f>
        <v>0</v>
      </c>
      <c r="I63" s="455"/>
      <c r="J63" s="352">
        <f>SUMIF('[13]Div 9 forecast'!$C$9:$C$503,$B63, '[13]Div 9 forecast'!$AN$9:$AN$504)</f>
        <v>0</v>
      </c>
      <c r="K63" s="352"/>
      <c r="L63" s="352">
        <v>0</v>
      </c>
      <c r="M63" s="455"/>
      <c r="N63" s="352">
        <v>0</v>
      </c>
      <c r="O63" s="455"/>
      <c r="P63" s="352">
        <f t="shared" si="1"/>
        <v>0</v>
      </c>
      <c r="T63" s="1091"/>
      <c r="U63" s="1091"/>
    </row>
    <row r="64" spans="1:21" ht="15.75" customHeight="1">
      <c r="A64" s="240">
        <f t="shared" si="2"/>
        <v>45</v>
      </c>
      <c r="B64" s="1091">
        <v>8370</v>
      </c>
      <c r="C64" s="66" t="s">
        <v>1398</v>
      </c>
      <c r="D64" s="352">
        <f>'C.2.1 B'!D62</f>
        <v>0</v>
      </c>
      <c r="E64" s="352"/>
      <c r="F64" s="352">
        <f>SUMIF('[13]Div 9 forecast'!$C$9:$C$503,$B64, '[13]Div 9 forecast'!$AL$9:$AL$504)</f>
        <v>0</v>
      </c>
      <c r="G64" s="396"/>
      <c r="H64" s="352">
        <f>SUMIF('[13]Div 9 forecast'!$C$9:$C$503,$B64, '[13]Div 9 forecast'!$AM$9:$AM$504)</f>
        <v>0</v>
      </c>
      <c r="I64" s="455"/>
      <c r="J64" s="352">
        <f>SUMIF('[13]Div 9 forecast'!$C$9:$C$503,$B64, '[13]Div 9 forecast'!$AN$9:$AN$504)</f>
        <v>0</v>
      </c>
      <c r="K64" s="352"/>
      <c r="L64" s="352">
        <v>0</v>
      </c>
      <c r="M64" s="455"/>
      <c r="N64" s="352"/>
      <c r="O64" s="455"/>
      <c r="P64" s="352">
        <f t="shared" si="1"/>
        <v>0</v>
      </c>
      <c r="T64" s="1091"/>
      <c r="U64" s="1091"/>
    </row>
    <row r="65" spans="1:21" ht="15.75" customHeight="1">
      <c r="A65" s="240">
        <f t="shared" si="2"/>
        <v>46</v>
      </c>
      <c r="B65" s="1091">
        <v>8400</v>
      </c>
      <c r="C65" s="62" t="s">
        <v>478</v>
      </c>
      <c r="D65" s="352">
        <v>0</v>
      </c>
      <c r="E65" s="352"/>
      <c r="F65" s="352">
        <f>SUMIF('[13]Div 9 forecast'!$C$9:$C$503,$B65, '[13]Div 9 forecast'!$AL$9:$AL$504)</f>
        <v>0</v>
      </c>
      <c r="G65" s="396"/>
      <c r="H65" s="352">
        <f>SUMIF('[13]Div 9 forecast'!$C$9:$C$503,$B65, '[13]Div 9 forecast'!$AM$9:$AM$504)</f>
        <v>0</v>
      </c>
      <c r="I65" s="455"/>
      <c r="J65" s="352">
        <f>SUMIF('[13]Div 9 forecast'!$C$9:$C$503,$B65, '[13]Div 9 forecast'!$AN$9:$AN$504)</f>
        <v>0</v>
      </c>
      <c r="K65" s="352"/>
      <c r="L65" s="352">
        <v>0</v>
      </c>
      <c r="M65" s="455"/>
      <c r="N65" s="352">
        <v>0</v>
      </c>
      <c r="O65" s="455"/>
      <c r="P65" s="352">
        <f t="shared" si="1"/>
        <v>0</v>
      </c>
      <c r="T65" s="1091"/>
      <c r="U65" s="1091"/>
    </row>
    <row r="66" spans="1:21" ht="15.75" customHeight="1">
      <c r="A66" s="240">
        <f t="shared" si="2"/>
        <v>47</v>
      </c>
      <c r="B66" s="1091">
        <v>8410</v>
      </c>
      <c r="C66" s="62" t="s">
        <v>238</v>
      </c>
      <c r="D66" s="352">
        <f>'C.2.1 B'!D63</f>
        <v>133472.94446389066</v>
      </c>
      <c r="E66" s="352"/>
      <c r="F66" s="352">
        <f>SUMIF('[13]Div 9 forecast'!$C$9:$C$503,$B66, '[13]Div 9 forecast'!$AL$9:$AL$504)</f>
        <v>707.2524820071128</v>
      </c>
      <c r="G66" s="396"/>
      <c r="H66" s="352">
        <f>SUMIF('[13]Div 9 forecast'!$C$9:$C$503,$B66, '[13]Div 9 forecast'!$AM$9:$AM$504)</f>
        <v>0</v>
      </c>
      <c r="I66" s="455"/>
      <c r="J66" s="352">
        <f>SUMIF('[13]Div 9 forecast'!$C$9:$C$503,$B66, '[13]Div 9 forecast'!$AN$9:$AN$504)</f>
        <v>182.35106654392894</v>
      </c>
      <c r="K66" s="352"/>
      <c r="L66" s="352">
        <v>0</v>
      </c>
      <c r="M66" s="455"/>
      <c r="N66" s="352">
        <v>0</v>
      </c>
      <c r="O66" s="455"/>
      <c r="P66" s="352">
        <f t="shared" si="1"/>
        <v>889.60354855104174</v>
      </c>
      <c r="T66" s="1091"/>
      <c r="U66" s="1091"/>
    </row>
    <row r="67" spans="1:21" ht="15.75" customHeight="1">
      <c r="A67" s="240">
        <f t="shared" si="2"/>
        <v>48</v>
      </c>
      <c r="B67" s="1091">
        <v>8470</v>
      </c>
      <c r="C67" s="62" t="s">
        <v>239</v>
      </c>
      <c r="D67" s="352">
        <v>0</v>
      </c>
      <c r="E67" s="352"/>
      <c r="F67" s="352">
        <f>SUMIF('[13]Div 9 forecast'!$C$9:$C$503,$B67, '[13]Div 9 forecast'!$AL$9:$AL$504)</f>
        <v>0</v>
      </c>
      <c r="G67" s="396"/>
      <c r="H67" s="352">
        <f>SUMIF('[13]Div 9 forecast'!$C$9:$C$503,$B67, '[13]Div 9 forecast'!$AM$9:$AM$504)</f>
        <v>0</v>
      </c>
      <c r="I67" s="455"/>
      <c r="J67" s="352">
        <f>SUMIF('[13]Div 9 forecast'!$C$9:$C$503,$B67, '[13]Div 9 forecast'!$AN$9:$AN$504)</f>
        <v>0</v>
      </c>
      <c r="K67" s="352"/>
      <c r="L67" s="352">
        <v>0</v>
      </c>
      <c r="M67" s="455"/>
      <c r="N67" s="352">
        <v>0</v>
      </c>
      <c r="O67" s="455"/>
      <c r="P67" s="352">
        <f t="shared" si="1"/>
        <v>0</v>
      </c>
      <c r="T67" s="1091"/>
      <c r="U67" s="1091"/>
    </row>
    <row r="68" spans="1:21" ht="15.75" customHeight="1">
      <c r="A68" s="240">
        <f t="shared" si="2"/>
        <v>49</v>
      </c>
      <c r="B68" s="1091">
        <v>8500</v>
      </c>
      <c r="C68" s="62" t="s">
        <v>241</v>
      </c>
      <c r="D68" s="352">
        <f>'C.2.1 B'!D67</f>
        <v>0</v>
      </c>
      <c r="E68" s="352"/>
      <c r="F68" s="352">
        <f>SUMIF('[13]Div 9 forecast'!$C$9:$C$503,$B68, '[13]Div 9 forecast'!$AL$9:$AL$504)</f>
        <v>0</v>
      </c>
      <c r="G68" s="396"/>
      <c r="H68" s="352">
        <f>SUMIF('[13]Div 9 forecast'!$C$9:$C$503,$B68, '[13]Div 9 forecast'!$AM$9:$AM$504)</f>
        <v>0</v>
      </c>
      <c r="I68" s="455"/>
      <c r="J68" s="352">
        <f>SUMIF('[13]Div 9 forecast'!$C$9:$C$503,$B68, '[13]Div 9 forecast'!$AN$9:$AN$504)</f>
        <v>0</v>
      </c>
      <c r="K68" s="352"/>
      <c r="L68" s="352">
        <v>0</v>
      </c>
      <c r="M68" s="455"/>
      <c r="N68" s="352">
        <v>0</v>
      </c>
      <c r="O68" s="455"/>
      <c r="P68" s="352">
        <f t="shared" si="1"/>
        <v>0</v>
      </c>
      <c r="T68" s="1091"/>
      <c r="U68" s="1091"/>
    </row>
    <row r="69" spans="1:21" ht="15.75" customHeight="1">
      <c r="A69" s="240">
        <f t="shared" si="2"/>
        <v>50</v>
      </c>
      <c r="B69" s="1091">
        <v>8520</v>
      </c>
      <c r="C69" s="62" t="s">
        <v>1399</v>
      </c>
      <c r="D69" s="352">
        <f>'C.2.1 B'!D68</f>
        <v>0</v>
      </c>
      <c r="E69" s="352"/>
      <c r="F69" s="352">
        <f>SUMIF('[13]Div 9 forecast'!$C$9:$C$503,$B69, '[13]Div 9 forecast'!$AL$9:$AL$504)</f>
        <v>0</v>
      </c>
      <c r="G69" s="396"/>
      <c r="H69" s="352">
        <f>SUMIF('[13]Div 9 forecast'!$C$9:$C$503,$B69, '[13]Div 9 forecast'!$AM$9:$AM$504)</f>
        <v>0</v>
      </c>
      <c r="I69" s="455"/>
      <c r="J69" s="352">
        <f>SUMIF('[13]Div 9 forecast'!$C$9:$C$503,$B69, '[13]Div 9 forecast'!$AN$9:$AN$504)</f>
        <v>0</v>
      </c>
      <c r="K69" s="352"/>
      <c r="L69" s="352">
        <v>0</v>
      </c>
      <c r="M69" s="455"/>
      <c r="N69" s="352"/>
      <c r="O69" s="455"/>
      <c r="P69" s="352">
        <f t="shared" si="1"/>
        <v>0</v>
      </c>
      <c r="T69" s="1091"/>
      <c r="U69" s="1091"/>
    </row>
    <row r="70" spans="1:21" ht="15.75" customHeight="1">
      <c r="A70" s="240">
        <f t="shared" si="2"/>
        <v>51</v>
      </c>
      <c r="B70" s="1091">
        <v>8550</v>
      </c>
      <c r="C70" s="62" t="s">
        <v>1415</v>
      </c>
      <c r="D70" s="352">
        <f>'C.2.1 B'!D69</f>
        <v>332.03626380790166</v>
      </c>
      <c r="E70" s="352"/>
      <c r="F70" s="352">
        <f>SUMIF('[13]Div 9 forecast'!$C$9:$C$503,$B70, '[13]Div 9 forecast'!$AL$9:$AL$504)</f>
        <v>0</v>
      </c>
      <c r="G70" s="396"/>
      <c r="H70" s="352">
        <f>SUMIF('[13]Div 9 forecast'!$C$9:$C$503,$B70, '[13]Div 9 forecast'!$AM$9:$AM$504)</f>
        <v>-35.242641886152228</v>
      </c>
      <c r="I70" s="455"/>
      <c r="J70" s="352">
        <f>SUMIF('[13]Div 9 forecast'!$C$9:$C$503,$B70, '[13]Div 9 forecast'!$AN$9:$AN$504)</f>
        <v>0</v>
      </c>
      <c r="K70" s="352"/>
      <c r="L70" s="352"/>
      <c r="M70" s="455"/>
      <c r="N70" s="352"/>
      <c r="O70" s="455"/>
      <c r="P70" s="352"/>
      <c r="T70" s="1091"/>
      <c r="U70" s="1091"/>
    </row>
    <row r="71" spans="1:21" ht="15.75" customHeight="1">
      <c r="A71" s="240">
        <f t="shared" si="2"/>
        <v>52</v>
      </c>
      <c r="B71" s="1091">
        <v>8560</v>
      </c>
      <c r="C71" s="62" t="s">
        <v>242</v>
      </c>
      <c r="D71" s="352">
        <f>'C.2.1 B'!D70</f>
        <v>252639.51159502778</v>
      </c>
      <c r="E71" s="352"/>
      <c r="F71" s="352">
        <f>SUMIF('[13]Div 9 forecast'!$C$9:$C$503,$B71, '[13]Div 9 forecast'!$AL$9:$AL$504)</f>
        <v>969.29323410226925</v>
      </c>
      <c r="G71" s="396"/>
      <c r="H71" s="352">
        <f>SUMIF('[13]Div 9 forecast'!$C$9:$C$503,$B71, '[13]Div 9 forecast'!$AM$9:$AM$504)</f>
        <v>-940.96012568609149</v>
      </c>
      <c r="I71" s="455"/>
      <c r="J71" s="352">
        <f>SUMIF('[13]Div 9 forecast'!$C$9:$C$503,$B71, '[13]Div 9 forecast'!$AN$9:$AN$504)</f>
        <v>3122.4476111088061</v>
      </c>
      <c r="K71" s="352"/>
      <c r="L71" s="352">
        <v>0</v>
      </c>
      <c r="M71" s="455"/>
      <c r="N71" s="352">
        <v>0</v>
      </c>
      <c r="O71" s="455"/>
      <c r="P71" s="352">
        <f t="shared" si="1"/>
        <v>3150.7807195249839</v>
      </c>
      <c r="T71" s="1091"/>
      <c r="U71" s="1091"/>
    </row>
    <row r="72" spans="1:21" ht="15.75" customHeight="1">
      <c r="A72" s="240">
        <f t="shared" si="2"/>
        <v>53</v>
      </c>
      <c r="B72" s="1091">
        <v>8570</v>
      </c>
      <c r="C72" s="62" t="s">
        <v>243</v>
      </c>
      <c r="D72" s="352">
        <f>'C.2.1 B'!D71</f>
        <v>11617.869592657094</v>
      </c>
      <c r="E72" s="352"/>
      <c r="F72" s="352">
        <f>SUMIF('[13]Div 9 forecast'!$C$9:$C$503,$B72, '[13]Div 9 forecast'!$AL$9:$AL$504)</f>
        <v>17.903503666510815</v>
      </c>
      <c r="G72" s="396"/>
      <c r="H72" s="352">
        <f>SUMIF('[13]Div 9 forecast'!$C$9:$C$503,$B72, '[13]Div 9 forecast'!$AM$9:$AM$504)</f>
        <v>-649.34646027040435</v>
      </c>
      <c r="I72" s="352"/>
      <c r="J72" s="352">
        <f>SUMIF('[13]Div 9 forecast'!$C$9:$C$503,$B72, '[13]Div 9 forecast'!$AN$9:$AN$504)</f>
        <v>95.63980522559541</v>
      </c>
      <c r="K72" s="352"/>
      <c r="L72" s="352">
        <v>0</v>
      </c>
      <c r="M72" s="352"/>
      <c r="N72" s="352">
        <v>0</v>
      </c>
      <c r="O72" s="455"/>
      <c r="P72" s="352">
        <f t="shared" si="1"/>
        <v>-535.80315137829814</v>
      </c>
      <c r="T72" s="1091"/>
      <c r="U72" s="1091"/>
    </row>
    <row r="73" spans="1:21" ht="15.75" customHeight="1">
      <c r="A73" s="240">
        <f t="shared" si="2"/>
        <v>54</v>
      </c>
      <c r="B73" s="1091">
        <v>8590</v>
      </c>
      <c r="C73" s="62" t="s">
        <v>244</v>
      </c>
      <c r="D73" s="352">
        <f>'C.2.1 B'!D72</f>
        <v>0</v>
      </c>
      <c r="E73" s="352"/>
      <c r="F73" s="352">
        <f>SUMIF('[13]Div 9 forecast'!$C$9:$C$503,$B73, '[13]Div 9 forecast'!$AL$9:$AL$504)</f>
        <v>0</v>
      </c>
      <c r="G73" s="396"/>
      <c r="H73" s="352">
        <f>SUMIF('[13]Div 9 forecast'!$C$9:$C$503,$B73, '[13]Div 9 forecast'!$AM$9:$AM$504)</f>
        <v>0</v>
      </c>
      <c r="I73" s="352"/>
      <c r="J73" s="352">
        <f>SUMIF('[13]Div 9 forecast'!$C$9:$C$503,$B73, '[13]Div 9 forecast'!$AN$9:$AN$504)</f>
        <v>0</v>
      </c>
      <c r="K73" s="352"/>
      <c r="L73" s="352">
        <v>0</v>
      </c>
      <c r="M73" s="352"/>
      <c r="N73" s="352">
        <v>0</v>
      </c>
      <c r="O73" s="352"/>
      <c r="P73" s="352">
        <f t="shared" si="1"/>
        <v>0</v>
      </c>
      <c r="T73" s="1091"/>
      <c r="U73" s="1091"/>
    </row>
    <row r="74" spans="1:21" ht="15.75" customHeight="1">
      <c r="A74" s="240">
        <f t="shared" si="2"/>
        <v>55</v>
      </c>
      <c r="B74" s="1091">
        <v>8600</v>
      </c>
      <c r="C74" s="62" t="s">
        <v>233</v>
      </c>
      <c r="D74" s="352">
        <f>'C.2.1 B'!D73</f>
        <v>0</v>
      </c>
      <c r="E74" s="352"/>
      <c r="F74" s="352">
        <f>SUMIF('[13]Div 9 forecast'!$C$9:$C$503,$B74, '[13]Div 9 forecast'!$AL$9:$AL$504)</f>
        <v>0</v>
      </c>
      <c r="G74" s="396"/>
      <c r="H74" s="352">
        <f>SUMIF('[13]Div 9 forecast'!$C$9:$C$503,$B74, '[13]Div 9 forecast'!$AM$9:$AM$504)</f>
        <v>0</v>
      </c>
      <c r="I74" s="352"/>
      <c r="J74" s="352">
        <f>SUMIF('[13]Div 9 forecast'!$C$9:$C$503,$B74, '[13]Div 9 forecast'!$AN$9:$AN$504)</f>
        <v>0</v>
      </c>
      <c r="K74" s="352"/>
      <c r="L74" s="352">
        <v>0</v>
      </c>
      <c r="M74" s="352"/>
      <c r="N74" s="352">
        <v>0</v>
      </c>
      <c r="O74" s="352"/>
      <c r="P74" s="352">
        <f t="shared" si="1"/>
        <v>0</v>
      </c>
      <c r="T74" s="1091"/>
      <c r="U74" s="1091"/>
    </row>
    <row r="75" spans="1:21" ht="15.75" customHeight="1">
      <c r="A75" s="240">
        <f t="shared" si="2"/>
        <v>56</v>
      </c>
      <c r="B75" s="1091">
        <v>8620</v>
      </c>
      <c r="C75" s="62" t="s">
        <v>245</v>
      </c>
      <c r="D75" s="352">
        <f>'C.2.1 B'!D77</f>
        <v>0</v>
      </c>
      <c r="E75" s="352"/>
      <c r="F75" s="352">
        <f>SUMIF('[13]Div 9 forecast'!$C$9:$C$503,$B75, '[13]Div 9 forecast'!$AL$9:$AL$504)</f>
        <v>0</v>
      </c>
      <c r="G75" s="396"/>
      <c r="H75" s="352">
        <f>SUMIF('[13]Div 9 forecast'!$C$9:$C$503,$B75, '[13]Div 9 forecast'!$AM$9:$AM$504)</f>
        <v>0</v>
      </c>
      <c r="I75" s="352"/>
      <c r="J75" s="352">
        <f>SUMIF('[13]Div 9 forecast'!$C$9:$C$503,$B75, '[13]Div 9 forecast'!$AN$9:$AN$504)</f>
        <v>0</v>
      </c>
      <c r="K75" s="352"/>
      <c r="L75" s="352">
        <v>0</v>
      </c>
      <c r="M75" s="352"/>
      <c r="N75" s="352">
        <v>0</v>
      </c>
      <c r="O75" s="352"/>
      <c r="P75" s="352">
        <f t="shared" si="1"/>
        <v>0</v>
      </c>
      <c r="T75" s="1091"/>
      <c r="U75" s="1091"/>
    </row>
    <row r="76" spans="1:21" ht="15.75" customHeight="1">
      <c r="A76" s="240">
        <f t="shared" si="2"/>
        <v>57</v>
      </c>
      <c r="B76" s="1091">
        <v>8630</v>
      </c>
      <c r="C76" s="62" t="s">
        <v>246</v>
      </c>
      <c r="D76" s="352">
        <f>'C.2.1 B'!D78</f>
        <v>2900.0863154740337</v>
      </c>
      <c r="E76" s="352"/>
      <c r="F76" s="352">
        <f>SUMIF('[13]Div 9 forecast'!$C$9:$C$503,$B76, '[13]Div 9 forecast'!$AL$9:$AL$504)</f>
        <v>2.615956870840364</v>
      </c>
      <c r="G76" s="396"/>
      <c r="H76" s="352">
        <f>SUMIF('[13]Div 9 forecast'!$C$9:$C$503,$B76, '[13]Div 9 forecast'!$AM$9:$AM$504)</f>
        <v>0</v>
      </c>
      <c r="I76" s="455"/>
      <c r="J76" s="352">
        <f>SUMIF('[13]Div 9 forecast'!$C$9:$C$503,$B76, '[13]Div 9 forecast'!$AN$9:$AN$504)</f>
        <v>188.56910286446464</v>
      </c>
      <c r="K76" s="352"/>
      <c r="L76" s="352">
        <v>0</v>
      </c>
      <c r="M76" s="455"/>
      <c r="N76" s="352">
        <v>0</v>
      </c>
      <c r="O76" s="455"/>
      <c r="P76" s="352">
        <f t="shared" si="1"/>
        <v>191.185059735305</v>
      </c>
      <c r="T76" s="1091"/>
      <c r="U76" s="1091"/>
    </row>
    <row r="77" spans="1:21" ht="15.75" customHeight="1">
      <c r="A77" s="240">
        <f t="shared" si="2"/>
        <v>58</v>
      </c>
      <c r="B77" s="1091">
        <v>8640</v>
      </c>
      <c r="C77" s="62" t="s">
        <v>247</v>
      </c>
      <c r="D77" s="352">
        <f>'C.2.1 B'!D79</f>
        <v>0</v>
      </c>
      <c r="E77" s="352"/>
      <c r="F77" s="352">
        <f>SUMIF('[13]Div 9 forecast'!$C$9:$C$503,$B77, '[13]Div 9 forecast'!$AL$9:$AL$504)</f>
        <v>0</v>
      </c>
      <c r="G77" s="396"/>
      <c r="H77" s="352">
        <f>SUMIF('[13]Div 9 forecast'!$C$9:$C$503,$B77, '[13]Div 9 forecast'!$AM$9:$AM$504)</f>
        <v>0</v>
      </c>
      <c r="I77" s="455"/>
      <c r="J77" s="352">
        <f>SUMIF('[13]Div 9 forecast'!$C$9:$C$503,$B77, '[13]Div 9 forecast'!$AN$9:$AN$504)</f>
        <v>0</v>
      </c>
      <c r="K77" s="352"/>
      <c r="L77" s="352">
        <v>0</v>
      </c>
      <c r="M77" s="455"/>
      <c r="N77" s="352">
        <v>0</v>
      </c>
      <c r="O77" s="455"/>
      <c r="P77" s="352">
        <f t="shared" si="1"/>
        <v>0</v>
      </c>
      <c r="T77" s="1091"/>
      <c r="U77" s="1091"/>
    </row>
    <row r="78" spans="1:21" ht="15.75" customHeight="1">
      <c r="A78" s="240">
        <f t="shared" si="2"/>
        <v>59</v>
      </c>
      <c r="B78" s="1091">
        <v>8650</v>
      </c>
      <c r="C78" s="62" t="s">
        <v>248</v>
      </c>
      <c r="D78" s="352">
        <f>'C.2.1 B'!D80</f>
        <v>395.6378654704647</v>
      </c>
      <c r="E78" s="352"/>
      <c r="F78" s="352">
        <f>SUMIF('[13]Div 9 forecast'!$C$9:$C$503,$B78, '[13]Div 9 forecast'!$AL$9:$AL$504)</f>
        <v>0</v>
      </c>
      <c r="G78" s="396"/>
      <c r="H78" s="352">
        <f>SUMIF('[13]Div 9 forecast'!$C$9:$C$503,$B78, '[13]Div 9 forecast'!$AM$9:$AM$504)</f>
        <v>0</v>
      </c>
      <c r="I78" s="455"/>
      <c r="J78" s="352">
        <f>SUMIF('[13]Div 9 forecast'!$C$9:$C$503,$B78, '[13]Div 9 forecast'!$AN$9:$AN$504)</f>
        <v>16.80979188331662</v>
      </c>
      <c r="K78" s="352"/>
      <c r="L78" s="352">
        <v>0</v>
      </c>
      <c r="M78" s="455"/>
      <c r="N78" s="352">
        <v>0</v>
      </c>
      <c r="O78" s="455"/>
      <c r="P78" s="352">
        <f t="shared" si="1"/>
        <v>16.80979188331662</v>
      </c>
      <c r="T78" s="1091"/>
      <c r="U78" s="1091"/>
    </row>
    <row r="79" spans="1:21" ht="15.75" customHeight="1">
      <c r="A79" s="240">
        <f t="shared" si="2"/>
        <v>60</v>
      </c>
      <c r="B79" s="1091">
        <v>8670</v>
      </c>
      <c r="C79" s="62" t="s">
        <v>249</v>
      </c>
      <c r="D79" s="352">
        <f>'C.2.1 B'!D81</f>
        <v>0</v>
      </c>
      <c r="E79" s="352"/>
      <c r="F79" s="352">
        <f>SUMIF('[13]Div 9 forecast'!$C$9:$C$503,$B79, '[13]Div 9 forecast'!$AL$9:$AL$504)</f>
        <v>0</v>
      </c>
      <c r="G79" s="396"/>
      <c r="H79" s="352">
        <f>SUMIF('[13]Div 9 forecast'!$C$9:$C$503,$B79, '[13]Div 9 forecast'!$AM$9:$AM$504)</f>
        <v>0</v>
      </c>
      <c r="I79" s="455"/>
      <c r="J79" s="352">
        <f>SUMIF('[13]Div 9 forecast'!$C$9:$C$503,$B79, '[13]Div 9 forecast'!$AN$9:$AN$504)</f>
        <v>0</v>
      </c>
      <c r="K79" s="352"/>
      <c r="L79" s="352">
        <v>0</v>
      </c>
      <c r="M79" s="455"/>
      <c r="N79" s="352">
        <v>0</v>
      </c>
      <c r="O79" s="455"/>
      <c r="P79" s="352">
        <f t="shared" si="1"/>
        <v>0</v>
      </c>
      <c r="T79" s="1091"/>
      <c r="U79" s="1091"/>
    </row>
    <row r="80" spans="1:21" ht="15.75" customHeight="1">
      <c r="A80" s="240">
        <f t="shared" si="2"/>
        <v>61</v>
      </c>
      <c r="B80" s="1091">
        <v>8700</v>
      </c>
      <c r="C80" s="62" t="s">
        <v>250</v>
      </c>
      <c r="D80" s="352">
        <f>'C.2.1 B'!D107</f>
        <v>1193064.7758118485</v>
      </c>
      <c r="E80" s="352"/>
      <c r="F80" s="352">
        <f>SUMIF('[13]Div 9 forecast'!$C$9:$C$503,$B80, '[13]Div 9 forecast'!$AL$9:$AL$504)</f>
        <v>2745.4756978984979</v>
      </c>
      <c r="G80" s="396"/>
      <c r="H80" s="352">
        <f>SUMIF('[13]Div 9 forecast'!$C$9:$C$503,$B80, '[13]Div 9 forecast'!$AM$9:$AM$504)</f>
        <v>-6317.1710826731978</v>
      </c>
      <c r="I80" s="455"/>
      <c r="J80" s="352">
        <f>SUMIF('[13]Div 9 forecast'!$C$9:$C$503,$B80, '[13]Div 9 forecast'!$AN$9:$AN$504)</f>
        <v>14308.26595669203</v>
      </c>
      <c r="K80" s="352"/>
      <c r="L80" s="352">
        <v>0</v>
      </c>
      <c r="M80" s="455"/>
      <c r="N80" s="352">
        <v>0</v>
      </c>
      <c r="O80" s="455"/>
      <c r="P80" s="352">
        <f t="shared" si="1"/>
        <v>10736.570571917331</v>
      </c>
      <c r="T80" s="1091"/>
      <c r="U80" s="1091"/>
    </row>
    <row r="81" spans="1:21" ht="15.75" customHeight="1">
      <c r="A81" s="240">
        <f t="shared" si="2"/>
        <v>62</v>
      </c>
      <c r="B81" s="1091">
        <v>8710</v>
      </c>
      <c r="C81" s="62" t="s">
        <v>251</v>
      </c>
      <c r="D81" s="352">
        <f>'C.2.1 B'!D108</f>
        <v>1103.2196448664054</v>
      </c>
      <c r="E81" s="352"/>
      <c r="F81" s="352">
        <f>SUMIF('[13]Div 9 forecast'!$C$9:$C$503,$B81, '[13]Div 9 forecast'!$AL$9:$AL$504)</f>
        <v>0</v>
      </c>
      <c r="G81" s="396"/>
      <c r="H81" s="352">
        <f>SUMIF('[13]Div 9 forecast'!$C$9:$C$503,$B81, '[13]Div 9 forecast'!$AM$9:$AM$504)</f>
        <v>-117.09677256303803</v>
      </c>
      <c r="I81" s="455"/>
      <c r="J81" s="352">
        <f>SUMIF('[13]Div 9 forecast'!$C$9:$C$503,$B81, '[13]Div 9 forecast'!$AN$9:$AN$504)</f>
        <v>0</v>
      </c>
      <c r="K81" s="352"/>
      <c r="L81" s="352">
        <v>0</v>
      </c>
      <c r="M81" s="455"/>
      <c r="N81" s="352">
        <v>0</v>
      </c>
      <c r="O81" s="455"/>
      <c r="P81" s="352">
        <f t="shared" si="1"/>
        <v>-117.09677256303803</v>
      </c>
      <c r="T81" s="1091"/>
      <c r="U81" s="1091"/>
    </row>
    <row r="82" spans="1:21" ht="15.75" customHeight="1">
      <c r="A82" s="240">
        <f t="shared" si="2"/>
        <v>63</v>
      </c>
      <c r="B82" s="1091">
        <v>8711</v>
      </c>
      <c r="C82" s="62" t="s">
        <v>234</v>
      </c>
      <c r="D82" s="352">
        <f>'C.2.1 B'!D109</f>
        <v>2544.7323411015291</v>
      </c>
      <c r="E82" s="352"/>
      <c r="F82" s="352">
        <f>SUMIF('[13]Div 9 forecast'!$C$9:$C$503,$B82, '[13]Div 9 forecast'!$AL$9:$AL$504)</f>
        <v>0</v>
      </c>
      <c r="G82" s="396"/>
      <c r="H82" s="352">
        <f>SUMIF('[13]Div 9 forecast'!$C$9:$C$503,$B82, '[13]Div 9 forecast'!$AM$9:$AM$504)</f>
        <v>0</v>
      </c>
      <c r="I82" s="455"/>
      <c r="J82" s="352">
        <f>SUMIF('[13]Div 9 forecast'!$C$9:$C$503,$B82, '[13]Div 9 forecast'!$AN$9:$AN$504)</f>
        <v>124.94825386055032</v>
      </c>
      <c r="K82" s="352"/>
      <c r="L82" s="352">
        <v>0</v>
      </c>
      <c r="M82" s="455"/>
      <c r="N82" s="352">
        <v>0</v>
      </c>
      <c r="O82" s="455"/>
      <c r="P82" s="352">
        <f t="shared" si="1"/>
        <v>124.94825386055032</v>
      </c>
      <c r="T82" s="1091"/>
      <c r="U82" s="1091"/>
    </row>
    <row r="83" spans="1:21" ht="15.75" customHeight="1">
      <c r="A83" s="240">
        <f t="shared" si="2"/>
        <v>64</v>
      </c>
      <c r="B83" s="1091">
        <v>8720</v>
      </c>
      <c r="C83" s="62" t="s">
        <v>252</v>
      </c>
      <c r="D83" s="352">
        <f>'C.2.1 B'!D110</f>
        <v>0</v>
      </c>
      <c r="E83" s="352"/>
      <c r="F83" s="352">
        <f>SUMIF('[13]Div 9 forecast'!$C$9:$C$503,$B83, '[13]Div 9 forecast'!$AL$9:$AL$504)</f>
        <v>0</v>
      </c>
      <c r="G83" s="396"/>
      <c r="H83" s="352">
        <f>SUMIF('[13]Div 9 forecast'!$C$9:$C$503,$B83, '[13]Div 9 forecast'!$AM$9:$AM$504)</f>
        <v>0</v>
      </c>
      <c r="I83" s="455"/>
      <c r="J83" s="352">
        <f>SUMIF('[13]Div 9 forecast'!$C$9:$C$503,$B83, '[13]Div 9 forecast'!$AN$9:$AN$504)</f>
        <v>0</v>
      </c>
      <c r="K83" s="352"/>
      <c r="L83" s="352">
        <v>0</v>
      </c>
      <c r="M83" s="455"/>
      <c r="N83" s="352">
        <v>0</v>
      </c>
      <c r="O83" s="455"/>
      <c r="P83" s="352">
        <f t="shared" si="1"/>
        <v>0</v>
      </c>
      <c r="T83" s="1091"/>
      <c r="U83" s="1091"/>
    </row>
    <row r="84" spans="1:21" ht="15.75" customHeight="1">
      <c r="A84" s="240">
        <f t="shared" si="2"/>
        <v>65</v>
      </c>
      <c r="B84" s="1091">
        <v>8740</v>
      </c>
      <c r="C84" s="62" t="s">
        <v>253</v>
      </c>
      <c r="D84" s="352">
        <f>'C.2.1 B'!D111</f>
        <v>3300058.753444274</v>
      </c>
      <c r="E84" s="352"/>
      <c r="F84" s="352">
        <f>SUMIF('[13]Div 9 forecast'!$C$9:$C$503,$B84, '[13]Div 9 forecast'!$AL$9:$AL$504)</f>
        <v>7188.9701896789766</v>
      </c>
      <c r="G84" s="396"/>
      <c r="H84" s="352">
        <f>SUMIF('[13]Div 9 forecast'!$C$9:$C$503,$B84, '[13]Div 9 forecast'!$AM$9:$AM$504)</f>
        <v>-8582.2923831132539</v>
      </c>
      <c r="I84" s="455"/>
      <c r="J84" s="352">
        <f>SUMIF('[13]Div 9 forecast'!$C$9:$C$503,$B84, '[13]Div 9 forecast'!$AN$9:$AN$504)</f>
        <v>146411.64302988802</v>
      </c>
      <c r="K84" s="352"/>
      <c r="L84" s="352">
        <v>0</v>
      </c>
      <c r="M84" s="455"/>
      <c r="N84" s="352">
        <v>0</v>
      </c>
      <c r="O84" s="455"/>
      <c r="P84" s="352">
        <f t="shared" si="1"/>
        <v>145018.32083645373</v>
      </c>
      <c r="T84" s="1091"/>
      <c r="U84" s="1091"/>
    </row>
    <row r="85" spans="1:21" ht="15.75" customHeight="1">
      <c r="A85" s="240">
        <f t="shared" si="2"/>
        <v>66</v>
      </c>
      <c r="B85" s="1091">
        <v>8750</v>
      </c>
      <c r="C85" s="62" t="s">
        <v>254</v>
      </c>
      <c r="D85" s="352">
        <f>'C.2.1 B'!D112</f>
        <v>478055.06217812601</v>
      </c>
      <c r="E85" s="352"/>
      <c r="F85" s="352">
        <f>SUMIF('[13]Div 9 forecast'!$C$9:$C$503,$B85, '[13]Div 9 forecast'!$AL$9:$AL$504)</f>
        <v>2210.5119178457071</v>
      </c>
      <c r="G85" s="396"/>
      <c r="H85" s="352">
        <f>SUMIF('[13]Div 9 forecast'!$C$9:$C$503,$B85, '[13]Div 9 forecast'!$AM$9:$AM$504)</f>
        <v>-300.75144467307268</v>
      </c>
      <c r="I85" s="455"/>
      <c r="J85" s="352">
        <f>SUMIF('[13]Div 9 forecast'!$C$9:$C$503,$B85, '[13]Div 9 forecast'!$AN$9:$AN$504)</f>
        <v>4529.1044247009177</v>
      </c>
      <c r="K85" s="352"/>
      <c r="L85" s="352">
        <v>0</v>
      </c>
      <c r="M85" s="455"/>
      <c r="N85" s="352">
        <v>0</v>
      </c>
      <c r="O85" s="455"/>
      <c r="P85" s="352">
        <f t="shared" si="1"/>
        <v>6438.8648978735519</v>
      </c>
      <c r="T85" s="1091"/>
      <c r="U85" s="1091"/>
    </row>
    <row r="86" spans="1:21" ht="15.75" customHeight="1">
      <c r="A86" s="240">
        <f t="shared" si="2"/>
        <v>67</v>
      </c>
      <c r="B86" s="1091">
        <v>8760</v>
      </c>
      <c r="C86" s="62" t="s">
        <v>659</v>
      </c>
      <c r="D86" s="352">
        <f>'C.2.1 B'!D113</f>
        <v>30153.919069219461</v>
      </c>
      <c r="E86" s="352"/>
      <c r="F86" s="352">
        <f>SUMIF('[13]Div 9 forecast'!$C$9:$C$503,$B86, '[13]Div 9 forecast'!$AL$9:$AL$504)</f>
        <v>98.108800232128488</v>
      </c>
      <c r="G86" s="396"/>
      <c r="H86" s="352">
        <f>SUMIF('[13]Div 9 forecast'!$C$9:$C$503,$B86, '[13]Div 9 forecast'!$AM$9:$AM$504)</f>
        <v>0</v>
      </c>
      <c r="I86" s="352"/>
      <c r="J86" s="352">
        <f>SUMIF('[13]Div 9 forecast'!$C$9:$C$503,$B86, '[13]Div 9 forecast'!$AN$9:$AN$504)</f>
        <v>541.31556843577744</v>
      </c>
      <c r="K86" s="352"/>
      <c r="L86" s="352">
        <v>0</v>
      </c>
      <c r="M86" s="352"/>
      <c r="N86" s="352">
        <v>0</v>
      </c>
      <c r="O86" s="455"/>
      <c r="P86" s="352">
        <f t="shared" si="1"/>
        <v>639.42436866790592</v>
      </c>
      <c r="T86" s="1091"/>
      <c r="U86" s="1091"/>
    </row>
    <row r="87" spans="1:21" ht="15.75" customHeight="1">
      <c r="A87" s="240">
        <f t="shared" si="2"/>
        <v>68</v>
      </c>
      <c r="B87" s="1091">
        <v>8770</v>
      </c>
      <c r="C87" s="62" t="s">
        <v>660</v>
      </c>
      <c r="D87" s="352">
        <f>'C.2.1 B'!D114</f>
        <v>22074.208092721281</v>
      </c>
      <c r="E87" s="352"/>
      <c r="F87" s="352">
        <f>SUMIF('[13]Div 9 forecast'!$C$9:$C$503,$B87, '[13]Div 9 forecast'!$AL$9:$AL$504)</f>
        <v>0</v>
      </c>
      <c r="G87" s="396"/>
      <c r="H87" s="352">
        <f>SUMIF('[13]Div 9 forecast'!$C$9:$C$503,$B87, '[13]Div 9 forecast'!$AM$9:$AM$504)</f>
        <v>-499.31254768315193</v>
      </c>
      <c r="I87" s="352"/>
      <c r="J87" s="352">
        <f>SUMIF('[13]Div 9 forecast'!$C$9:$C$503,$B87, '[13]Div 9 forecast'!$AN$9:$AN$504)</f>
        <v>738.01210955099668</v>
      </c>
      <c r="K87" s="455"/>
      <c r="L87" s="352">
        <v>0</v>
      </c>
      <c r="M87" s="352"/>
      <c r="N87" s="352">
        <v>0</v>
      </c>
      <c r="O87" s="455"/>
      <c r="P87" s="352">
        <f t="shared" si="1"/>
        <v>238.69956186784475</v>
      </c>
      <c r="T87" s="1091"/>
      <c r="U87" s="1091"/>
    </row>
    <row r="88" spans="1:21" ht="15.75" customHeight="1">
      <c r="A88" s="240">
        <f t="shared" si="2"/>
        <v>69</v>
      </c>
      <c r="B88" s="1091">
        <v>8780</v>
      </c>
      <c r="C88" s="62" t="s">
        <v>661</v>
      </c>
      <c r="D88" s="352">
        <f>'C.2.1 B'!D115</f>
        <v>934416.13374619116</v>
      </c>
      <c r="E88" s="352"/>
      <c r="F88" s="352">
        <f>SUMIF('[13]Div 9 forecast'!$C$9:$C$503,$B88, '[13]Div 9 forecast'!$AL$9:$AL$504)</f>
        <v>4885.800099889042</v>
      </c>
      <c r="G88" s="396"/>
      <c r="H88" s="352">
        <f>SUMIF('[13]Div 9 forecast'!$C$9:$C$503,$B88, '[13]Div 9 forecast'!$AM$9:$AM$504)</f>
        <v>-1287.8901654273088</v>
      </c>
      <c r="I88" s="455"/>
      <c r="J88" s="352">
        <f>SUMIF('[13]Div 9 forecast'!$C$9:$C$503,$B88, '[13]Div 9 forecast'!$AN$9:$AN$504)</f>
        <v>2665.2031756085116</v>
      </c>
      <c r="K88" s="455"/>
      <c r="L88" s="352">
        <v>0</v>
      </c>
      <c r="M88" s="455"/>
      <c r="N88" s="352">
        <v>0</v>
      </c>
      <c r="O88" s="455"/>
      <c r="P88" s="352">
        <f t="shared" si="1"/>
        <v>6263.1131100702451</v>
      </c>
      <c r="T88" s="1091"/>
    </row>
    <row r="89" spans="1:21" ht="15.75" customHeight="1">
      <c r="A89" s="240">
        <f t="shared" si="2"/>
        <v>70</v>
      </c>
      <c r="B89" s="1091">
        <v>8790</v>
      </c>
      <c r="C89" s="62" t="s">
        <v>662</v>
      </c>
      <c r="D89" s="352">
        <f>'C.2.1 B'!D116</f>
        <v>4013.7773096211868</v>
      </c>
      <c r="E89" s="352"/>
      <c r="F89" s="352">
        <f>SUMIF('[13]Div 9 forecast'!$C$9:$C$503,$B89, '[13]Div 9 forecast'!$AL$9:$AL$504)</f>
        <v>0</v>
      </c>
      <c r="G89" s="396"/>
      <c r="H89" s="352">
        <f>SUMIF('[13]Div 9 forecast'!$C$9:$C$503,$B89, '[13]Div 9 forecast'!$AM$9:$AM$504)</f>
        <v>0</v>
      </c>
      <c r="I89" s="455"/>
      <c r="J89" s="352">
        <f>SUMIF('[13]Div 9 forecast'!$C$9:$C$503,$B89, '[13]Div 9 forecast'!$AN$9:$AN$504)</f>
        <v>170.53666276477179</v>
      </c>
      <c r="K89" s="352"/>
      <c r="L89" s="352">
        <v>0</v>
      </c>
      <c r="M89" s="455"/>
      <c r="N89" s="352">
        <v>0</v>
      </c>
      <c r="O89" s="455"/>
      <c r="P89" s="352">
        <f t="shared" si="1"/>
        <v>170.53666276477179</v>
      </c>
      <c r="T89" s="1091"/>
    </row>
    <row r="90" spans="1:21" ht="15.75" customHeight="1">
      <c r="A90" s="240">
        <f t="shared" si="2"/>
        <v>71</v>
      </c>
      <c r="B90" s="1091">
        <v>8800</v>
      </c>
      <c r="C90" s="62" t="s">
        <v>663</v>
      </c>
      <c r="D90" s="352">
        <f>'C.2.1 B'!D117</f>
        <v>149633.49444794879</v>
      </c>
      <c r="E90" s="352"/>
      <c r="F90" s="352">
        <f>SUMIF('[13]Div 9 forecast'!$C$9:$C$503,$B90, '[13]Div 9 forecast'!$AL$9:$AL$504)</f>
        <v>753.03494524138705</v>
      </c>
      <c r="G90" s="396"/>
      <c r="H90" s="352">
        <f>SUMIF('[13]Div 9 forecast'!$C$9:$C$503,$B90, '[13]Div 9 forecast'!$AM$9:$AM$504)</f>
        <v>-3.1379897899964249</v>
      </c>
      <c r="I90" s="455"/>
      <c r="J90" s="352">
        <f>SUMIF('[13]Div 9 forecast'!$C$9:$C$503,$B90, '[13]Div 9 forecast'!$AN$9:$AN$504)</f>
        <v>-4442.7794481197652</v>
      </c>
      <c r="K90" s="352"/>
      <c r="L90" s="352">
        <v>0</v>
      </c>
      <c r="M90" s="455"/>
      <c r="N90" s="352">
        <v>0</v>
      </c>
      <c r="O90" s="455"/>
      <c r="P90" s="352">
        <f t="shared" si="1"/>
        <v>-3692.8824926683747</v>
      </c>
      <c r="T90" s="1091"/>
    </row>
    <row r="91" spans="1:21" ht="15.75" customHeight="1">
      <c r="A91" s="240">
        <f t="shared" si="2"/>
        <v>72</v>
      </c>
      <c r="B91" s="1091">
        <v>8810</v>
      </c>
      <c r="C91" s="62" t="s">
        <v>664</v>
      </c>
      <c r="D91" s="352">
        <f>'C.2.1 B'!D118</f>
        <v>383107.51066346146</v>
      </c>
      <c r="E91" s="352"/>
      <c r="F91" s="352">
        <f>SUMIF('[13]Div 9 forecast'!$C$9:$C$503,$B91, '[13]Div 9 forecast'!$AL$9:$AL$504)</f>
        <v>0</v>
      </c>
      <c r="G91" s="396"/>
      <c r="H91" s="352">
        <f>SUMIF('[13]Div 9 forecast'!$C$9:$C$503,$B91, '[13]Div 9 forecast'!$AM$9:$AM$504)</f>
        <v>-39618.611741795066</v>
      </c>
      <c r="I91" s="455"/>
      <c r="J91" s="352">
        <f>SUMIF('[13]Div 9 forecast'!$C$9:$C$503,$B91, '[13]Div 9 forecast'!$AN$9:$AN$504)</f>
        <v>615.64355663898107</v>
      </c>
      <c r="K91" s="352"/>
      <c r="L91" s="352">
        <v>0</v>
      </c>
      <c r="M91" s="455"/>
      <c r="N91" s="352">
        <v>0</v>
      </c>
      <c r="O91" s="455"/>
      <c r="P91" s="352">
        <f t="shared" si="1"/>
        <v>-39002.968185156082</v>
      </c>
      <c r="T91" s="1091"/>
    </row>
    <row r="92" spans="1:21" ht="15.75" customHeight="1">
      <c r="A92" s="240">
        <f t="shared" si="2"/>
        <v>73</v>
      </c>
      <c r="B92" s="1091">
        <v>8850</v>
      </c>
      <c r="C92" s="62" t="s">
        <v>750</v>
      </c>
      <c r="D92" s="352">
        <f>'C.2.1 B'!D122</f>
        <v>1623.0670662596563</v>
      </c>
      <c r="E92" s="352"/>
      <c r="F92" s="352">
        <f>SUMIF('[13]Div 9 forecast'!$C$9:$C$503,$B92, '[13]Div 9 forecast'!$AL$9:$AL$504)</f>
        <v>0</v>
      </c>
      <c r="G92" s="396"/>
      <c r="H92" s="352">
        <f>SUMIF('[13]Div 9 forecast'!$C$9:$C$503,$B92, '[13]Div 9 forecast'!$AM$9:$AM$504)</f>
        <v>0</v>
      </c>
      <c r="I92" s="455"/>
      <c r="J92" s="352">
        <f>SUMIF('[13]Div 9 forecast'!$C$9:$C$503,$B92, '[13]Div 9 forecast'!$AN$9:$AN$504)</f>
        <v>-224.53496544207201</v>
      </c>
      <c r="K92" s="352"/>
      <c r="L92" s="352">
        <v>0</v>
      </c>
      <c r="M92" s="455"/>
      <c r="N92" s="352">
        <v>0</v>
      </c>
      <c r="O92" s="455"/>
      <c r="P92" s="352">
        <f t="shared" si="1"/>
        <v>-224.53496544207201</v>
      </c>
      <c r="T92" s="1091"/>
    </row>
    <row r="93" spans="1:21" ht="15.75" customHeight="1">
      <c r="A93" s="240">
        <f t="shared" si="2"/>
        <v>74</v>
      </c>
      <c r="B93" s="1091">
        <v>8860</v>
      </c>
      <c r="C93" s="62" t="s">
        <v>781</v>
      </c>
      <c r="D93" s="352">
        <f>'C.2.1 B'!D123</f>
        <v>299.69783559778364</v>
      </c>
      <c r="E93" s="352"/>
      <c r="F93" s="352">
        <f>SUMIF('[13]Div 9 forecast'!$C$9:$C$503,$B93, '[13]Div 9 forecast'!$AL$9:$AL$504)</f>
        <v>0</v>
      </c>
      <c r="G93" s="396"/>
      <c r="H93" s="352">
        <f>SUMIF('[13]Div 9 forecast'!$C$9:$C$503,$B93, '[13]Div 9 forecast'!$AM$9:$AM$504)</f>
        <v>-2.5503512525439156</v>
      </c>
      <c r="I93" s="455"/>
      <c r="J93" s="352">
        <f>SUMIF('[13]Div 9 forecast'!$C$9:$C$503,$B93, '[13]Div 9 forecast'!$AN$9:$AN$504)</f>
        <v>11.712612702245167</v>
      </c>
      <c r="K93" s="352"/>
      <c r="L93" s="352">
        <v>0</v>
      </c>
      <c r="M93" s="455"/>
      <c r="N93" s="352">
        <v>0</v>
      </c>
      <c r="O93" s="455"/>
      <c r="P93" s="352">
        <f t="shared" si="1"/>
        <v>9.1622614497012513</v>
      </c>
      <c r="T93" s="1091"/>
    </row>
    <row r="94" spans="1:21" ht="15.75" customHeight="1">
      <c r="A94" s="240"/>
      <c r="B94" s="275"/>
      <c r="D94" s="86"/>
      <c r="E94" s="86"/>
      <c r="F94" s="86"/>
      <c r="G94" s="96"/>
      <c r="H94" s="86"/>
      <c r="I94" s="1092"/>
      <c r="J94" s="86"/>
      <c r="K94" s="86"/>
      <c r="L94" s="86"/>
      <c r="M94" s="1092"/>
      <c r="N94" s="86"/>
      <c r="O94" s="1092"/>
      <c r="P94" s="86"/>
    </row>
    <row r="95" spans="1:21" ht="15.75" customHeight="1">
      <c r="D95" s="96"/>
      <c r="E95" s="96"/>
      <c r="F95" s="96"/>
      <c r="G95" s="96"/>
      <c r="H95" s="859" t="s">
        <v>219</v>
      </c>
      <c r="I95" s="96"/>
      <c r="J95" s="96"/>
      <c r="K95" s="96"/>
      <c r="L95" s="96"/>
      <c r="M95" s="96"/>
      <c r="N95" s="96"/>
      <c r="O95" s="96"/>
      <c r="P95" s="859" t="s">
        <v>1099</v>
      </c>
    </row>
    <row r="96" spans="1:21" ht="15.75" customHeight="1">
      <c r="A96" s="240" t="s">
        <v>94</v>
      </c>
      <c r="B96" s="275" t="s">
        <v>1324</v>
      </c>
      <c r="D96" s="859" t="s">
        <v>45</v>
      </c>
      <c r="E96" s="96"/>
      <c r="F96" s="1087" t="s">
        <v>1098</v>
      </c>
      <c r="G96" s="1090"/>
      <c r="H96" s="1087" t="s">
        <v>1098</v>
      </c>
      <c r="I96" s="1088"/>
      <c r="J96" s="1087" t="s">
        <v>1098</v>
      </c>
      <c r="K96" s="1088"/>
      <c r="L96" s="1087" t="s">
        <v>1098</v>
      </c>
      <c r="M96" s="1088"/>
      <c r="N96" s="1087" t="s">
        <v>1098</v>
      </c>
      <c r="O96" s="1088"/>
      <c r="P96" s="859" t="s">
        <v>97</v>
      </c>
    </row>
    <row r="97" spans="1:21" ht="15.75" customHeight="1">
      <c r="A97" s="1089" t="s">
        <v>100</v>
      </c>
      <c r="B97" s="276" t="s">
        <v>220</v>
      </c>
      <c r="C97" s="239"/>
      <c r="D97" s="977" t="s">
        <v>543</v>
      </c>
      <c r="E97" s="640"/>
      <c r="F97" s="977" t="s">
        <v>612</v>
      </c>
      <c r="G97" s="973" t="s">
        <v>327</v>
      </c>
      <c r="H97" s="977" t="s">
        <v>469</v>
      </c>
      <c r="I97" s="973" t="s">
        <v>327</v>
      </c>
      <c r="J97" s="977" t="s">
        <v>470</v>
      </c>
      <c r="K97" s="973" t="s">
        <v>327</v>
      </c>
      <c r="L97" s="977" t="s">
        <v>471</v>
      </c>
      <c r="M97" s="973" t="s">
        <v>327</v>
      </c>
      <c r="N97" s="977" t="s">
        <v>472</v>
      </c>
      <c r="O97" s="973" t="s">
        <v>327</v>
      </c>
      <c r="P97" s="977" t="s">
        <v>476</v>
      </c>
    </row>
    <row r="98" spans="1:21" ht="15.75" customHeight="1"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</row>
    <row r="99" spans="1:21" ht="15.75" customHeight="1">
      <c r="A99" s="240">
        <f>A93+1</f>
        <v>75</v>
      </c>
      <c r="B99" s="1091">
        <v>8870</v>
      </c>
      <c r="C99" s="275" t="s">
        <v>442</v>
      </c>
      <c r="D99" s="352">
        <f>'C.2.1 B'!D124</f>
        <v>29454.642555986084</v>
      </c>
      <c r="E99" s="352"/>
      <c r="F99" s="352">
        <f>SUMIF('[13]Div 9 forecast'!$C$9:$C$503,$B99, '[13]Div 9 forecast'!$AL$9:$AL$504)</f>
        <v>128.79723268293299</v>
      </c>
      <c r="G99" s="396"/>
      <c r="H99" s="352">
        <f>SUMIF('[13]Div 9 forecast'!$C$9:$C$503,$B99, '[13]Div 9 forecast'!$AM$9:$AM$504)</f>
        <v>0</v>
      </c>
      <c r="I99" s="455"/>
      <c r="J99" s="352">
        <f>SUMIF('[13]Div 9 forecast'!$C$9:$C$503,$B99, '[13]Div 9 forecast'!$AN$9:$AN$504)</f>
        <v>439.66176018284943</v>
      </c>
      <c r="K99" s="352"/>
      <c r="L99" s="352">
        <v>0</v>
      </c>
      <c r="M99" s="455"/>
      <c r="N99" s="352">
        <v>0</v>
      </c>
      <c r="O99" s="455"/>
      <c r="P99" s="352">
        <f t="shared" ref="P99:P132" si="3">SUM(F99:O99)</f>
        <v>568.45899286578242</v>
      </c>
      <c r="T99" s="1093"/>
    </row>
    <row r="100" spans="1:21" ht="15.75" customHeight="1">
      <c r="A100" s="240">
        <f t="shared" ref="A100:A132" si="4">A99+1</f>
        <v>76</v>
      </c>
      <c r="B100" s="1091">
        <v>8890</v>
      </c>
      <c r="C100" s="275" t="s">
        <v>1204</v>
      </c>
      <c r="D100" s="352">
        <f>'C.2.1 B'!D125</f>
        <v>36.114656480308867</v>
      </c>
      <c r="E100" s="352"/>
      <c r="F100" s="352">
        <f>SUMIF('[13]Div 9 forecast'!$C$9:$C$503,$B100, '[13]Div 9 forecast'!$AL$9:$AL$504)</f>
        <v>0</v>
      </c>
      <c r="G100" s="396"/>
      <c r="H100" s="352">
        <f>SUMIF('[13]Div 9 forecast'!$C$9:$C$503,$B100, '[13]Div 9 forecast'!$AM$9:$AM$504)</f>
        <v>0</v>
      </c>
      <c r="I100" s="455"/>
      <c r="J100" s="352">
        <f>SUMIF('[13]Div 9 forecast'!$C$9:$C$503,$B100, '[13]Div 9 forecast'!$AN$9:$AN$504)</f>
        <v>1.534433158084008</v>
      </c>
      <c r="K100" s="352"/>
      <c r="L100" s="352">
        <v>0</v>
      </c>
      <c r="M100" s="455"/>
      <c r="N100" s="352">
        <v>0</v>
      </c>
      <c r="O100" s="455"/>
      <c r="P100" s="352">
        <f t="shared" si="3"/>
        <v>1.534433158084008</v>
      </c>
      <c r="T100" s="1091"/>
    </row>
    <row r="101" spans="1:21" ht="15.75" customHeight="1">
      <c r="A101" s="240">
        <f t="shared" si="4"/>
        <v>77</v>
      </c>
      <c r="B101" s="1091">
        <v>8900</v>
      </c>
      <c r="C101" s="275" t="s">
        <v>1027</v>
      </c>
      <c r="D101" s="352">
        <f>'C.2.1 B'!D126</f>
        <v>8796.2837416703478</v>
      </c>
      <c r="E101" s="352"/>
      <c r="F101" s="352">
        <f>SUMIF('[13]Div 9 forecast'!$C$9:$C$503,$B101, '[13]Div 9 forecast'!$AL$9:$AL$504)</f>
        <v>0</v>
      </c>
      <c r="G101" s="396"/>
      <c r="H101" s="352">
        <f>SUMIF('[13]Div 9 forecast'!$C$9:$C$503,$B101, '[13]Div 9 forecast'!$AM$9:$AM$504)</f>
        <v>0</v>
      </c>
      <c r="I101" s="455"/>
      <c r="J101" s="352">
        <f>SUMIF('[13]Div 9 forecast'!$C$9:$C$503,$B101, '[13]Div 9 forecast'!$AN$9:$AN$504)</f>
        <v>373.73495296829242</v>
      </c>
      <c r="K101" s="352"/>
      <c r="L101" s="352">
        <v>0</v>
      </c>
      <c r="M101" s="455"/>
      <c r="N101" s="352">
        <v>0</v>
      </c>
      <c r="O101" s="455"/>
      <c r="P101" s="352">
        <f t="shared" si="3"/>
        <v>373.73495296829242</v>
      </c>
      <c r="T101" s="1091"/>
    </row>
    <row r="102" spans="1:21" ht="15.75" customHeight="1">
      <c r="A102" s="240">
        <f t="shared" si="4"/>
        <v>78</v>
      </c>
      <c r="B102" s="1091">
        <v>8910</v>
      </c>
      <c r="C102" s="275" t="s">
        <v>1028</v>
      </c>
      <c r="D102" s="352">
        <f>'C.2.1 B'!D127</f>
        <v>4280.7808136643916</v>
      </c>
      <c r="E102" s="352"/>
      <c r="F102" s="352">
        <f>SUMIF('[13]Div 9 forecast'!$C$9:$C$503,$B102, '[13]Div 9 forecast'!$AL$9:$AL$504)</f>
        <v>0</v>
      </c>
      <c r="G102" s="396"/>
      <c r="H102" s="352">
        <f>SUMIF('[13]Div 9 forecast'!$C$9:$C$503,$B102, '[13]Div 9 forecast'!$AM$9:$AM$504)</f>
        <v>-169.82753732377705</v>
      </c>
      <c r="I102" s="455"/>
      <c r="J102" s="352">
        <f>SUMIF('[13]Div 9 forecast'!$C$9:$C$503,$B102, '[13]Div 9 forecast'!$AN$9:$AN$504)</f>
        <v>113.89973011014263</v>
      </c>
      <c r="K102" s="352"/>
      <c r="L102" s="352">
        <v>0</v>
      </c>
      <c r="M102" s="455"/>
      <c r="N102" s="352">
        <v>0</v>
      </c>
      <c r="O102" s="455"/>
      <c r="P102" s="352">
        <f t="shared" si="3"/>
        <v>-55.927807213634424</v>
      </c>
      <c r="T102" s="1091"/>
    </row>
    <row r="103" spans="1:21" ht="15.75" customHeight="1">
      <c r="A103" s="240">
        <f t="shared" si="4"/>
        <v>79</v>
      </c>
      <c r="B103" s="1091">
        <v>8920</v>
      </c>
      <c r="C103" s="275" t="s">
        <v>1029</v>
      </c>
      <c r="D103" s="352">
        <f>'C.2.1 B'!D128</f>
        <v>101.95075333814162</v>
      </c>
      <c r="E103" s="352"/>
      <c r="F103" s="352">
        <f>SUMIF('[13]Div 9 forecast'!$C$9:$C$503,$B103, '[13]Div 9 forecast'!$AL$9:$AL$504)</f>
        <v>0</v>
      </c>
      <c r="G103" s="396"/>
      <c r="H103" s="352">
        <f>SUMIF('[13]Div 9 forecast'!$C$9:$C$503,$B103, '[13]Div 9 forecast'!$AM$9:$AM$504)</f>
        <v>0</v>
      </c>
      <c r="I103" s="455"/>
      <c r="J103" s="352">
        <f>SUMIF('[13]Div 9 forecast'!$C$9:$C$503,$B103, '[13]Div 9 forecast'!$AN$9:$AN$504)</f>
        <v>4.3316656355013237</v>
      </c>
      <c r="K103" s="352"/>
      <c r="L103" s="352">
        <v>0</v>
      </c>
      <c r="M103" s="455"/>
      <c r="N103" s="352">
        <v>0</v>
      </c>
      <c r="O103" s="455"/>
      <c r="P103" s="352">
        <f t="shared" si="3"/>
        <v>4.3316656355013237</v>
      </c>
      <c r="T103" s="1091"/>
    </row>
    <row r="104" spans="1:21" ht="15.75" customHeight="1">
      <c r="A104" s="240">
        <f t="shared" si="4"/>
        <v>80</v>
      </c>
      <c r="B104" s="1091">
        <v>8930</v>
      </c>
      <c r="C104" s="275" t="s">
        <v>1030</v>
      </c>
      <c r="D104" s="352">
        <f>'C.2.1 B'!D129</f>
        <v>89917.213566702529</v>
      </c>
      <c r="E104" s="352"/>
      <c r="F104" s="352">
        <f>SUMIF('[13]Div 9 forecast'!$C$9:$C$503,$B104, '[13]Div 9 forecast'!$AL$9:$AL$504)</f>
        <v>495.47036904536344</v>
      </c>
      <c r="G104" s="396"/>
      <c r="H104" s="352">
        <f>SUMIF('[13]Div 9 forecast'!$C$9:$C$503,$B104, '[13]Div 9 forecast'!$AM$9:$AM$504)</f>
        <v>0</v>
      </c>
      <c r="I104" s="455"/>
      <c r="J104" s="352">
        <f>SUMIF('[13]Div 9 forecast'!$C$9:$C$503,$B104, '[13]Div 9 forecast'!$AN$9:$AN$504)</f>
        <v>0</v>
      </c>
      <c r="K104" s="352"/>
      <c r="L104" s="352">
        <v>0</v>
      </c>
      <c r="M104" s="455"/>
      <c r="N104" s="352">
        <v>0</v>
      </c>
      <c r="O104" s="455"/>
      <c r="P104" s="352">
        <f t="shared" si="3"/>
        <v>495.47036904536344</v>
      </c>
      <c r="T104" s="1091"/>
    </row>
    <row r="105" spans="1:21" ht="15.75" customHeight="1">
      <c r="A105" s="240">
        <f t="shared" si="4"/>
        <v>81</v>
      </c>
      <c r="B105" s="1091">
        <v>8940</v>
      </c>
      <c r="C105" s="275" t="s">
        <v>118</v>
      </c>
      <c r="D105" s="352">
        <f>'C.2.1 B'!D130</f>
        <v>11082.624415208618</v>
      </c>
      <c r="E105" s="352"/>
      <c r="F105" s="352">
        <f>SUMIF('[13]Div 9 forecast'!$C$9:$C$503,$B105, '[13]Div 9 forecast'!$AL$9:$AL$504)</f>
        <v>0</v>
      </c>
      <c r="G105" s="396"/>
      <c r="H105" s="352">
        <f>SUMIF('[13]Div 9 forecast'!$C$9:$C$503,$B105, '[13]Div 9 forecast'!$AM$9:$AM$504)</f>
        <v>0</v>
      </c>
      <c r="I105" s="455"/>
      <c r="J105" s="352">
        <f>SUMIF('[13]Div 9 forecast'!$C$9:$C$503,$B105, '[13]Div 9 forecast'!$AN$9:$AN$504)</f>
        <v>-303.58582837495982</v>
      </c>
      <c r="K105" s="352"/>
      <c r="L105" s="352">
        <v>0</v>
      </c>
      <c r="M105" s="352"/>
      <c r="N105" s="352">
        <v>0</v>
      </c>
      <c r="O105" s="455"/>
      <c r="P105" s="352">
        <f t="shared" si="3"/>
        <v>-303.58582837495982</v>
      </c>
      <c r="T105" s="1091"/>
    </row>
    <row r="106" spans="1:21" ht="15.75" customHeight="1">
      <c r="A106" s="240">
        <f t="shared" si="4"/>
        <v>82</v>
      </c>
      <c r="B106" s="1091">
        <v>8950</v>
      </c>
      <c r="C106" s="275" t="s">
        <v>235</v>
      </c>
      <c r="D106" s="352">
        <f>'C.2.1 B'!D131</f>
        <v>0</v>
      </c>
      <c r="E106" s="352"/>
      <c r="F106" s="352">
        <f>SUMIF('[13]Div 9 forecast'!$C$9:$C$503,$B106, '[13]Div 9 forecast'!$AL$9:$AL$504)</f>
        <v>0</v>
      </c>
      <c r="G106" s="396"/>
      <c r="H106" s="352">
        <f>SUMIF('[13]Div 9 forecast'!$C$9:$C$503,$B106, '[13]Div 9 forecast'!$AM$9:$AM$504)</f>
        <v>0</v>
      </c>
      <c r="I106" s="455"/>
      <c r="J106" s="352">
        <f>SUMIF('[13]Div 9 forecast'!$C$9:$C$503,$B106, '[13]Div 9 forecast'!$AN$9:$AN$504)</f>
        <v>0</v>
      </c>
      <c r="K106" s="352"/>
      <c r="L106" s="352">
        <v>0</v>
      </c>
      <c r="M106" s="352"/>
      <c r="N106" s="352">
        <v>0</v>
      </c>
      <c r="O106" s="455"/>
      <c r="P106" s="352">
        <f t="shared" si="3"/>
        <v>0</v>
      </c>
      <c r="T106" s="1091"/>
    </row>
    <row r="107" spans="1:21" ht="15.75" customHeight="1">
      <c r="A107" s="240">
        <f t="shared" si="4"/>
        <v>83</v>
      </c>
      <c r="B107" s="1091">
        <v>9010</v>
      </c>
      <c r="C107" s="275" t="s">
        <v>119</v>
      </c>
      <c r="D107" s="352">
        <f>'C.2.1 B'!D135</f>
        <v>406.0930132024418</v>
      </c>
      <c r="E107" s="352"/>
      <c r="F107" s="352">
        <f>SUMIF('[13]Div 9 forecast'!$C$9:$C$503,$B107, '[13]Div 9 forecast'!$AL$9:$AL$504)</f>
        <v>0.33314425101310263</v>
      </c>
      <c r="G107" s="396"/>
      <c r="H107" s="352">
        <f>SUMIF('[13]Div 9 forecast'!$C$9:$C$503,$B107, '[13]Div 9 forecast'!$AM$9:$AM$504)</f>
        <v>0</v>
      </c>
      <c r="I107" s="455"/>
      <c r="J107" s="352">
        <f>SUMIF('[13]Div 9 forecast'!$C$9:$C$503,$B107, '[13]Div 9 forecast'!$AN$9:$AN$504)</f>
        <v>14.685257627256874</v>
      </c>
      <c r="K107" s="352"/>
      <c r="L107" s="352">
        <v>0</v>
      </c>
      <c r="M107" s="352"/>
      <c r="N107" s="352">
        <v>0</v>
      </c>
      <c r="O107" s="455"/>
      <c r="P107" s="352">
        <f t="shared" si="3"/>
        <v>15.018401878269977</v>
      </c>
      <c r="T107" s="1091"/>
    </row>
    <row r="108" spans="1:21" ht="15.75" customHeight="1">
      <c r="A108" s="240">
        <f t="shared" si="4"/>
        <v>84</v>
      </c>
      <c r="B108" s="1091">
        <v>9020</v>
      </c>
      <c r="C108" s="275" t="s">
        <v>120</v>
      </c>
      <c r="D108" s="352">
        <f>'C.2.1 B'!D136</f>
        <v>1186801.9868062921</v>
      </c>
      <c r="E108" s="352"/>
      <c r="F108" s="352">
        <f>SUMIF('[13]Div 9 forecast'!$C$9:$C$503,$B108, '[13]Div 9 forecast'!$AL$9:$AL$504)</f>
        <v>2179.1109450388753</v>
      </c>
      <c r="G108" s="396"/>
      <c r="H108" s="352">
        <f>SUMIF('[13]Div 9 forecast'!$C$9:$C$503,$B108, '[13]Div 9 forecast'!$AM$9:$AM$504)</f>
        <v>-257.27598687721093</v>
      </c>
      <c r="I108" s="455"/>
      <c r="J108" s="352">
        <f>SUMIF('[13]Div 9 forecast'!$C$9:$C$503,$B108, '[13]Div 9 forecast'!$AN$9:$AN$504)</f>
        <v>63109.428007398586</v>
      </c>
      <c r="K108" s="352"/>
      <c r="L108" s="352">
        <v>0</v>
      </c>
      <c r="M108" s="352"/>
      <c r="N108" s="352">
        <v>0</v>
      </c>
      <c r="O108" s="455"/>
      <c r="P108" s="352">
        <f t="shared" si="3"/>
        <v>65031.26296556025</v>
      </c>
      <c r="T108" s="1091"/>
      <c r="U108" s="1091"/>
    </row>
    <row r="109" spans="1:21" ht="15.75" customHeight="1">
      <c r="A109" s="240">
        <f t="shared" si="4"/>
        <v>85</v>
      </c>
      <c r="B109" s="1091">
        <v>9030</v>
      </c>
      <c r="C109" s="275" t="s">
        <v>121</v>
      </c>
      <c r="D109" s="352">
        <f>'C.2.1 B'!D137</f>
        <v>1660971.6767347548</v>
      </c>
      <c r="E109" s="352"/>
      <c r="F109" s="352">
        <f>SUMIF('[13]Div 9 forecast'!$C$9:$C$503,$B109, '[13]Div 9 forecast'!$AL$9:$AL$504)</f>
        <v>2138.0709331186172</v>
      </c>
      <c r="G109" s="396"/>
      <c r="H109" s="352">
        <f>SUMIF('[13]Div 9 forecast'!$C$9:$C$503,$B109, '[13]Div 9 forecast'!$AM$9:$AM$504)</f>
        <v>0</v>
      </c>
      <c r="I109" s="455"/>
      <c r="J109" s="352">
        <f>SUMIF('[13]Div 9 forecast'!$C$9:$C$503,$B109, '[13]Div 9 forecast'!$AN$9:$AN$504)</f>
        <v>99289.466642536019</v>
      </c>
      <c r="K109" s="352"/>
      <c r="L109" s="352">
        <v>0</v>
      </c>
      <c r="M109" s="352"/>
      <c r="N109" s="352">
        <v>0</v>
      </c>
      <c r="O109" s="455"/>
      <c r="P109" s="352">
        <f t="shared" si="3"/>
        <v>101427.53757565464</v>
      </c>
      <c r="T109" s="1091"/>
    </row>
    <row r="110" spans="1:21" ht="15.75" customHeight="1">
      <c r="A110" s="240">
        <f t="shared" si="4"/>
        <v>86</v>
      </c>
      <c r="B110" s="1091">
        <v>9040</v>
      </c>
      <c r="C110" s="275" t="s">
        <v>122</v>
      </c>
      <c r="D110" s="352">
        <f>'C.2.1 B'!D138</f>
        <v>369911.19170000002</v>
      </c>
      <c r="E110" s="352"/>
      <c r="F110" s="352">
        <f>SUMIF('[13]Div 9 forecast'!$C$9:$C$503,$B110, '[13]Div 9 forecast'!$AL$9:$AL$504)</f>
        <v>0</v>
      </c>
      <c r="G110" s="396"/>
      <c r="H110" s="352">
        <f>SUMIF('[13]Div 9 forecast'!$C$9:$C$503,$B110, '[13]Div 9 forecast'!$AM$9:$AM$504)</f>
        <v>0</v>
      </c>
      <c r="I110" s="455"/>
      <c r="J110" s="352">
        <f>SUMIF('[13]Div 9 forecast'!$C$9:$C$503,$B110, '[13]Div 9 forecast'!$AN$9:$AN$504)</f>
        <v>0</v>
      </c>
      <c r="K110" s="352"/>
      <c r="L110" s="352">
        <f>'[13]Div 9 forecast'!$AO$483</f>
        <v>-7798.9327663854347</v>
      </c>
      <c r="M110" s="352"/>
      <c r="N110" s="352">
        <v>0</v>
      </c>
      <c r="O110" s="455"/>
      <c r="P110" s="352">
        <f t="shared" si="3"/>
        <v>-7798.9327663854347</v>
      </c>
      <c r="T110" s="1091"/>
    </row>
    <row r="111" spans="1:21" ht="15.75" customHeight="1">
      <c r="A111" s="240">
        <f t="shared" si="4"/>
        <v>87</v>
      </c>
      <c r="B111" s="1091">
        <v>9070</v>
      </c>
      <c r="C111" s="275" t="s">
        <v>29</v>
      </c>
      <c r="D111" s="352">
        <f>'C.2.1 B'!D142</f>
        <v>0</v>
      </c>
      <c r="E111" s="352"/>
      <c r="F111" s="352">
        <f>SUMIF('[13]Div 9 forecast'!$C$9:$C$503,$B111, '[13]Div 9 forecast'!$AL$9:$AL$504)</f>
        <v>0</v>
      </c>
      <c r="G111" s="396"/>
      <c r="H111" s="352">
        <f>SUMIF('[13]Div 9 forecast'!$C$9:$C$503,$B111, '[13]Div 9 forecast'!$AM$9:$AM$504)</f>
        <v>0</v>
      </c>
      <c r="I111" s="455"/>
      <c r="J111" s="352">
        <f>SUMIF('[13]Div 9 forecast'!$C$9:$C$503,$B111, '[13]Div 9 forecast'!$AN$9:$AN$504)</f>
        <v>0</v>
      </c>
      <c r="K111" s="352"/>
      <c r="L111" s="352">
        <v>0</v>
      </c>
      <c r="M111" s="352"/>
      <c r="N111" s="352">
        <v>0</v>
      </c>
      <c r="O111" s="455"/>
      <c r="P111" s="352">
        <f t="shared" si="3"/>
        <v>0</v>
      </c>
      <c r="T111" s="1091"/>
    </row>
    <row r="112" spans="1:21" ht="15.75" customHeight="1">
      <c r="A112" s="240">
        <f t="shared" si="4"/>
        <v>88</v>
      </c>
      <c r="B112" s="1091">
        <v>9080</v>
      </c>
      <c r="C112" s="275" t="s">
        <v>30</v>
      </c>
      <c r="D112" s="352">
        <f>'C.2.1 B'!D143</f>
        <v>0</v>
      </c>
      <c r="E112" s="352"/>
      <c r="F112" s="352">
        <f>SUMIF('[13]Div 9 forecast'!$C$9:$C$503,$B112, '[13]Div 9 forecast'!$AL$9:$AL$504)</f>
        <v>0</v>
      </c>
      <c r="G112" s="396"/>
      <c r="H112" s="352">
        <f>SUMIF('[13]Div 9 forecast'!$C$9:$C$503,$B112, '[13]Div 9 forecast'!$AM$9:$AM$504)</f>
        <v>0</v>
      </c>
      <c r="I112" s="455"/>
      <c r="J112" s="352">
        <f>SUMIF('[13]Div 9 forecast'!$C$9:$C$503,$B112, '[13]Div 9 forecast'!$AN$9:$AN$504)</f>
        <v>0</v>
      </c>
      <c r="K112" s="352"/>
      <c r="L112" s="352">
        <v>0</v>
      </c>
      <c r="M112" s="352"/>
      <c r="N112" s="352">
        <v>0</v>
      </c>
      <c r="O112" s="455"/>
      <c r="P112" s="352">
        <f t="shared" si="3"/>
        <v>0</v>
      </c>
      <c r="T112" s="1091"/>
    </row>
    <row r="113" spans="1:20" ht="15.75" customHeight="1">
      <c r="A113" s="240">
        <f t="shared" si="4"/>
        <v>89</v>
      </c>
      <c r="B113" s="1091">
        <v>9090</v>
      </c>
      <c r="C113" s="275" t="s">
        <v>123</v>
      </c>
      <c r="D113" s="352">
        <f>'C.2.1 B'!D144</f>
        <v>134412.29365729415</v>
      </c>
      <c r="E113" s="352"/>
      <c r="F113" s="352">
        <f>SUMIF('[13]Div 9 forecast'!$C$9:$C$503,$B113, '[13]Div 9 forecast'!$AL$9:$AL$504)</f>
        <v>582.97069566549908</v>
      </c>
      <c r="G113" s="396"/>
      <c r="H113" s="352">
        <f>SUMIF('[13]Div 9 forecast'!$C$9:$C$503,$B113, '[13]Div 9 forecast'!$AM$9:$AM$504)</f>
        <v>0</v>
      </c>
      <c r="I113" s="455"/>
      <c r="J113" s="352">
        <f>SUMIF('[13]Div 9 forecast'!$C$9:$C$503,$B113, '[13]Div 9 forecast'!$AN$9:$AN$504)</f>
        <v>-1066.5581852996224</v>
      </c>
      <c r="K113" s="352"/>
      <c r="L113" s="352">
        <v>0</v>
      </c>
      <c r="M113" s="352"/>
      <c r="N113" s="352">
        <v>0</v>
      </c>
      <c r="O113" s="455"/>
      <c r="P113" s="352">
        <f t="shared" si="3"/>
        <v>-483.58748963412336</v>
      </c>
      <c r="T113" s="1091"/>
    </row>
    <row r="114" spans="1:20" ht="15.75" customHeight="1">
      <c r="A114" s="240">
        <f t="shared" si="4"/>
        <v>90</v>
      </c>
      <c r="B114" s="1091">
        <v>9100</v>
      </c>
      <c r="C114" s="275" t="s">
        <v>124</v>
      </c>
      <c r="D114" s="352">
        <f>'C.2.1 B'!D145</f>
        <v>0</v>
      </c>
      <c r="E114" s="352"/>
      <c r="F114" s="352">
        <f>SUMIF('[13]Div 9 forecast'!$C$9:$C$503,$B114, '[13]Div 9 forecast'!$AL$9:$AL$504)</f>
        <v>0</v>
      </c>
      <c r="G114" s="396"/>
      <c r="H114" s="352">
        <f>SUMIF('[13]Div 9 forecast'!$C$9:$C$503,$B114, '[13]Div 9 forecast'!$AM$9:$AM$504)</f>
        <v>0</v>
      </c>
      <c r="I114" s="455"/>
      <c r="J114" s="352">
        <f>SUMIF('[13]Div 9 forecast'!$C$9:$C$503,$B114, '[13]Div 9 forecast'!$AN$9:$AN$504)</f>
        <v>0</v>
      </c>
      <c r="K114" s="352"/>
      <c r="L114" s="352">
        <v>0</v>
      </c>
      <c r="M114" s="352"/>
      <c r="N114" s="352">
        <v>0</v>
      </c>
      <c r="O114" s="455"/>
      <c r="P114" s="352">
        <f t="shared" si="3"/>
        <v>0</v>
      </c>
      <c r="T114" s="1091"/>
    </row>
    <row r="115" spans="1:20" ht="15.75" customHeight="1">
      <c r="A115" s="240">
        <f t="shared" si="4"/>
        <v>91</v>
      </c>
      <c r="B115" s="1093">
        <v>9110</v>
      </c>
      <c r="C115" s="1094" t="s">
        <v>226</v>
      </c>
      <c r="D115" s="352">
        <f>'C.2.1 B'!D149</f>
        <v>255129.29012212393</v>
      </c>
      <c r="E115" s="352"/>
      <c r="F115" s="352">
        <f>SUMIF('[13]Div 9 forecast'!$C$9:$C$503,$B115, '[13]Div 9 forecast'!$AL$9:$AL$504)</f>
        <v>1038.8138069473848</v>
      </c>
      <c r="G115" s="396"/>
      <c r="H115" s="352">
        <f>SUMIF('[13]Div 9 forecast'!$C$9:$C$503,$B115, '[13]Div 9 forecast'!$AM$9:$AM$504)</f>
        <v>0</v>
      </c>
      <c r="I115" s="455"/>
      <c r="J115" s="352">
        <f>SUMIF('[13]Div 9 forecast'!$C$9:$C$503,$B115, '[13]Div 9 forecast'!$AN$9:$AN$504)</f>
        <v>10793.558982604432</v>
      </c>
      <c r="K115" s="352"/>
      <c r="L115" s="352">
        <v>0</v>
      </c>
      <c r="M115" s="352"/>
      <c r="N115" s="352">
        <v>0</v>
      </c>
      <c r="O115" s="455"/>
      <c r="P115" s="352">
        <f t="shared" si="3"/>
        <v>11832.372789551817</v>
      </c>
      <c r="T115" s="1091"/>
    </row>
    <row r="116" spans="1:20" ht="15.75" customHeight="1">
      <c r="A116" s="240">
        <f t="shared" si="4"/>
        <v>92</v>
      </c>
      <c r="B116" s="1093">
        <v>9120</v>
      </c>
      <c r="C116" s="1094" t="s">
        <v>459</v>
      </c>
      <c r="D116" s="352">
        <f>'C.2.1 B'!D150</f>
        <v>117086.30179510081</v>
      </c>
      <c r="E116" s="352"/>
      <c r="F116" s="352">
        <f>SUMIF('[13]Div 9 forecast'!$C$9:$C$503,$B116, '[13]Div 9 forecast'!$AL$9:$AL$504)</f>
        <v>0</v>
      </c>
      <c r="G116" s="396"/>
      <c r="H116" s="352">
        <f>SUMIF('[13]Div 9 forecast'!$C$9:$C$503,$B116, '[13]Div 9 forecast'!$AM$9:$AM$504)</f>
        <v>-148.45512371662926</v>
      </c>
      <c r="I116" s="455"/>
      <c r="J116" s="352">
        <f>SUMIF('[13]Div 9 forecast'!$C$9:$C$503,$B116, '[13]Div 9 forecast'!$AN$9:$AN$504)</f>
        <v>14352.096686603507</v>
      </c>
      <c r="K116" s="352"/>
      <c r="L116" s="352">
        <v>0</v>
      </c>
      <c r="M116" s="352"/>
      <c r="N116" s="352">
        <v>0</v>
      </c>
      <c r="O116" s="455"/>
      <c r="P116" s="352">
        <f t="shared" si="3"/>
        <v>14203.641562886878</v>
      </c>
      <c r="T116" s="1091"/>
    </row>
    <row r="117" spans="1:20" ht="15.75" customHeight="1">
      <c r="A117" s="240">
        <f t="shared" si="4"/>
        <v>93</v>
      </c>
      <c r="B117" s="1093">
        <v>9130</v>
      </c>
      <c r="C117" s="1094" t="s">
        <v>460</v>
      </c>
      <c r="D117" s="352">
        <f>'C.2.1 B'!D151</f>
        <v>38737.06849407807</v>
      </c>
      <c r="E117" s="352"/>
      <c r="F117" s="352">
        <f>SUMIF('[13]Div 9 forecast'!$C$9:$C$503,$B117, '[13]Div 9 forecast'!$AL$9:$AL$504)</f>
        <v>0</v>
      </c>
      <c r="G117" s="396"/>
      <c r="H117" s="352">
        <f>SUMIF('[13]Div 9 forecast'!$C$9:$C$503,$B117, '[13]Div 9 forecast'!$AM$9:$AM$504)</f>
        <v>0</v>
      </c>
      <c r="I117" s="455"/>
      <c r="J117" s="352">
        <f>SUMIF('[13]Div 9 forecast'!$C$9:$C$503,$B117, '[13]Div 9 forecast'!$AN$9:$AN$504)</f>
        <v>6745.9547343508466</v>
      </c>
      <c r="K117" s="352"/>
      <c r="L117" s="352">
        <v>0</v>
      </c>
      <c r="M117" s="352"/>
      <c r="N117" s="352">
        <v>0</v>
      </c>
      <c r="O117" s="455"/>
      <c r="P117" s="352">
        <f t="shared" si="3"/>
        <v>6745.9547343508466</v>
      </c>
      <c r="T117" s="1091"/>
    </row>
    <row r="118" spans="1:20" ht="15.75" customHeight="1">
      <c r="A118" s="240">
        <f t="shared" si="4"/>
        <v>94</v>
      </c>
      <c r="B118" s="1093">
        <v>9160</v>
      </c>
      <c r="C118" s="1094" t="s">
        <v>227</v>
      </c>
      <c r="D118" s="352">
        <f>'C.2.1 B'!D152</f>
        <v>0</v>
      </c>
      <c r="E118" s="352"/>
      <c r="F118" s="352">
        <f>SUMIF('[13]Div 9 forecast'!$C$9:$C$503,$B118, '[13]Div 9 forecast'!$AL$9:$AL$504)</f>
        <v>0</v>
      </c>
      <c r="G118" s="396"/>
      <c r="H118" s="352">
        <f>SUMIF('[13]Div 9 forecast'!$C$9:$C$503,$B118, '[13]Div 9 forecast'!$AM$9:$AM$504)</f>
        <v>0</v>
      </c>
      <c r="I118" s="455"/>
      <c r="J118" s="352">
        <f>SUMIF('[13]Div 9 forecast'!$C$9:$C$503,$B118, '[13]Div 9 forecast'!$AN$9:$AN$504)</f>
        <v>0</v>
      </c>
      <c r="K118" s="352"/>
      <c r="L118" s="352">
        <v>0</v>
      </c>
      <c r="M118" s="352"/>
      <c r="N118" s="352">
        <v>0</v>
      </c>
      <c r="O118" s="455"/>
      <c r="P118" s="352">
        <f t="shared" si="3"/>
        <v>0</v>
      </c>
      <c r="T118" s="1091"/>
    </row>
    <row r="119" spans="1:20" ht="15.75" customHeight="1">
      <c r="A119" s="240">
        <f t="shared" si="4"/>
        <v>95</v>
      </c>
      <c r="B119" s="1093">
        <v>9200</v>
      </c>
      <c r="C119" s="1094" t="s">
        <v>1320</v>
      </c>
      <c r="D119" s="352">
        <f>'C.2.1 B'!D156</f>
        <v>141985.19929653441</v>
      </c>
      <c r="E119" s="352"/>
      <c r="F119" s="352">
        <f>SUMIF('[13]Div 9 forecast'!$C$9:$C$503,$B119, '[13]Div 9 forecast'!$AL$9:$AL$504)</f>
        <v>782.38032857020721</v>
      </c>
      <c r="G119" s="396"/>
      <c r="H119" s="352">
        <f>SUMIF('[13]Div 9 forecast'!$C$9:$C$503,$B119, '[13]Div 9 forecast'!$AM$9:$AM$504)</f>
        <v>0</v>
      </c>
      <c r="I119" s="455"/>
      <c r="J119" s="352">
        <f>SUMIF('[13]Div 9 forecast'!$C$9:$C$503,$B119, '[13]Div 9 forecast'!$AN$9:$AN$504)</f>
        <v>0</v>
      </c>
      <c r="K119" s="352"/>
      <c r="L119" s="352">
        <v>0</v>
      </c>
      <c r="M119" s="352"/>
      <c r="N119" s="352">
        <v>0</v>
      </c>
      <c r="O119" s="455"/>
      <c r="P119" s="352">
        <f>SUM(F119:O119)</f>
        <v>782.38032857020721</v>
      </c>
      <c r="T119" s="1091"/>
    </row>
    <row r="120" spans="1:20" ht="15.75" customHeight="1">
      <c r="A120" s="240">
        <f t="shared" si="4"/>
        <v>96</v>
      </c>
      <c r="B120" s="1091">
        <v>9210</v>
      </c>
      <c r="C120" s="275" t="s">
        <v>228</v>
      </c>
      <c r="D120" s="352">
        <f>'C.2.1 B'!D157</f>
        <v>1379.9935257030206</v>
      </c>
      <c r="E120" s="352"/>
      <c r="F120" s="352">
        <f>SUMIF('[13]Div 9 forecast'!$C$9:$C$503,$B120, '[13]Div 9 forecast'!$AL$9:$AL$504)</f>
        <v>0</v>
      </c>
      <c r="G120" s="396"/>
      <c r="H120" s="352">
        <f>SUMIF('[13]Div 9 forecast'!$C$9:$C$503,$B120, '[13]Div 9 forecast'!$AM$9:$AM$504)</f>
        <v>0</v>
      </c>
      <c r="I120" s="455"/>
      <c r="J120" s="352">
        <f>SUMIF('[13]Div 9 forecast'!$C$9:$C$503,$B120, '[13]Div 9 forecast'!$AN$9:$AN$504)</f>
        <v>1868.5971040624072</v>
      </c>
      <c r="K120" s="352"/>
      <c r="L120" s="352">
        <v>0</v>
      </c>
      <c r="M120" s="352"/>
      <c r="N120" s="352">
        <v>0</v>
      </c>
      <c r="O120" s="455"/>
      <c r="P120" s="352">
        <f>SUM(F120:O120)</f>
        <v>1868.5971040624072</v>
      </c>
      <c r="T120" s="1091"/>
    </row>
    <row r="121" spans="1:20" ht="15">
      <c r="A121" s="240">
        <f t="shared" si="4"/>
        <v>97</v>
      </c>
      <c r="B121" s="1091">
        <v>9220</v>
      </c>
      <c r="C121" s="275" t="s">
        <v>213</v>
      </c>
      <c r="D121" s="352">
        <f>'C.2.1 B'!D158</f>
        <v>13526079.802595161</v>
      </c>
      <c r="E121" s="352"/>
      <c r="F121" s="352">
        <f>SUMIF('[13]Div 9 forecast'!$C$9:$C$503,$B121, '[13]Div 9 forecast'!$AL$9:$AL$504)</f>
        <v>0</v>
      </c>
      <c r="G121" s="396"/>
      <c r="H121" s="352">
        <f>SUMIF('[13]Div 9 forecast'!$C$9:$C$503,$B121, '[13]Div 9 forecast'!$AM$9:$AM$504)</f>
        <v>0</v>
      </c>
      <c r="I121" s="455"/>
      <c r="J121" s="352">
        <f>SUMIF('[13]Div 9 forecast'!$C$9:$C$503,$B121, '[13]Div 9 forecast'!$AN$9:$AN$504)</f>
        <v>0</v>
      </c>
      <c r="K121" s="352"/>
      <c r="L121" s="352">
        <v>0</v>
      </c>
      <c r="M121" s="352"/>
      <c r="N121" s="352">
        <f>'C.2.2-F 09'!P100-'C.2.2 B 09'!P100</f>
        <v>486321.02766592428</v>
      </c>
      <c r="O121" s="455"/>
      <c r="P121" s="352">
        <f t="shared" si="3"/>
        <v>486321.02766592428</v>
      </c>
      <c r="S121" s="352"/>
      <c r="T121" s="1095"/>
    </row>
    <row r="122" spans="1:20" ht="15.75" customHeight="1">
      <c r="A122" s="240">
        <f t="shared" si="4"/>
        <v>98</v>
      </c>
      <c r="B122" s="1091">
        <v>9230</v>
      </c>
      <c r="C122" s="275" t="s">
        <v>229</v>
      </c>
      <c r="D122" s="352">
        <f>'C.2.1 B'!D159</f>
        <v>64810.557379835765</v>
      </c>
      <c r="E122" s="352"/>
      <c r="F122" s="352">
        <f>SUMIF('[13]Div 9 forecast'!$C$9:$C$503,$B122, '[13]Div 9 forecast'!$AL$9:$AL$504)</f>
        <v>0</v>
      </c>
      <c r="G122" s="396"/>
      <c r="H122" s="352">
        <f>SUMIF('[13]Div 9 forecast'!$C$9:$C$503,$B122, '[13]Div 9 forecast'!$AM$9:$AM$504)</f>
        <v>0</v>
      </c>
      <c r="I122" s="455"/>
      <c r="J122" s="352">
        <f>SUMIF('[13]Div 9 forecast'!$C$9:$C$503,$B122, '[13]Div 9 forecast'!$AN$9:$AN$504)</f>
        <v>5038.9785867204628</v>
      </c>
      <c r="K122" s="352"/>
      <c r="L122" s="352">
        <v>0</v>
      </c>
      <c r="M122" s="352"/>
      <c r="N122" s="352">
        <v>0</v>
      </c>
      <c r="O122" s="455"/>
      <c r="P122" s="352">
        <f t="shared" si="3"/>
        <v>5038.9785867204628</v>
      </c>
      <c r="T122" s="1091"/>
    </row>
    <row r="123" spans="1:20" ht="15.75" customHeight="1">
      <c r="A123" s="240">
        <f t="shared" si="4"/>
        <v>99</v>
      </c>
      <c r="B123" s="1091">
        <v>9240</v>
      </c>
      <c r="C123" s="275" t="s">
        <v>461</v>
      </c>
      <c r="D123" s="352">
        <f>'C.2.1 B'!D160</f>
        <v>88982.39662252953</v>
      </c>
      <c r="E123" s="352"/>
      <c r="F123" s="352">
        <f>SUMIF('[13]Div 9 forecast'!$C$9:$C$503,$B123, '[13]Div 9 forecast'!$AL$9:$AL$504)</f>
        <v>0</v>
      </c>
      <c r="G123" s="396"/>
      <c r="H123" s="352">
        <f>SUMIF('[13]Div 9 forecast'!$C$9:$C$503,$B123, '[13]Div 9 forecast'!$AM$9:$AM$504)</f>
        <v>0</v>
      </c>
      <c r="I123" s="455"/>
      <c r="J123" s="352">
        <f>SUMIF('[13]Div 9 forecast'!$C$9:$C$503,$B123, '[13]Div 9 forecast'!$AN$9:$AN$504)</f>
        <v>-83422.71588193388</v>
      </c>
      <c r="K123" s="352"/>
      <c r="L123" s="352">
        <v>0</v>
      </c>
      <c r="M123" s="352"/>
      <c r="N123" s="352">
        <v>0</v>
      </c>
      <c r="O123" s="455"/>
      <c r="P123" s="352">
        <f t="shared" si="3"/>
        <v>-83422.71588193388</v>
      </c>
      <c r="T123" s="1091"/>
    </row>
    <row r="124" spans="1:20" ht="15.75" customHeight="1">
      <c r="A124" s="240">
        <f t="shared" si="4"/>
        <v>100</v>
      </c>
      <c r="B124" s="1091">
        <v>9250</v>
      </c>
      <c r="C124" s="275" t="s">
        <v>1075</v>
      </c>
      <c r="D124" s="352">
        <f>'C.2.1 B'!D161</f>
        <v>18680.978177223515</v>
      </c>
      <c r="E124" s="352"/>
      <c r="F124" s="352">
        <f>SUMIF('[13]Div 9 forecast'!$C$9:$C$503,$B124, '[13]Div 9 forecast'!$AL$9:$AL$504)</f>
        <v>-1.7937249437254295</v>
      </c>
      <c r="G124" s="396"/>
      <c r="H124" s="352">
        <f>SUMIF('[13]Div 9 forecast'!$C$9:$C$503,$B124, '[13]Div 9 forecast'!$AM$9:$AM$504)</f>
        <v>0</v>
      </c>
      <c r="I124" s="455"/>
      <c r="J124" s="352">
        <f>SUMIF('[13]Div 9 forecast'!$C$9:$C$503,$B124, '[13]Div 9 forecast'!$AN$9:$AN$504)</f>
        <v>-737.79755320000345</v>
      </c>
      <c r="K124" s="352"/>
      <c r="L124" s="352">
        <v>0</v>
      </c>
      <c r="M124" s="352"/>
      <c r="N124" s="352">
        <v>0</v>
      </c>
      <c r="O124" s="455"/>
      <c r="P124" s="352">
        <f t="shared" si="3"/>
        <v>-739.59127814372891</v>
      </c>
      <c r="T124" s="1091"/>
    </row>
    <row r="125" spans="1:20" ht="15.75" customHeight="1">
      <c r="A125" s="240">
        <f t="shared" si="4"/>
        <v>101</v>
      </c>
      <c r="B125" s="1091">
        <v>9260</v>
      </c>
      <c r="C125" s="275" t="s">
        <v>1076</v>
      </c>
      <c r="D125" s="352">
        <f>'C.2.1 B'!D162</f>
        <v>1947365.4299807029</v>
      </c>
      <c r="E125" s="352"/>
      <c r="F125" s="352">
        <f>SUMIF('[13]Div 9 forecast'!$C$9:$C$503,$B125, '[13]Div 9 forecast'!$AL$9:$AL$504)</f>
        <v>-75497.721053606365</v>
      </c>
      <c r="G125" s="396"/>
      <c r="H125" s="352">
        <f>SUMIF('[13]Div 9 forecast'!$C$9:$C$503,$B125, '[13]Div 9 forecast'!$AM$9:$AM$504)</f>
        <v>0</v>
      </c>
      <c r="I125" s="455"/>
      <c r="J125" s="352">
        <f>SUMIF('[13]Div 9 forecast'!$C$9:$C$503,$B125, '[13]Div 9 forecast'!$AN$9:$AN$504)</f>
        <v>-28668.347897354965</v>
      </c>
      <c r="K125" s="352"/>
      <c r="L125" s="352">
        <v>0</v>
      </c>
      <c r="M125" s="352"/>
      <c r="N125" s="352">
        <v>0</v>
      </c>
      <c r="O125" s="455"/>
      <c r="P125" s="352">
        <f t="shared" si="3"/>
        <v>-104166.06895096133</v>
      </c>
      <c r="T125" s="1091"/>
    </row>
    <row r="126" spans="1:20" ht="15.75" customHeight="1">
      <c r="A126" s="240">
        <f t="shared" si="4"/>
        <v>102</v>
      </c>
      <c r="B126" s="1091">
        <v>9270</v>
      </c>
      <c r="C126" s="275" t="s">
        <v>1190</v>
      </c>
      <c r="D126" s="352">
        <f>'C.2.1 B'!D163</f>
        <v>6390.3648239198037</v>
      </c>
      <c r="E126" s="352"/>
      <c r="F126" s="352">
        <f>SUMIF('[13]Div 9 forecast'!$C$9:$C$503,$B126, '[13]Div 9 forecast'!$AL$9:$AL$504)</f>
        <v>0</v>
      </c>
      <c r="G126" s="396"/>
      <c r="H126" s="352">
        <f>SUMIF('[13]Div 9 forecast'!$C$9:$C$503,$B126, '[13]Div 9 forecast'!$AM$9:$AM$504)</f>
        <v>0</v>
      </c>
      <c r="I126" s="455"/>
      <c r="J126" s="352">
        <f>SUMIF('[13]Div 9 forecast'!$C$9:$C$503,$B126, '[13]Div 9 forecast'!$AN$9:$AN$504)</f>
        <v>-4907.3291796781368</v>
      </c>
      <c r="K126" s="352"/>
      <c r="L126" s="352">
        <v>0</v>
      </c>
      <c r="M126" s="352"/>
      <c r="N126" s="352">
        <v>0</v>
      </c>
      <c r="O126" s="455"/>
      <c r="P126" s="352">
        <f t="shared" si="3"/>
        <v>-4907.3291796781368</v>
      </c>
      <c r="T126" s="1091"/>
    </row>
    <row r="127" spans="1:20" ht="15.75" customHeight="1">
      <c r="A127" s="240">
        <f t="shared" si="4"/>
        <v>103</v>
      </c>
      <c r="B127" s="1091">
        <v>9280</v>
      </c>
      <c r="C127" s="275" t="s">
        <v>1191</v>
      </c>
      <c r="D127" s="352">
        <f>'C.2.1 B'!D164</f>
        <v>0</v>
      </c>
      <c r="E127" s="352"/>
      <c r="F127" s="352">
        <f>SUMIF('[13]Div 9 forecast'!$C$9:$C$503,$B127, '[13]Div 9 forecast'!$AL$9:$AL$504)</f>
        <v>0</v>
      </c>
      <c r="G127" s="396"/>
      <c r="H127" s="352">
        <f>SUMIF('[13]Div 9 forecast'!$C$9:$C$503,$B127, '[13]Div 9 forecast'!$AM$9:$AM$504)</f>
        <v>0</v>
      </c>
      <c r="I127" s="455"/>
      <c r="J127" s="352">
        <f>SUMIF('[13]Div 9 forecast'!$C$9:$C$503,$B127, '[13]Div 9 forecast'!$AN$9:$AN$504)</f>
        <v>0</v>
      </c>
      <c r="K127" s="352"/>
      <c r="L127" s="352">
        <v>0</v>
      </c>
      <c r="M127" s="352"/>
      <c r="N127" s="352">
        <v>0</v>
      </c>
      <c r="O127" s="455"/>
      <c r="P127" s="352">
        <f t="shared" si="3"/>
        <v>0</v>
      </c>
      <c r="T127" s="1091"/>
    </row>
    <row r="128" spans="1:20" ht="15.75" customHeight="1">
      <c r="A128" s="240">
        <f t="shared" si="4"/>
        <v>104</v>
      </c>
      <c r="B128" s="1091">
        <v>9290</v>
      </c>
      <c r="C128" s="275" t="s">
        <v>477</v>
      </c>
      <c r="D128" s="352">
        <v>0</v>
      </c>
      <c r="E128" s="352"/>
      <c r="F128" s="352">
        <f>SUMIF('[13]Div 9 forecast'!$C$9:$C$503,$B128, '[13]Div 9 forecast'!$AL$9:$AL$504)</f>
        <v>0</v>
      </c>
      <c r="G128" s="396"/>
      <c r="H128" s="352">
        <f>SUMIF('[13]Div 9 forecast'!$C$9:$C$503,$B128, '[13]Div 9 forecast'!$AM$9:$AM$504)</f>
        <v>0</v>
      </c>
      <c r="I128" s="455"/>
      <c r="J128" s="352">
        <f>SUMIF('[13]Div 9 forecast'!$C$9:$C$503,$B128, '[13]Div 9 forecast'!$AN$9:$AN$504)</f>
        <v>0</v>
      </c>
      <c r="K128" s="352"/>
      <c r="L128" s="352">
        <v>0</v>
      </c>
      <c r="M128" s="352"/>
      <c r="N128" s="352">
        <v>0</v>
      </c>
      <c r="O128" s="455"/>
      <c r="P128" s="352">
        <f t="shared" si="3"/>
        <v>0</v>
      </c>
      <c r="T128" s="1091"/>
    </row>
    <row r="129" spans="1:20" ht="15.75" customHeight="1">
      <c r="A129" s="240">
        <f t="shared" si="4"/>
        <v>105</v>
      </c>
      <c r="B129" s="1093">
        <v>9301</v>
      </c>
      <c r="C129" s="1094" t="s">
        <v>1192</v>
      </c>
      <c r="D129" s="396">
        <v>0</v>
      </c>
      <c r="E129" s="352"/>
      <c r="F129" s="352">
        <f>SUMIF('[13]Div 9 forecast'!$C$9:$C$503,$B129, '[13]Div 9 forecast'!$AL$9:$AL$504)</f>
        <v>0</v>
      </c>
      <c r="G129" s="396"/>
      <c r="H129" s="352">
        <f>SUMIF('[13]Div 9 forecast'!$C$9:$C$503,$B129, '[13]Div 9 forecast'!$AM$9:$AM$504)</f>
        <v>0</v>
      </c>
      <c r="I129" s="455"/>
      <c r="J129" s="352">
        <f>SUMIF('[13]Div 9 forecast'!$C$9:$C$503,$B129, '[13]Div 9 forecast'!$AN$9:$AN$504)</f>
        <v>0</v>
      </c>
      <c r="K129" s="352"/>
      <c r="L129" s="352">
        <v>0</v>
      </c>
      <c r="M129" s="352"/>
      <c r="N129" s="352">
        <v>0</v>
      </c>
      <c r="O129" s="455"/>
      <c r="P129" s="352">
        <f t="shared" si="3"/>
        <v>0</v>
      </c>
      <c r="T129" s="1091"/>
    </row>
    <row r="130" spans="1:20" ht="15.75" customHeight="1">
      <c r="A130" s="240">
        <f t="shared" si="4"/>
        <v>106</v>
      </c>
      <c r="B130" s="1093">
        <v>9302</v>
      </c>
      <c r="C130" s="1094" t="s">
        <v>1193</v>
      </c>
      <c r="D130" s="396">
        <f>'C.2.1 B'!D165</f>
        <v>74161.595295544976</v>
      </c>
      <c r="E130" s="352"/>
      <c r="F130" s="352">
        <f>SUMIF('[13]Div 9 forecast'!$C$9:$C$503,$B130, '[13]Div 9 forecast'!$AL$9:$AL$504)</f>
        <v>0</v>
      </c>
      <c r="G130" s="396"/>
      <c r="H130" s="352">
        <f>SUMIF('[13]Div 9 forecast'!$C$9:$C$503,$B130, '[13]Div 9 forecast'!$AM$9:$AM$504)</f>
        <v>0</v>
      </c>
      <c r="I130" s="455"/>
      <c r="J130" s="352">
        <f>SUMIF('[13]Div 9 forecast'!$C$9:$C$503,$B130, '[13]Div 9 forecast'!$AN$9:$AN$504)</f>
        <v>-24460.693991621036</v>
      </c>
      <c r="K130" s="352"/>
      <c r="L130" s="352">
        <v>0</v>
      </c>
      <c r="M130" s="352"/>
      <c r="N130" s="352">
        <v>0</v>
      </c>
      <c r="O130" s="455"/>
      <c r="P130" s="352">
        <f t="shared" si="3"/>
        <v>-24460.693991621036</v>
      </c>
      <c r="T130" s="1091"/>
    </row>
    <row r="131" spans="1:20" ht="15.75" customHeight="1">
      <c r="A131" s="240">
        <f t="shared" si="4"/>
        <v>107</v>
      </c>
      <c r="B131" s="1093">
        <v>9310</v>
      </c>
      <c r="C131" s="1094" t="s">
        <v>1319</v>
      </c>
      <c r="D131" s="396">
        <f>'C.2.1 B'!D166</f>
        <v>14287.303404838631</v>
      </c>
      <c r="E131" s="352"/>
      <c r="F131" s="352">
        <f>SUMIF('[13]Div 9 forecast'!$C$9:$C$503,$B131, '[13]Div 9 forecast'!$AL$9:$AL$504)</f>
        <v>0</v>
      </c>
      <c r="G131" s="396"/>
      <c r="H131" s="352">
        <f>SUMIF('[13]Div 9 forecast'!$C$9:$C$503,$B131, '[13]Div 9 forecast'!$AM$9:$AM$504)</f>
        <v>-1516.4678449304647</v>
      </c>
      <c r="I131" s="455"/>
      <c r="J131" s="352">
        <f>SUMIF('[13]Div 9 forecast'!$C$9:$C$503,$B131, '[13]Div 9 forecast'!$AN$9:$AN$504)</f>
        <v>0</v>
      </c>
      <c r="K131" s="352"/>
      <c r="L131" s="352">
        <v>0</v>
      </c>
      <c r="M131" s="352"/>
      <c r="N131" s="352"/>
      <c r="O131" s="455"/>
      <c r="P131" s="352">
        <f t="shared" si="3"/>
        <v>-1516.4678449304647</v>
      </c>
      <c r="T131" s="1091"/>
    </row>
    <row r="132" spans="1:20" ht="15.75" customHeight="1">
      <c r="A132" s="240">
        <f t="shared" si="4"/>
        <v>108</v>
      </c>
      <c r="B132" s="1093">
        <v>9320</v>
      </c>
      <c r="C132" s="1094" t="s">
        <v>1194</v>
      </c>
      <c r="D132" s="353">
        <f>'C.2.1 B'!D170</f>
        <v>0</v>
      </c>
      <c r="E132" s="352"/>
      <c r="F132" s="352">
        <f>SUMIF('[13]Div 9 forecast'!$C$9:$C$503,$B132, '[13]Div 9 forecast'!$AL$9:$AL$504)</f>
        <v>0</v>
      </c>
      <c r="G132" s="396"/>
      <c r="H132" s="352">
        <f>SUMIF('[13]Div 9 forecast'!$C$9:$C$503,$B132, '[13]Div 9 forecast'!$AM$9:$AM$504)</f>
        <v>0</v>
      </c>
      <c r="I132" s="455"/>
      <c r="J132" s="352">
        <f>SUMIF('[13]Div 9 forecast'!$C$9:$C$503,$B132, '[13]Div 9 forecast'!$AN$9:$AN$504)</f>
        <v>0</v>
      </c>
      <c r="K132" s="352"/>
      <c r="L132" s="352">
        <v>0</v>
      </c>
      <c r="M132" s="352"/>
      <c r="N132" s="353">
        <v>0</v>
      </c>
      <c r="O132" s="352"/>
      <c r="P132" s="353">
        <f t="shared" si="3"/>
        <v>0</v>
      </c>
      <c r="T132" s="1091"/>
    </row>
    <row r="133" spans="1:20" ht="15.75" customHeight="1">
      <c r="A133" s="240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</row>
    <row r="134" spans="1:20" ht="15.75" customHeight="1">
      <c r="A134" s="240">
        <f>A132+1</f>
        <v>109</v>
      </c>
      <c r="B134" s="66" t="s">
        <v>97</v>
      </c>
      <c r="D134" s="284">
        <f>SUM(D48:D93)+SUM(D99:D132)</f>
        <v>26961891.38439516</v>
      </c>
      <c r="E134" s="96"/>
      <c r="F134" s="284">
        <f>SUM(F48:F93)+SUM(F99:F132)</f>
        <v>-48012.612215548856</v>
      </c>
      <c r="G134" s="96"/>
      <c r="H134" s="284">
        <f>SUM(H48:H93)+SUM(H99:H132)</f>
        <v>-62318.195233008861</v>
      </c>
      <c r="I134" s="96"/>
      <c r="J134" s="284">
        <f>SUM(J48:J93)+SUM(J99:J132)</f>
        <v>234379.63886950113</v>
      </c>
      <c r="K134" s="96"/>
      <c r="L134" s="284">
        <f>SUM(L48:L93)+SUM(L99:L132)</f>
        <v>-7798.9327663854347</v>
      </c>
      <c r="M134" s="96"/>
      <c r="N134" s="284">
        <f>SUM(N48:N93)+SUM(N99:N132)</f>
        <v>486321.02766592428</v>
      </c>
      <c r="O134" s="96"/>
      <c r="P134" s="284">
        <f>SUM(P48:P93)+SUM(P99:P132)</f>
        <v>602606.16896236828</v>
      </c>
    </row>
    <row r="135" spans="1:20" ht="15.75" customHeight="1">
      <c r="A135" s="240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</row>
    <row r="136" spans="1:20" ht="15.75" customHeight="1">
      <c r="A136" s="240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</row>
    <row r="137" spans="1:20" ht="15.75" customHeight="1">
      <c r="A137" s="240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</row>
    <row r="138" spans="1:20" ht="15.75" customHeight="1">
      <c r="A138" s="240">
        <f>A134+1</f>
        <v>110</v>
      </c>
      <c r="B138" s="694" t="s">
        <v>322</v>
      </c>
      <c r="C138" s="96"/>
      <c r="D138" s="86">
        <f>'[13]O&amp;M Comparison'!$C$6+'[13]O&amp;M Comparison'!$C$7</f>
        <v>6804939.1000999995</v>
      </c>
      <c r="E138" s="96"/>
      <c r="F138" s="86">
        <f>SUM(F122:F132,F99:F119,F48:F93)</f>
        <v>-48012.612215548863</v>
      </c>
      <c r="G138" s="86"/>
      <c r="H138" s="86"/>
      <c r="I138" s="86"/>
      <c r="J138" s="86"/>
      <c r="K138" s="86"/>
      <c r="L138" s="86"/>
      <c r="M138" s="86"/>
      <c r="N138" s="86"/>
      <c r="O138" s="86"/>
      <c r="P138" s="86">
        <f>SUM(F138:O138)</f>
        <v>-48012.612215548863</v>
      </c>
    </row>
    <row r="139" spans="1:20" ht="15.75" customHeight="1">
      <c r="A139" s="240">
        <f>A138+1</f>
        <v>111</v>
      </c>
      <c r="B139" s="66" t="s">
        <v>323</v>
      </c>
      <c r="D139" s="86">
        <f>'[13]O&amp;M Comparison'!$C$10</f>
        <v>586727.88</v>
      </c>
      <c r="E139" s="96"/>
      <c r="F139" s="86"/>
      <c r="G139" s="86"/>
      <c r="H139" s="86">
        <f>SUM(H$122:H$132,H$99:H$119,H$48:H$93)</f>
        <v>-62318.195233008861</v>
      </c>
      <c r="I139" s="86"/>
      <c r="J139" s="86"/>
      <c r="K139" s="86"/>
      <c r="L139" s="86"/>
      <c r="M139" s="86"/>
      <c r="N139" s="86"/>
      <c r="O139" s="86"/>
      <c r="P139" s="86">
        <f>SUM(F139:O139)</f>
        <v>-62318.195233008861</v>
      </c>
    </row>
    <row r="140" spans="1:20" ht="15.75" customHeight="1">
      <c r="A140" s="240">
        <f>A139+1</f>
        <v>112</v>
      </c>
      <c r="B140" s="66" t="s">
        <v>324</v>
      </c>
      <c r="D140" s="86">
        <f>'[13]O&amp;M Comparison'!$C$25-D138-D139-D141</f>
        <v>5674233.4099999992</v>
      </c>
      <c r="E140" s="96"/>
      <c r="F140" s="86"/>
      <c r="G140" s="86"/>
      <c r="H140" s="86"/>
      <c r="I140" s="86"/>
      <c r="J140" s="86">
        <f>SUM(J$122:J$132,J$99:J$120,J$48:J$93)</f>
        <v>234379.63886950113</v>
      </c>
      <c r="K140" s="86"/>
      <c r="L140" s="86"/>
      <c r="M140" s="86"/>
      <c r="N140" s="86"/>
      <c r="O140" s="86"/>
      <c r="P140" s="86">
        <f>SUM(F140:O140)</f>
        <v>234379.63886950113</v>
      </c>
    </row>
    <row r="141" spans="1:20" ht="15.75" customHeight="1">
      <c r="A141" s="240">
        <f>A140+1</f>
        <v>113</v>
      </c>
      <c r="B141" s="66" t="s">
        <v>325</v>
      </c>
      <c r="D141" s="86">
        <f>'[13]O&amp;M Comparison'!$C$22</f>
        <v>369911.19170000002</v>
      </c>
      <c r="E141" s="96"/>
      <c r="F141" s="86"/>
      <c r="G141" s="86"/>
      <c r="H141" s="86"/>
      <c r="I141" s="86"/>
      <c r="J141" s="86"/>
      <c r="K141" s="86"/>
      <c r="L141" s="86">
        <f>L134</f>
        <v>-7798.9327663854347</v>
      </c>
      <c r="M141" s="86"/>
      <c r="N141" s="86"/>
      <c r="O141" s="86"/>
      <c r="P141" s="86">
        <f>SUM(F141:O141)</f>
        <v>-7798.9327663854347</v>
      </c>
    </row>
    <row r="142" spans="1:20" ht="15.75" customHeight="1">
      <c r="A142" s="240">
        <f>A141+1</f>
        <v>114</v>
      </c>
      <c r="B142" s="66" t="s">
        <v>807</v>
      </c>
      <c r="D142" s="125">
        <f>D121</f>
        <v>13526079.802595161</v>
      </c>
      <c r="E142" s="96"/>
      <c r="F142" s="125">
        <f>F144-F138</f>
        <v>-1.7535057850182056E-9</v>
      </c>
      <c r="G142" s="86"/>
      <c r="H142" s="125">
        <f>H144-H139</f>
        <v>42.345233008883952</v>
      </c>
      <c r="I142" s="86"/>
      <c r="J142" s="125">
        <f>J144-J140</f>
        <v>-271.02886949985987</v>
      </c>
      <c r="K142" s="86"/>
      <c r="L142" s="125"/>
      <c r="M142" s="86"/>
      <c r="N142" s="125">
        <f>N121</f>
        <v>486321.02766592428</v>
      </c>
      <c r="O142" s="86"/>
      <c r="P142" s="460">
        <f>SUM(F142:O142)</f>
        <v>486092.34402943158</v>
      </c>
    </row>
    <row r="143" spans="1:20" ht="15.75" customHeight="1">
      <c r="A143" s="240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</row>
    <row r="144" spans="1:20" ht="15.75" customHeight="1">
      <c r="A144" s="240">
        <f>A142+1</f>
        <v>115</v>
      </c>
      <c r="B144" s="66" t="s">
        <v>97</v>
      </c>
      <c r="D144" s="284">
        <f>SUM(D138:D142)</f>
        <v>26961891.38439516</v>
      </c>
      <c r="E144" s="96"/>
      <c r="F144" s="284">
        <f>D.2.2!D15</f>
        <v>-48012.612215550616</v>
      </c>
      <c r="G144" s="86"/>
      <c r="H144" s="284">
        <f>D.2.2!$D$21</f>
        <v>-62275.849999999977</v>
      </c>
      <c r="I144" s="86"/>
      <c r="J144" s="284">
        <f>D.2.2!$D$28</f>
        <v>234108.61000000127</v>
      </c>
      <c r="K144" s="86"/>
      <c r="L144" s="284">
        <f>D.2.2!$D$34</f>
        <v>-7798.9327663854347</v>
      </c>
      <c r="M144" s="86"/>
      <c r="N144" s="284">
        <f>D.2.2!$D$39</f>
        <v>486321.01700084656</v>
      </c>
      <c r="O144" s="86"/>
      <c r="P144" s="284">
        <f>SUM(P138:P142)</f>
        <v>602342.24268398958</v>
      </c>
    </row>
    <row r="145" spans="1:21" ht="15.75" customHeight="1">
      <c r="A145" s="240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</row>
    <row r="146" spans="1:21" ht="15.75" customHeight="1">
      <c r="A146" s="240">
        <f>A144+1</f>
        <v>116</v>
      </c>
      <c r="B146" s="66" t="s">
        <v>225</v>
      </c>
      <c r="D146" s="1014">
        <f>D40</f>
        <v>0.25740000000000002</v>
      </c>
      <c r="E146" s="96"/>
      <c r="F146" s="284">
        <f>F144*$D$146*-1</f>
        <v>12358.44638428273</v>
      </c>
      <c r="G146" s="96"/>
      <c r="H146" s="284">
        <f>H144*$D$146*-1</f>
        <v>16029.803789999994</v>
      </c>
      <c r="I146" s="86"/>
      <c r="J146" s="284">
        <f>J144*$D$146*-1</f>
        <v>-60259.556214000331</v>
      </c>
      <c r="K146" s="86"/>
      <c r="L146" s="284">
        <f>L144*$D$146*-1</f>
        <v>2007.445294067611</v>
      </c>
      <c r="M146" s="86"/>
      <c r="N146" s="284">
        <f>N144*$D$146*-1</f>
        <v>-125179.02977601791</v>
      </c>
      <c r="O146" s="86"/>
      <c r="P146" s="284">
        <f>P144*$D$146*-1</f>
        <v>-155042.89326685894</v>
      </c>
    </row>
    <row r="147" spans="1:21" ht="15.75" customHeight="1">
      <c r="A147" s="240"/>
      <c r="D147" s="96"/>
      <c r="E147" s="96"/>
      <c r="F147" s="96"/>
      <c r="G147" s="96"/>
      <c r="H147" s="86"/>
      <c r="I147" s="86"/>
      <c r="J147" s="86"/>
      <c r="K147" s="86"/>
      <c r="L147" s="86"/>
      <c r="M147" s="86"/>
      <c r="N147" s="86"/>
      <c r="O147" s="86"/>
      <c r="P147" s="86"/>
    </row>
    <row r="148" spans="1:21" ht="15.75" customHeight="1">
      <c r="A148" s="240">
        <f>A146+1</f>
        <v>117</v>
      </c>
      <c r="B148" s="66" t="s">
        <v>847</v>
      </c>
      <c r="D148" s="96"/>
      <c r="E148" s="96"/>
      <c r="F148" s="284">
        <f>F144+F146</f>
        <v>-35654.165831267885</v>
      </c>
      <c r="G148" s="96"/>
      <c r="H148" s="284">
        <f>H144+H146</f>
        <v>-46246.046209999986</v>
      </c>
      <c r="I148" s="96"/>
      <c r="J148" s="284">
        <f>J144+J146</f>
        <v>173849.05378600094</v>
      </c>
      <c r="K148" s="96"/>
      <c r="L148" s="284">
        <f>L144+L146</f>
        <v>-5791.4874723178236</v>
      </c>
      <c r="M148" s="96"/>
      <c r="N148" s="284">
        <f>N144+N146</f>
        <v>361141.98722482868</v>
      </c>
      <c r="O148" s="96"/>
      <c r="P148" s="284">
        <f>P144+P146</f>
        <v>447299.34941713064</v>
      </c>
    </row>
    <row r="149" spans="1:21" ht="15.75" customHeight="1">
      <c r="A149" s="240"/>
      <c r="B149" s="66"/>
      <c r="D149" s="96"/>
      <c r="E149" s="96"/>
      <c r="F149" s="284"/>
      <c r="G149" s="96"/>
      <c r="H149" s="284"/>
      <c r="I149" s="96"/>
      <c r="J149" s="284"/>
      <c r="K149" s="96"/>
      <c r="L149" s="284"/>
      <c r="M149" s="96"/>
      <c r="N149" s="284"/>
      <c r="O149" s="96"/>
      <c r="P149" s="284"/>
    </row>
    <row r="150" spans="1:21" ht="15.75" customHeight="1">
      <c r="D150" s="96"/>
      <c r="E150" s="96"/>
      <c r="F150" s="96"/>
      <c r="G150" s="96"/>
      <c r="H150" s="859" t="s">
        <v>219</v>
      </c>
      <c r="I150" s="96"/>
      <c r="J150" s="96"/>
      <c r="K150" s="96"/>
      <c r="L150" s="96"/>
      <c r="M150" s="96"/>
      <c r="N150" s="96"/>
      <c r="O150" s="96"/>
      <c r="P150" s="96"/>
    </row>
    <row r="151" spans="1:21" ht="15.75" customHeight="1">
      <c r="A151" s="240" t="s">
        <v>94</v>
      </c>
      <c r="B151" s="275" t="s">
        <v>1324</v>
      </c>
      <c r="D151" s="859" t="s">
        <v>45</v>
      </c>
      <c r="E151" s="96"/>
      <c r="F151" s="1087" t="s">
        <v>1100</v>
      </c>
      <c r="G151" s="1090"/>
      <c r="H151" s="1087" t="s">
        <v>1100</v>
      </c>
      <c r="I151" s="1088"/>
      <c r="J151" s="1084" t="s">
        <v>475</v>
      </c>
      <c r="K151" s="1085"/>
      <c r="L151" s="1087" t="s">
        <v>1098</v>
      </c>
      <c r="M151" s="1088"/>
      <c r="N151" s="1087" t="s">
        <v>1098</v>
      </c>
      <c r="O151" s="1090"/>
      <c r="P151" s="859" t="s">
        <v>97</v>
      </c>
    </row>
    <row r="152" spans="1:21" ht="15.75" customHeight="1">
      <c r="A152" s="1089" t="s">
        <v>100</v>
      </c>
      <c r="B152" s="276" t="s">
        <v>220</v>
      </c>
      <c r="C152" s="239"/>
      <c r="D152" s="977" t="s">
        <v>543</v>
      </c>
      <c r="E152" s="640"/>
      <c r="F152" s="977" t="s">
        <v>612</v>
      </c>
      <c r="G152" s="973" t="s">
        <v>327</v>
      </c>
      <c r="H152" s="977" t="s">
        <v>469</v>
      </c>
      <c r="I152" s="973"/>
      <c r="J152" s="1089" t="s">
        <v>470</v>
      </c>
      <c r="K152" s="238" t="s">
        <v>327</v>
      </c>
      <c r="L152" s="977" t="s">
        <v>471</v>
      </c>
      <c r="M152" s="973" t="s">
        <v>327</v>
      </c>
      <c r="N152" s="977" t="s">
        <v>472</v>
      </c>
      <c r="O152" s="640"/>
      <c r="P152" s="977" t="s">
        <v>476</v>
      </c>
      <c r="U152" s="284"/>
    </row>
    <row r="153" spans="1:21" ht="15.75" customHeight="1">
      <c r="B153" s="278"/>
      <c r="D153" s="1096"/>
      <c r="E153" s="96"/>
      <c r="F153" s="96"/>
      <c r="G153" s="1096"/>
      <c r="H153" s="96"/>
      <c r="I153" s="1092"/>
      <c r="J153" s="96"/>
      <c r="K153" s="1097"/>
      <c r="L153" s="96"/>
      <c r="M153" s="1092"/>
      <c r="N153" s="96"/>
      <c r="O153" s="1096"/>
      <c r="P153" s="96"/>
    </row>
    <row r="154" spans="1:21" ht="15.75" customHeight="1">
      <c r="B154" s="278"/>
      <c r="D154" s="1096"/>
      <c r="E154" s="96"/>
      <c r="F154" s="96"/>
      <c r="G154" s="1096"/>
      <c r="H154" s="96"/>
      <c r="I154" s="1092"/>
      <c r="J154" s="96"/>
      <c r="K154" s="1097"/>
      <c r="L154" s="96"/>
      <c r="M154" s="1092"/>
      <c r="N154" s="96"/>
      <c r="O154" s="1096"/>
      <c r="P154" s="96"/>
    </row>
    <row r="155" spans="1:21" ht="15.75" customHeight="1">
      <c r="A155" s="240">
        <f>A148+1</f>
        <v>118</v>
      </c>
      <c r="B155" s="66" t="s">
        <v>23</v>
      </c>
      <c r="D155" s="352">
        <f>'C.2.1 B'!D175</f>
        <v>18849734.532483872</v>
      </c>
      <c r="E155" s="96"/>
      <c r="F155" s="86">
        <f>D.2.3!D15</f>
        <v>2662196.59846396</v>
      </c>
      <c r="G155" s="1092"/>
      <c r="H155" s="86"/>
      <c r="I155" s="86"/>
      <c r="J155" s="86"/>
      <c r="K155" s="1097"/>
      <c r="L155" s="96"/>
      <c r="M155" s="86"/>
      <c r="N155" s="96"/>
      <c r="O155" s="1096"/>
      <c r="P155" s="86">
        <f>SUM(F155:O155)</f>
        <v>2662196.59846396</v>
      </c>
    </row>
    <row r="156" spans="1:21" ht="15.75" customHeight="1">
      <c r="A156" s="240">
        <f>A155+1</f>
        <v>119</v>
      </c>
      <c r="B156" s="275" t="s">
        <v>514</v>
      </c>
      <c r="D156" s="86">
        <v>0</v>
      </c>
      <c r="E156" s="96"/>
      <c r="F156" s="86"/>
      <c r="G156" s="86"/>
      <c r="H156" s="86"/>
      <c r="I156" s="1092"/>
      <c r="J156" s="96"/>
      <c r="K156" s="1098"/>
      <c r="L156" s="96"/>
      <c r="M156" s="1092"/>
      <c r="N156" s="96"/>
      <c r="O156" s="1096"/>
      <c r="P156" s="86">
        <f>SUM(F156:O156)</f>
        <v>0</v>
      </c>
    </row>
    <row r="157" spans="1:21" ht="15.75" customHeight="1">
      <c r="A157" s="240">
        <f t="shared" ref="A157:A172" si="5">A156+1</f>
        <v>120</v>
      </c>
      <c r="B157" s="66" t="s">
        <v>167</v>
      </c>
      <c r="D157" s="1099">
        <f>'C.2.2 B 09'!P15</f>
        <v>24790.560000000005</v>
      </c>
      <c r="E157" s="96"/>
      <c r="F157" s="125"/>
      <c r="G157" s="1092"/>
      <c r="H157" s="125"/>
      <c r="I157" s="1092"/>
      <c r="J157" s="640"/>
      <c r="K157" s="1098"/>
      <c r="L157" s="640"/>
      <c r="M157" s="1092"/>
      <c r="N157" s="640"/>
      <c r="O157" s="1096"/>
      <c r="P157" s="125">
        <f>SUM(F157:O157)</f>
        <v>0</v>
      </c>
    </row>
    <row r="158" spans="1:21" ht="15.75" customHeight="1">
      <c r="A158" s="240">
        <f t="shared" si="5"/>
        <v>121</v>
      </c>
      <c r="D158" s="1092"/>
      <c r="E158" s="96"/>
      <c r="F158" s="86"/>
      <c r="G158" s="1092"/>
      <c r="H158" s="86"/>
      <c r="I158" s="1092"/>
      <c r="J158" s="1096"/>
      <c r="K158" s="1097"/>
      <c r="L158" s="96"/>
      <c r="M158" s="1092"/>
      <c r="N158" s="96"/>
      <c r="O158" s="1096"/>
      <c r="P158" s="86"/>
    </row>
    <row r="159" spans="1:21" ht="15.75" customHeight="1">
      <c r="A159" s="240">
        <f t="shared" si="5"/>
        <v>122</v>
      </c>
      <c r="B159" s="66" t="s">
        <v>492</v>
      </c>
      <c r="D159" s="1100">
        <f>SUM(D155:D157)</f>
        <v>18874525.092483871</v>
      </c>
      <c r="E159" s="96"/>
      <c r="F159" s="1100">
        <f>SUM(F155:F157)</f>
        <v>2662196.59846396</v>
      </c>
      <c r="G159" s="1092"/>
      <c r="H159" s="1100"/>
      <c r="I159" s="96"/>
      <c r="J159" s="1100"/>
      <c r="K159" s="1097"/>
      <c r="L159" s="1100"/>
      <c r="M159" s="96"/>
      <c r="N159" s="1100"/>
      <c r="O159" s="1092"/>
      <c r="P159" s="284">
        <f>SUM(F159:O159)</f>
        <v>2662196.59846396</v>
      </c>
    </row>
    <row r="160" spans="1:21" ht="15.75" customHeight="1">
      <c r="A160" s="240">
        <f t="shared" si="5"/>
        <v>123</v>
      </c>
      <c r="D160" s="1092"/>
      <c r="E160" s="96"/>
      <c r="F160" s="86"/>
      <c r="G160" s="1092"/>
      <c r="H160" s="86"/>
      <c r="I160" s="1092"/>
      <c r="J160" s="96"/>
      <c r="K160" s="1097"/>
      <c r="L160" s="96"/>
      <c r="M160" s="1092"/>
      <c r="N160" s="96"/>
      <c r="O160" s="1096"/>
      <c r="P160" s="96"/>
    </row>
    <row r="161" spans="1:16" ht="15.75" customHeight="1">
      <c r="A161" s="240">
        <f t="shared" si="5"/>
        <v>124</v>
      </c>
      <c r="B161" s="275" t="s">
        <v>225</v>
      </c>
      <c r="D161" s="1014">
        <f>D40</f>
        <v>0.25740000000000002</v>
      </c>
      <c r="E161" s="96"/>
      <c r="F161" s="284">
        <f>F159*$D$161</f>
        <v>685249.40444462339</v>
      </c>
      <c r="G161" s="1092"/>
      <c r="H161" s="284"/>
      <c r="I161" s="1092"/>
      <c r="J161" s="284"/>
      <c r="K161" s="1092"/>
      <c r="L161" s="284"/>
      <c r="M161" s="86"/>
      <c r="N161" s="284"/>
      <c r="O161" s="1092"/>
      <c r="P161" s="284">
        <f>P159*$D$161</f>
        <v>685249.40444462339</v>
      </c>
    </row>
    <row r="162" spans="1:16" ht="15.75" customHeight="1">
      <c r="A162" s="240">
        <f t="shared" si="5"/>
        <v>125</v>
      </c>
      <c r="B162" s="278"/>
      <c r="D162" s="1101"/>
      <c r="E162" s="96"/>
      <c r="F162" s="86"/>
      <c r="G162" s="1092"/>
      <c r="H162" s="86"/>
      <c r="I162" s="1092"/>
      <c r="J162" s="96"/>
      <c r="K162" s="1097"/>
      <c r="L162" s="96"/>
      <c r="M162" s="1092"/>
      <c r="N162" s="96"/>
      <c r="O162" s="1096"/>
      <c r="P162" s="96"/>
    </row>
    <row r="163" spans="1:16" ht="15.75" customHeight="1">
      <c r="A163" s="240">
        <f t="shared" si="5"/>
        <v>126</v>
      </c>
      <c r="B163" s="275" t="s">
        <v>847</v>
      </c>
      <c r="D163" s="1092"/>
      <c r="E163" s="96"/>
      <c r="F163" s="284">
        <f>F159-F161</f>
        <v>1976947.1940193367</v>
      </c>
      <c r="G163" s="1092"/>
      <c r="H163" s="284"/>
      <c r="I163" s="1092"/>
      <c r="J163" s="284"/>
      <c r="K163" s="1092"/>
      <c r="L163" s="284"/>
      <c r="M163" s="1092"/>
      <c r="N163" s="284"/>
      <c r="O163" s="1092"/>
      <c r="P163" s="284">
        <f>P159-P161</f>
        <v>1976947.1940193367</v>
      </c>
    </row>
    <row r="164" spans="1:16" ht="15.75" customHeight="1">
      <c r="A164" s="240">
        <f t="shared" si="5"/>
        <v>127</v>
      </c>
      <c r="B164" s="278"/>
      <c r="D164" s="1092"/>
      <c r="E164" s="96"/>
      <c r="F164" s="86"/>
      <c r="G164" s="1092"/>
      <c r="H164" s="86"/>
      <c r="I164" s="1092"/>
      <c r="J164" s="96"/>
      <c r="K164" s="1097"/>
      <c r="L164" s="96"/>
      <c r="M164" s="1092"/>
      <c r="N164" s="96"/>
      <c r="O164" s="1096"/>
      <c r="P164" s="96"/>
    </row>
    <row r="165" spans="1:16" ht="15.75" customHeight="1">
      <c r="A165" s="240">
        <f t="shared" si="5"/>
        <v>128</v>
      </c>
      <c r="D165" s="96"/>
      <c r="E165" s="96"/>
      <c r="F165" s="86"/>
      <c r="G165" s="1092"/>
      <c r="H165" s="86"/>
      <c r="I165" s="86"/>
      <c r="J165" s="96"/>
      <c r="K165" s="1097"/>
      <c r="L165" s="96"/>
      <c r="M165" s="86"/>
      <c r="N165" s="1096"/>
      <c r="O165" s="1096"/>
      <c r="P165" s="96"/>
    </row>
    <row r="166" spans="1:16" ht="15.75" customHeight="1">
      <c r="A166" s="240">
        <f t="shared" si="5"/>
        <v>129</v>
      </c>
      <c r="B166" s="278"/>
      <c r="D166" s="86"/>
      <c r="E166" s="96"/>
      <c r="F166" s="86"/>
      <c r="G166" s="86"/>
      <c r="H166" s="1092"/>
      <c r="I166" s="96"/>
      <c r="J166" s="96"/>
      <c r="K166" s="96"/>
      <c r="L166" s="96"/>
      <c r="M166" s="96"/>
      <c r="N166" s="96"/>
      <c r="O166" s="96"/>
      <c r="P166" s="96"/>
    </row>
    <row r="167" spans="1:16" ht="15.75" customHeight="1">
      <c r="A167" s="240">
        <f t="shared" si="5"/>
        <v>130</v>
      </c>
      <c r="D167" s="86"/>
      <c r="E167" s="96"/>
      <c r="F167" s="86"/>
      <c r="G167" s="86"/>
      <c r="H167" s="1092"/>
      <c r="I167" s="96"/>
      <c r="J167" s="96"/>
      <c r="K167" s="96"/>
      <c r="L167" s="96"/>
      <c r="M167" s="96"/>
      <c r="N167" s="96"/>
      <c r="O167" s="96"/>
      <c r="P167" s="96"/>
    </row>
    <row r="168" spans="1:16" ht="15.75" customHeight="1">
      <c r="A168" s="240">
        <f t="shared" si="5"/>
        <v>131</v>
      </c>
      <c r="B168" s="275" t="s">
        <v>575</v>
      </c>
      <c r="D168" s="1100">
        <f>'C.2.2 B 09'!P16</f>
        <v>4830375.4565365165</v>
      </c>
      <c r="E168" s="96"/>
      <c r="F168" s="284"/>
      <c r="G168" s="86"/>
      <c r="H168" s="1100">
        <f>D.2.3!D20</f>
        <v>1736069.8086042963</v>
      </c>
      <c r="I168" s="96"/>
      <c r="J168" s="1102"/>
      <c r="K168" s="96"/>
      <c r="L168" s="1102"/>
      <c r="M168" s="96"/>
      <c r="N168" s="1102"/>
      <c r="O168" s="96"/>
      <c r="P168" s="284">
        <f>SUM(F168:O168)</f>
        <v>1736069.8086042963</v>
      </c>
    </row>
    <row r="169" spans="1:16" ht="15.75" customHeight="1">
      <c r="A169" s="240">
        <f t="shared" si="5"/>
        <v>132</v>
      </c>
      <c r="D169" s="86"/>
      <c r="E169" s="96"/>
      <c r="F169" s="86"/>
      <c r="G169" s="86"/>
      <c r="H169" s="1092"/>
      <c r="I169" s="96"/>
      <c r="J169" s="96"/>
      <c r="K169" s="96"/>
      <c r="L169" s="96"/>
      <c r="M169" s="96"/>
      <c r="N169" s="96"/>
      <c r="O169" s="96"/>
      <c r="P169" s="96"/>
    </row>
    <row r="170" spans="1:16" ht="15.75" customHeight="1">
      <c r="A170" s="240">
        <f t="shared" si="5"/>
        <v>133</v>
      </c>
      <c r="B170" s="275" t="s">
        <v>225</v>
      </c>
      <c r="D170" s="1014">
        <f>D40</f>
        <v>0.25740000000000002</v>
      </c>
      <c r="E170" s="96"/>
      <c r="F170" s="284"/>
      <c r="G170" s="86"/>
      <c r="H170" s="284">
        <f>H168*$D$170</f>
        <v>446864.36873474589</v>
      </c>
      <c r="I170" s="96"/>
      <c r="J170" s="284"/>
      <c r="K170" s="86"/>
      <c r="L170" s="284"/>
      <c r="M170" s="96"/>
      <c r="N170" s="284"/>
      <c r="O170" s="86"/>
      <c r="P170" s="284">
        <f>P168*$D$170</f>
        <v>446864.36873474589</v>
      </c>
    </row>
    <row r="171" spans="1:16" ht="15.75" customHeight="1">
      <c r="A171" s="240">
        <f t="shared" si="5"/>
        <v>134</v>
      </c>
      <c r="B171" s="278"/>
      <c r="D171" s="1101"/>
      <c r="E171" s="96"/>
      <c r="F171" s="86"/>
      <c r="G171" s="86"/>
      <c r="H171" s="86"/>
      <c r="I171" s="96"/>
      <c r="J171" s="86"/>
      <c r="K171" s="86"/>
      <c r="L171" s="86"/>
      <c r="M171" s="96"/>
      <c r="N171" s="86"/>
      <c r="O171" s="86"/>
      <c r="P171" s="86"/>
    </row>
    <row r="172" spans="1:16" ht="15.75" customHeight="1">
      <c r="A172" s="240">
        <f t="shared" si="5"/>
        <v>135</v>
      </c>
      <c r="B172" s="275" t="s">
        <v>847</v>
      </c>
      <c r="D172" s="1103"/>
      <c r="F172" s="1104"/>
      <c r="G172" s="1103"/>
      <c r="H172" s="1104">
        <f>H168-H170</f>
        <v>1289205.4398695505</v>
      </c>
      <c r="I172" s="278"/>
      <c r="J172" s="1104"/>
      <c r="K172" s="1103"/>
      <c r="L172" s="1104"/>
      <c r="M172" s="278"/>
      <c r="N172" s="1104"/>
      <c r="O172" s="1103"/>
      <c r="P172" s="1104">
        <f>P168-P170</f>
        <v>1289205.4398695505</v>
      </c>
    </row>
    <row r="173" spans="1:16" ht="15.75" customHeight="1">
      <c r="A173" s="240"/>
      <c r="B173" s="278"/>
      <c r="D173" s="63"/>
      <c r="F173" s="63"/>
      <c r="G173" s="1103"/>
      <c r="H173" s="63"/>
      <c r="I173" s="278"/>
      <c r="K173" s="278"/>
      <c r="M173" s="278"/>
      <c r="O173" s="278"/>
    </row>
    <row r="174" spans="1:16" ht="15.75" customHeight="1">
      <c r="A174" s="240"/>
      <c r="D174" s="1103"/>
      <c r="F174" s="63"/>
      <c r="G174" s="63"/>
      <c r="H174" s="63"/>
      <c r="I174" s="278"/>
      <c r="K174" s="278"/>
      <c r="M174" s="278"/>
      <c r="O174" s="278"/>
    </row>
    <row r="175" spans="1:16" ht="15.75" customHeight="1">
      <c r="A175" s="240"/>
      <c r="D175" s="63"/>
      <c r="F175" s="63"/>
      <c r="G175" s="1103"/>
      <c r="H175" s="63"/>
      <c r="I175" s="278"/>
      <c r="K175" s="278"/>
      <c r="M175" s="278"/>
    </row>
    <row r="176" spans="1:16" ht="15.75" customHeight="1">
      <c r="A176" s="240"/>
      <c r="D176" s="1103"/>
      <c r="F176" s="63"/>
      <c r="G176" s="1103"/>
      <c r="H176" s="63"/>
    </row>
    <row r="177" spans="1:15" ht="15.75" customHeight="1">
      <c r="A177" s="240"/>
      <c r="B177" s="62" t="s">
        <v>1286</v>
      </c>
      <c r="D177" s="1103"/>
      <c r="G177" s="278"/>
      <c r="I177" s="1103"/>
      <c r="K177" s="1105"/>
      <c r="M177" s="1103"/>
      <c r="O177" s="278"/>
    </row>
    <row r="178" spans="1:15" ht="15.75" customHeight="1">
      <c r="C178" s="62" t="s">
        <v>1646</v>
      </c>
    </row>
  </sheetData>
  <phoneticPr fontId="22" type="noConversion"/>
  <printOptions horizontalCentered="1"/>
  <pageMargins left="0.64" right="0.5" top="1" bottom="0.5" header="0.5" footer="0.5"/>
  <pageSetup scale="48" fitToHeight="0" orientation="portrait" verticalDpi="300" r:id="rId1"/>
  <headerFooter alignWithMargins="0">
    <oddFooter>&amp;RSchedule &amp;A
Page &amp;P of &amp;N</oddFooter>
  </headerFooter>
  <rowBreaks count="5" manualBreakCount="5">
    <brk id="42" max="15" man="1"/>
    <brk id="93" max="15" man="1"/>
    <brk id="148" max="15" man="1"/>
    <brk id="185" max="25" man="1"/>
    <brk id="239" max="2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O112"/>
  <sheetViews>
    <sheetView view="pageBreakPreview" zoomScale="60" zoomScaleNormal="90" workbookViewId="0">
      <pane ySplit="11" topLeftCell="A21" activePane="bottomLeft" state="frozen"/>
      <selection activeCell="H168" sqref="H168"/>
      <selection pane="bottomLeft" activeCell="B35" sqref="B35"/>
    </sheetView>
  </sheetViews>
  <sheetFormatPr defaultColWidth="7.109375" defaultRowHeight="15.75" customHeight="1"/>
  <cols>
    <col min="1" max="1" width="3.77734375" style="1" customWidth="1"/>
    <col min="2" max="2" width="82.33203125" style="1" bestFit="1" customWidth="1"/>
    <col min="3" max="3" width="11.88671875" style="1" customWidth="1"/>
    <col min="4" max="4" width="12.44140625" style="1" customWidth="1"/>
    <col min="5" max="11" width="7.109375" style="1"/>
    <col min="12" max="12" width="7.88671875" style="1" customWidth="1"/>
    <col min="13" max="13" width="8.5546875" style="1" customWidth="1"/>
    <col min="14" max="16384" width="7.109375" style="1"/>
  </cols>
  <sheetData>
    <row r="1" spans="1:6" ht="15.75" customHeight="1">
      <c r="A1" s="1190" t="str">
        <f>'Table of Contents'!A1:C1</f>
        <v>Atmos Energy Corporation, Kentucky/Mid-States Division</v>
      </c>
      <c r="B1" s="1190"/>
      <c r="C1" s="1190"/>
      <c r="D1" s="1190"/>
      <c r="E1" s="30"/>
      <c r="F1"/>
    </row>
    <row r="2" spans="1:6" ht="15.75" customHeight="1">
      <c r="A2" s="1190" t="str">
        <f>'Table of Contents'!A2:C2</f>
        <v>Kentucky Jurisdiction Case No. 2017-00349</v>
      </c>
      <c r="B2" s="1190"/>
      <c r="C2" s="1190"/>
      <c r="D2" s="1190"/>
      <c r="E2" s="30"/>
      <c r="F2"/>
    </row>
    <row r="3" spans="1:6" ht="15.75" customHeight="1">
      <c r="A3" s="1190" t="s">
        <v>435</v>
      </c>
      <c r="B3" s="1190"/>
      <c r="C3" s="1190"/>
      <c r="D3" s="1190"/>
      <c r="E3" s="30"/>
      <c r="F3"/>
    </row>
    <row r="4" spans="1:6" ht="15.75" customHeight="1">
      <c r="A4" s="1190" t="str">
        <f>Allocation!A4</f>
        <v>Forecasted Test Period: Twelve Months Ended March 31, 2019</v>
      </c>
      <c r="B4" s="1190"/>
      <c r="C4" s="1190"/>
      <c r="D4" s="1190"/>
      <c r="E4" s="30"/>
      <c r="F4"/>
    </row>
    <row r="5" spans="1:6" ht="15.75" customHeight="1">
      <c r="B5" s="187"/>
      <c r="C5" s="30"/>
      <c r="D5" s="30"/>
      <c r="E5" s="30"/>
      <c r="F5"/>
    </row>
    <row r="6" spans="1:6" ht="15.75" customHeight="1">
      <c r="D6" s="35"/>
      <c r="F6"/>
    </row>
    <row r="7" spans="1:6" ht="15.75" customHeight="1">
      <c r="B7" s="4" t="s">
        <v>473</v>
      </c>
      <c r="D7" s="546" t="s">
        <v>1458</v>
      </c>
      <c r="F7"/>
    </row>
    <row r="8" spans="1:6" ht="15.75" customHeight="1">
      <c r="B8" s="4" t="s">
        <v>545</v>
      </c>
      <c r="D8" s="496" t="s">
        <v>256</v>
      </c>
      <c r="F8"/>
    </row>
    <row r="9" spans="1:6" ht="15.75" customHeight="1">
      <c r="A9" s="33"/>
      <c r="B9" s="4" t="s">
        <v>369</v>
      </c>
      <c r="C9" s="33"/>
      <c r="D9" s="496" t="str">
        <f>D.1!P9</f>
        <v>Witness:  Waller, Martin</v>
      </c>
      <c r="E9" s="35"/>
      <c r="F9"/>
    </row>
    <row r="10" spans="1:6" ht="15.75" customHeight="1">
      <c r="A10" s="1" t="s">
        <v>1087</v>
      </c>
      <c r="B10" s="13"/>
      <c r="C10" s="35"/>
      <c r="D10" s="59"/>
      <c r="E10" s="35"/>
      <c r="F10"/>
    </row>
    <row r="11" spans="1:6" ht="15.75" customHeight="1">
      <c r="A11" s="33" t="s">
        <v>1088</v>
      </c>
      <c r="B11" s="251" t="s">
        <v>609</v>
      </c>
      <c r="C11" s="6"/>
      <c r="D11" s="9" t="s">
        <v>105</v>
      </c>
      <c r="E11" s="35"/>
      <c r="F11"/>
    </row>
    <row r="12" spans="1:6" ht="15.75" customHeight="1">
      <c r="A12" s="54">
        <v>1</v>
      </c>
      <c r="B12" s="197" t="s">
        <v>610</v>
      </c>
      <c r="F12"/>
    </row>
    <row r="13" spans="1:6" ht="15.75" customHeight="1">
      <c r="A13" s="54">
        <f>A12+1</f>
        <v>2</v>
      </c>
      <c r="B13" s="88" t="s">
        <v>1295</v>
      </c>
      <c r="C13" s="88" t="s">
        <v>44</v>
      </c>
      <c r="D13" s="580">
        <f>'C.2.1 F'!D15</f>
        <v>98377919.415192276</v>
      </c>
      <c r="F13"/>
    </row>
    <row r="14" spans="1:6" ht="15.75" customHeight="1">
      <c r="A14" s="762">
        <f t="shared" ref="A14:A72" si="0">A13+1</f>
        <v>3</v>
      </c>
      <c r="B14" s="88" t="s">
        <v>1658</v>
      </c>
      <c r="C14" s="88" t="s">
        <v>45</v>
      </c>
      <c r="D14" s="83">
        <f>'C.2.1 B'!D15</f>
        <v>92003987.593029201</v>
      </c>
      <c r="F14"/>
    </row>
    <row r="15" spans="1:6" ht="15.75" customHeight="1">
      <c r="A15" s="762">
        <f t="shared" si="0"/>
        <v>4</v>
      </c>
      <c r="B15" s="81"/>
      <c r="C15" s="88" t="s">
        <v>151</v>
      </c>
      <c r="D15" s="580">
        <f>D13-D14</f>
        <v>6373931.8221630752</v>
      </c>
      <c r="F15"/>
    </row>
    <row r="16" spans="1:6" ht="15.75" customHeight="1">
      <c r="A16" s="762">
        <f t="shared" si="0"/>
        <v>5</v>
      </c>
      <c r="B16" s="81"/>
      <c r="C16" s="81"/>
      <c r="D16" s="166">
        <f>D15/D14</f>
        <v>6.9278864850483984E-2</v>
      </c>
      <c r="F16"/>
    </row>
    <row r="17" spans="1:6" ht="15.75" customHeight="1">
      <c r="A17" s="762">
        <f t="shared" si="0"/>
        <v>6</v>
      </c>
      <c r="B17" s="81"/>
      <c r="C17" s="81"/>
      <c r="D17" s="166"/>
      <c r="F17"/>
    </row>
    <row r="18" spans="1:6" ht="15.75" customHeight="1">
      <c r="A18" s="762">
        <f t="shared" si="0"/>
        <v>7</v>
      </c>
      <c r="B18" s="88" t="s">
        <v>1296</v>
      </c>
      <c r="C18" s="88" t="s">
        <v>44</v>
      </c>
      <c r="D18" s="580">
        <f>'C.2.1 F'!D16</f>
        <v>40637063.73720403</v>
      </c>
      <c r="F18"/>
    </row>
    <row r="19" spans="1:6" ht="15.75" customHeight="1">
      <c r="A19" s="762">
        <f t="shared" si="0"/>
        <v>8</v>
      </c>
      <c r="B19" s="88" t="s">
        <v>1658</v>
      </c>
      <c r="C19" s="88" t="s">
        <v>45</v>
      </c>
      <c r="D19" s="83">
        <f>'C.2.1 B'!D17</f>
        <v>38443047.651499577</v>
      </c>
      <c r="F19"/>
    </row>
    <row r="20" spans="1:6" ht="15.75" customHeight="1">
      <c r="A20" s="762">
        <f t="shared" si="0"/>
        <v>9</v>
      </c>
      <c r="B20" s="81"/>
      <c r="C20" s="88" t="s">
        <v>151</v>
      </c>
      <c r="D20" s="580">
        <f>D18-D19</f>
        <v>2194016.0857044533</v>
      </c>
      <c r="F20"/>
    </row>
    <row r="21" spans="1:6" ht="15.75" customHeight="1">
      <c r="A21" s="762">
        <f t="shared" si="0"/>
        <v>10</v>
      </c>
      <c r="B21" s="81"/>
      <c r="C21" s="81"/>
      <c r="D21" s="166">
        <f>D20/D19</f>
        <v>5.7071856154434455E-2</v>
      </c>
      <c r="F21"/>
    </row>
    <row r="22" spans="1:6" ht="15.75" customHeight="1">
      <c r="A22" s="762">
        <f t="shared" si="0"/>
        <v>11</v>
      </c>
      <c r="B22" s="81"/>
      <c r="C22" s="81"/>
      <c r="D22" s="166"/>
      <c r="F22"/>
    </row>
    <row r="23" spans="1:6" ht="15.75" customHeight="1">
      <c r="A23" s="762">
        <f t="shared" si="0"/>
        <v>12</v>
      </c>
      <c r="B23" s="88" t="s">
        <v>1297</v>
      </c>
      <c r="C23" s="88" t="s">
        <v>44</v>
      </c>
      <c r="D23" s="580">
        <f>'C.2.1 F'!D17</f>
        <v>5286755.3393530753</v>
      </c>
      <c r="F23"/>
    </row>
    <row r="24" spans="1:6" ht="15.75" customHeight="1">
      <c r="A24" s="762">
        <f t="shared" si="0"/>
        <v>13</v>
      </c>
      <c r="B24" s="88" t="s">
        <v>1687</v>
      </c>
      <c r="C24" s="88" t="s">
        <v>45</v>
      </c>
      <c r="D24" s="83">
        <f>'C.2.1 B'!D18</f>
        <v>6816385.5647433177</v>
      </c>
      <c r="F24"/>
    </row>
    <row r="25" spans="1:6" ht="15.75" customHeight="1">
      <c r="A25" s="762">
        <f t="shared" si="0"/>
        <v>14</v>
      </c>
      <c r="B25" s="81" t="s">
        <v>1659</v>
      </c>
      <c r="C25" s="88" t="s">
        <v>151</v>
      </c>
      <c r="D25" s="580">
        <f>D23-D24</f>
        <v>-1529630.2253902424</v>
      </c>
      <c r="F25"/>
    </row>
    <row r="26" spans="1:6" ht="15.75" customHeight="1">
      <c r="A26" s="762">
        <f t="shared" si="0"/>
        <v>15</v>
      </c>
      <c r="B26" s="81"/>
      <c r="C26" s="81"/>
      <c r="D26" s="166">
        <f>D25/D24</f>
        <v>-0.22440488597094832</v>
      </c>
      <c r="F26"/>
    </row>
    <row r="27" spans="1:6" ht="15.75" customHeight="1">
      <c r="A27" s="762">
        <f t="shared" si="0"/>
        <v>16</v>
      </c>
      <c r="B27" s="81"/>
      <c r="C27" s="81"/>
      <c r="D27" s="166"/>
      <c r="F27"/>
    </row>
    <row r="28" spans="1:6" ht="15.75" customHeight="1">
      <c r="A28" s="762">
        <f t="shared" si="0"/>
        <v>17</v>
      </c>
      <c r="B28" s="88" t="s">
        <v>1298</v>
      </c>
      <c r="C28" s="88" t="s">
        <v>44</v>
      </c>
      <c r="D28" s="580">
        <f>'C.2.1 F'!D18</f>
        <v>6847372.3870250378</v>
      </c>
      <c r="F28"/>
    </row>
    <row r="29" spans="1:6" ht="15.75" customHeight="1">
      <c r="A29" s="762">
        <f t="shared" si="0"/>
        <v>18</v>
      </c>
      <c r="B29" s="88" t="s">
        <v>1660</v>
      </c>
      <c r="C29" s="88" t="s">
        <v>45</v>
      </c>
      <c r="D29" s="83">
        <f>'C.2.1 B'!D21</f>
        <v>6397243.3093471676</v>
      </c>
      <c r="F29"/>
    </row>
    <row r="30" spans="1:6" ht="15.75" customHeight="1">
      <c r="A30" s="762">
        <f t="shared" si="0"/>
        <v>19</v>
      </c>
      <c r="B30" s="81"/>
      <c r="C30" s="88" t="s">
        <v>151</v>
      </c>
      <c r="D30" s="580">
        <f>D28-D29</f>
        <v>450129.07767787017</v>
      </c>
      <c r="F30"/>
    </row>
    <row r="31" spans="1:6" ht="15.75" customHeight="1">
      <c r="A31" s="762">
        <f t="shared" si="0"/>
        <v>20</v>
      </c>
      <c r="B31" s="81"/>
      <c r="C31" s="81"/>
      <c r="D31" s="166">
        <f>D30/D29</f>
        <v>7.0362976036908845E-2</v>
      </c>
      <c r="F31"/>
    </row>
    <row r="32" spans="1:6" ht="15.75" customHeight="1">
      <c r="A32" s="762">
        <f t="shared" si="0"/>
        <v>21</v>
      </c>
      <c r="B32" s="81"/>
      <c r="C32" s="81"/>
      <c r="D32" s="166"/>
      <c r="F32"/>
    </row>
    <row r="33" spans="1:6" ht="15.75" customHeight="1">
      <c r="A33" s="762">
        <f t="shared" si="0"/>
        <v>22</v>
      </c>
      <c r="B33" s="81" t="s">
        <v>658</v>
      </c>
      <c r="C33" s="88" t="s">
        <v>44</v>
      </c>
      <c r="D33" s="580">
        <v>0</v>
      </c>
      <c r="F33"/>
    </row>
    <row r="34" spans="1:6" ht="15.75" customHeight="1">
      <c r="A34" s="762">
        <f t="shared" si="0"/>
        <v>23</v>
      </c>
      <c r="B34" s="81"/>
      <c r="C34" s="88" t="s">
        <v>45</v>
      </c>
      <c r="D34" s="83">
        <v>0</v>
      </c>
      <c r="F34"/>
    </row>
    <row r="35" spans="1:6" ht="15.75" customHeight="1">
      <c r="A35" s="762">
        <f t="shared" si="0"/>
        <v>24</v>
      </c>
      <c r="B35" s="81"/>
      <c r="C35" s="88" t="s">
        <v>151</v>
      </c>
      <c r="D35" s="580">
        <f>D33-D34</f>
        <v>0</v>
      </c>
      <c r="F35"/>
    </row>
    <row r="36" spans="1:6" ht="15.75" customHeight="1">
      <c r="A36" s="762">
        <f t="shared" si="0"/>
        <v>25</v>
      </c>
      <c r="B36" s="81"/>
      <c r="C36" s="81"/>
      <c r="D36" s="581">
        <f>IF(D34=0,0,D35/D34)</f>
        <v>0</v>
      </c>
      <c r="F36"/>
    </row>
    <row r="37" spans="1:6" ht="15.75" customHeight="1">
      <c r="A37" s="762">
        <f t="shared" si="0"/>
        <v>26</v>
      </c>
      <c r="B37" s="600" t="s">
        <v>611</v>
      </c>
      <c r="C37" s="81"/>
      <c r="D37" s="81"/>
      <c r="F37"/>
    </row>
    <row r="38" spans="1:6" ht="15.75" customHeight="1">
      <c r="A38" s="762">
        <f t="shared" si="0"/>
        <v>27</v>
      </c>
      <c r="B38" s="81" t="s">
        <v>1301</v>
      </c>
      <c r="C38" s="88" t="s">
        <v>44</v>
      </c>
      <c r="D38" s="580">
        <f>'C.2.1 F'!D22</f>
        <v>1297964.1796976668</v>
      </c>
      <c r="F38"/>
    </row>
    <row r="39" spans="1:6" ht="15.75" customHeight="1">
      <c r="A39" s="762">
        <f t="shared" si="0"/>
        <v>28</v>
      </c>
      <c r="B39" s="81" t="s">
        <v>1302</v>
      </c>
      <c r="C39" s="88" t="s">
        <v>45</v>
      </c>
      <c r="D39" s="83">
        <f>'C.2.1 B'!D26</f>
        <v>1231451.7485199214</v>
      </c>
      <c r="F39"/>
    </row>
    <row r="40" spans="1:6" ht="15.75" customHeight="1">
      <c r="A40" s="762">
        <f t="shared" si="0"/>
        <v>29</v>
      </c>
      <c r="B40" s="81"/>
      <c r="C40" s="88" t="s">
        <v>151</v>
      </c>
      <c r="D40" s="580">
        <f>D38-D39</f>
        <v>66512.43117774534</v>
      </c>
      <c r="F40"/>
    </row>
    <row r="41" spans="1:6" ht="15.75" customHeight="1">
      <c r="A41" s="762">
        <f t="shared" si="0"/>
        <v>30</v>
      </c>
      <c r="B41" s="81"/>
      <c r="C41" s="81"/>
      <c r="D41" s="166">
        <f>D40/D39</f>
        <v>5.4011398544592963E-2</v>
      </c>
      <c r="F41"/>
    </row>
    <row r="42" spans="1:6" ht="15.75" customHeight="1">
      <c r="A42" s="762">
        <f t="shared" si="0"/>
        <v>31</v>
      </c>
      <c r="B42" s="81"/>
      <c r="C42" s="81"/>
      <c r="D42" s="166"/>
      <c r="F42"/>
    </row>
    <row r="43" spans="1:6" ht="15.75" customHeight="1">
      <c r="A43" s="762">
        <f t="shared" si="0"/>
        <v>32</v>
      </c>
      <c r="B43" s="88" t="s">
        <v>1397</v>
      </c>
      <c r="C43" s="88" t="s">
        <v>44</v>
      </c>
      <c r="D43" s="580">
        <f>'C.2.1 F'!D23</f>
        <v>806054</v>
      </c>
      <c r="F43"/>
    </row>
    <row r="44" spans="1:6" ht="15.75" customHeight="1">
      <c r="A44" s="762">
        <f t="shared" si="0"/>
        <v>33</v>
      </c>
      <c r="B44" s="88" t="s">
        <v>1299</v>
      </c>
      <c r="C44" s="88" t="s">
        <v>45</v>
      </c>
      <c r="D44" s="83">
        <f>'C.2.1 B'!D27</f>
        <v>805992</v>
      </c>
      <c r="F44"/>
    </row>
    <row r="45" spans="1:6" ht="15.75" customHeight="1">
      <c r="A45" s="762">
        <f t="shared" si="0"/>
        <v>34</v>
      </c>
      <c r="B45" s="81"/>
      <c r="C45" s="88" t="s">
        <v>151</v>
      </c>
      <c r="D45" s="580">
        <f>D43-D44</f>
        <v>62</v>
      </c>
      <c r="F45"/>
    </row>
    <row r="46" spans="1:6" ht="15.75" customHeight="1">
      <c r="A46" s="762">
        <f t="shared" si="0"/>
        <v>35</v>
      </c>
      <c r="B46" s="81"/>
      <c r="C46" s="81"/>
      <c r="D46" s="166">
        <f>D45/D44</f>
        <v>7.6923840435140801E-5</v>
      </c>
      <c r="F46"/>
    </row>
    <row r="47" spans="1:6" ht="15.75" customHeight="1">
      <c r="A47" s="762">
        <f t="shared" si="0"/>
        <v>36</v>
      </c>
      <c r="B47" s="81"/>
      <c r="C47" s="81"/>
      <c r="D47" s="166"/>
      <c r="F47"/>
    </row>
    <row r="48" spans="1:6" ht="15.75" customHeight="1">
      <c r="A48" s="762">
        <f t="shared" si="0"/>
        <v>37</v>
      </c>
      <c r="B48" s="88" t="s">
        <v>1300</v>
      </c>
      <c r="C48" s="88" t="s">
        <v>44</v>
      </c>
      <c r="D48" s="580">
        <f>'C.2.1 F'!D24</f>
        <v>15202087.192665644</v>
      </c>
      <c r="F48"/>
    </row>
    <row r="49" spans="1:11" ht="15.75" customHeight="1">
      <c r="A49" s="762">
        <f t="shared" si="0"/>
        <v>38</v>
      </c>
      <c r="B49" s="88" t="s">
        <v>1686</v>
      </c>
      <c r="C49" s="88" t="s">
        <v>45</v>
      </c>
      <c r="D49" s="83">
        <f>'C.2.1 B'!D28</f>
        <v>15830893.886251401</v>
      </c>
      <c r="F49"/>
    </row>
    <row r="50" spans="1:11" ht="15.75" customHeight="1">
      <c r="A50" s="762">
        <f t="shared" si="0"/>
        <v>39</v>
      </c>
      <c r="B50" s="81"/>
      <c r="C50" s="88" t="s">
        <v>151</v>
      </c>
      <c r="D50" s="580">
        <f>D48-D49</f>
        <v>-628806.69358575717</v>
      </c>
      <c r="F50"/>
    </row>
    <row r="51" spans="1:11" ht="15.75" customHeight="1">
      <c r="A51" s="762">
        <f t="shared" si="0"/>
        <v>40</v>
      </c>
      <c r="B51" s="81"/>
      <c r="C51" s="81"/>
      <c r="D51" s="166">
        <f>D50/D49</f>
        <v>-3.9720226672219354E-2</v>
      </c>
      <c r="F51"/>
    </row>
    <row r="52" spans="1:11" ht="15.75" customHeight="1">
      <c r="A52" s="762">
        <f t="shared" si="0"/>
        <v>41</v>
      </c>
      <c r="B52" s="81"/>
      <c r="C52" s="81"/>
      <c r="D52" s="166"/>
      <c r="F52"/>
    </row>
    <row r="53" spans="1:11" ht="15.75" customHeight="1">
      <c r="A53" s="762">
        <f t="shared" si="0"/>
        <v>42</v>
      </c>
      <c r="B53" s="81" t="s">
        <v>1520</v>
      </c>
      <c r="C53" s="88" t="s">
        <v>44</v>
      </c>
      <c r="D53" s="580">
        <f>'C.2.1 F'!D25</f>
        <v>2274059.6602829527</v>
      </c>
      <c r="F53"/>
    </row>
    <row r="54" spans="1:11" ht="15.75" customHeight="1">
      <c r="A54" s="762">
        <f t="shared" si="0"/>
        <v>43</v>
      </c>
      <c r="B54" s="103" t="s">
        <v>1521</v>
      </c>
      <c r="C54" s="88" t="s">
        <v>45</v>
      </c>
      <c r="D54" s="83">
        <f>'C.2.1 B'!D29</f>
        <v>1173474.0575652353</v>
      </c>
      <c r="F54"/>
    </row>
    <row r="55" spans="1:11" ht="15.75" customHeight="1">
      <c r="A55" s="762">
        <f t="shared" si="0"/>
        <v>44</v>
      </c>
      <c r="B55" s="81"/>
      <c r="C55" s="88" t="s">
        <v>151</v>
      </c>
      <c r="D55" s="580">
        <f>D53-D54</f>
        <v>1100585.6027177174</v>
      </c>
      <c r="F55"/>
    </row>
    <row r="56" spans="1:11" ht="15.75" customHeight="1">
      <c r="A56" s="762">
        <f t="shared" si="0"/>
        <v>45</v>
      </c>
      <c r="B56" s="81"/>
      <c r="C56" s="81"/>
      <c r="D56" s="581">
        <f>IF(D54=0,0,D55/D54)</f>
        <v>0.93788660739654583</v>
      </c>
      <c r="F56"/>
    </row>
    <row r="57" spans="1:11" ht="15.75" customHeight="1">
      <c r="A57" s="762">
        <f t="shared" si="0"/>
        <v>46</v>
      </c>
      <c r="B57" s="600" t="s">
        <v>474</v>
      </c>
      <c r="C57" s="81"/>
      <c r="D57" s="81"/>
      <c r="F57"/>
    </row>
    <row r="58" spans="1:11" ht="15.75" customHeight="1">
      <c r="A58" s="762">
        <f t="shared" si="0"/>
        <v>47</v>
      </c>
      <c r="B58" s="88" t="s">
        <v>1525</v>
      </c>
      <c r="C58" s="88" t="s">
        <v>44</v>
      </c>
      <c r="D58" s="580">
        <f>'C.2.1 F'!D100</f>
        <v>78709117.242809042</v>
      </c>
      <c r="F58"/>
    </row>
    <row r="59" spans="1:11" ht="15.75" customHeight="1">
      <c r="A59" s="762">
        <f t="shared" si="0"/>
        <v>48</v>
      </c>
      <c r="B59" s="88" t="s">
        <v>1683</v>
      </c>
      <c r="C59" s="88" t="s">
        <v>45</v>
      </c>
      <c r="D59" s="83">
        <f>'C.2.1 B'!D104</f>
        <v>65546014.381216273</v>
      </c>
      <c r="F59"/>
    </row>
    <row r="60" spans="1:11" ht="15.75" customHeight="1">
      <c r="A60" s="762">
        <f t="shared" si="0"/>
        <v>49</v>
      </c>
      <c r="B60" s="1" t="s">
        <v>1684</v>
      </c>
      <c r="C60" s="4" t="s">
        <v>151</v>
      </c>
      <c r="D60" s="28">
        <f>D58-D59</f>
        <v>13163102.86159277</v>
      </c>
      <c r="F60"/>
      <c r="G60" s="10"/>
      <c r="H60" s="10"/>
      <c r="I60" s="10"/>
      <c r="J60" s="10"/>
      <c r="K60" s="10"/>
    </row>
    <row r="61" spans="1:11" ht="15.75" customHeight="1">
      <c r="A61" s="762">
        <f t="shared" si="0"/>
        <v>50</v>
      </c>
      <c r="B61" s="1" t="s">
        <v>1685</v>
      </c>
      <c r="D61" s="20">
        <f>D60/D59</f>
        <v>0.20082232284996052</v>
      </c>
      <c r="F61"/>
      <c r="G61" s="10"/>
      <c r="H61" s="10"/>
      <c r="I61" s="10"/>
      <c r="J61" s="10"/>
      <c r="K61" s="10"/>
    </row>
    <row r="62" spans="1:11" ht="15.75" customHeight="1">
      <c r="A62" s="845">
        <f t="shared" si="0"/>
        <v>51</v>
      </c>
      <c r="D62" s="20"/>
      <c r="F62" s="795"/>
      <c r="G62" s="10"/>
      <c r="H62" s="10"/>
      <c r="I62" s="10"/>
      <c r="J62" s="10"/>
      <c r="K62" s="10"/>
    </row>
    <row r="63" spans="1:11" ht="15.75" customHeight="1">
      <c r="A63" s="845">
        <f t="shared" si="0"/>
        <v>52</v>
      </c>
      <c r="D63" s="20"/>
      <c r="F63" s="795"/>
      <c r="G63" s="10"/>
      <c r="H63" s="10"/>
      <c r="I63" s="10"/>
      <c r="J63" s="10"/>
      <c r="K63" s="10"/>
    </row>
    <row r="64" spans="1:11" ht="15.75" customHeight="1">
      <c r="A64" s="845">
        <f t="shared" si="0"/>
        <v>53</v>
      </c>
      <c r="D64" s="20"/>
      <c r="F64" s="795"/>
      <c r="G64" s="10"/>
      <c r="H64" s="10"/>
      <c r="I64" s="10"/>
      <c r="J64" s="10"/>
      <c r="K64" s="10"/>
    </row>
    <row r="65" spans="1:15" ht="15.75" customHeight="1">
      <c r="A65" s="845">
        <f t="shared" si="0"/>
        <v>54</v>
      </c>
      <c r="B65" t="s">
        <v>195</v>
      </c>
      <c r="F65"/>
    </row>
    <row r="66" spans="1:15" ht="15.75" customHeight="1">
      <c r="A66" s="845">
        <f t="shared" si="0"/>
        <v>55</v>
      </c>
      <c r="B66" s="315" t="s">
        <v>1289</v>
      </c>
      <c r="C66"/>
      <c r="D66">
        <f>D14+D19+D24+D29+D34+D44+D49+D54+D39</f>
        <v>162702475.81095582</v>
      </c>
      <c r="E66"/>
      <c r="F66"/>
    </row>
    <row r="67" spans="1:15" ht="15.75" customHeight="1">
      <c r="A67" s="845">
        <f t="shared" si="0"/>
        <v>56</v>
      </c>
      <c r="B67" s="315" t="s">
        <v>1290</v>
      </c>
      <c r="C67"/>
      <c r="D67" s="52">
        <f>D59</f>
        <v>65546014.381216273</v>
      </c>
      <c r="E67"/>
      <c r="F67"/>
      <c r="G67" s="10"/>
      <c r="H67" s="10"/>
      <c r="I67" s="10"/>
      <c r="J67" s="10"/>
      <c r="K67" s="10"/>
      <c r="L67" s="10"/>
      <c r="M67" s="10"/>
      <c r="N67" s="10"/>
      <c r="O67" s="10"/>
    </row>
    <row r="68" spans="1:15" ht="15.75" customHeight="1">
      <c r="A68" s="845">
        <f t="shared" si="0"/>
        <v>57</v>
      </c>
      <c r="B68" s="315" t="s">
        <v>1291</v>
      </c>
      <c r="C68"/>
      <c r="D68">
        <f>D66-D67</f>
        <v>97156461.42973955</v>
      </c>
      <c r="E68"/>
      <c r="F68"/>
      <c r="G68" s="10"/>
      <c r="H68" s="10"/>
      <c r="I68" s="10"/>
      <c r="J68" s="10"/>
      <c r="K68" s="10"/>
      <c r="L68" s="10"/>
      <c r="M68" s="10"/>
      <c r="N68" s="10"/>
      <c r="O68" s="10"/>
    </row>
    <row r="69" spans="1:15" ht="15.75" customHeight="1">
      <c r="A69" s="845">
        <f t="shared" si="0"/>
        <v>58</v>
      </c>
      <c r="B69" s="315"/>
      <c r="C69"/>
      <c r="D69"/>
      <c r="E69"/>
      <c r="F69"/>
      <c r="K69" s="29"/>
    </row>
    <row r="70" spans="1:15" ht="15.75" customHeight="1">
      <c r="A70" s="845">
        <f t="shared" si="0"/>
        <v>59</v>
      </c>
      <c r="B70" s="315" t="s">
        <v>1292</v>
      </c>
      <c r="C70"/>
      <c r="D70">
        <f>D13+D18+D23+D28+D33+D43+D48+D53+D38</f>
        <v>170729275.91142067</v>
      </c>
      <c r="E70"/>
      <c r="F70"/>
    </row>
    <row r="71" spans="1:15" ht="15.75" customHeight="1">
      <c r="A71" s="845">
        <f t="shared" si="0"/>
        <v>60</v>
      </c>
      <c r="B71" s="315" t="s">
        <v>1293</v>
      </c>
      <c r="C71"/>
      <c r="D71" s="52">
        <f>D58</f>
        <v>78709117.242809042</v>
      </c>
      <c r="E71"/>
      <c r="F71"/>
      <c r="G71" s="10"/>
      <c r="H71" s="10"/>
      <c r="I71" s="10"/>
      <c r="J71" s="10"/>
      <c r="K71" s="10"/>
      <c r="L71" s="10"/>
      <c r="M71" s="10"/>
      <c r="N71" s="10"/>
      <c r="O71" s="10"/>
    </row>
    <row r="72" spans="1:15" ht="15.75" customHeight="1">
      <c r="A72" s="845">
        <f t="shared" si="0"/>
        <v>61</v>
      </c>
      <c r="B72" s="315" t="s">
        <v>1294</v>
      </c>
      <c r="C72"/>
      <c r="D72">
        <f>D70-D71</f>
        <v>92020158.668611631</v>
      </c>
      <c r="E72"/>
      <c r="F72"/>
      <c r="G72" s="10"/>
      <c r="H72" s="10"/>
      <c r="I72" s="10"/>
      <c r="J72" s="10"/>
      <c r="K72" s="10"/>
      <c r="L72" s="10"/>
      <c r="M72" s="10"/>
      <c r="N72" s="10"/>
      <c r="O72" s="10"/>
    </row>
    <row r="73" spans="1:15" ht="15.75" customHeight="1">
      <c r="B73"/>
      <c r="C73"/>
      <c r="D73"/>
      <c r="E73"/>
      <c r="F73"/>
      <c r="K73" s="29"/>
    </row>
    <row r="74" spans="1:15" ht="15.75" customHeight="1">
      <c r="B74"/>
      <c r="C74"/>
      <c r="D74"/>
      <c r="E74"/>
      <c r="F74"/>
    </row>
    <row r="75" spans="1:15" ht="15.75" customHeight="1">
      <c r="B75"/>
      <c r="C75"/>
      <c r="D75"/>
      <c r="E75"/>
      <c r="F75"/>
    </row>
    <row r="76" spans="1:15" ht="15.75" customHeight="1">
      <c r="B76"/>
      <c r="C76"/>
      <c r="D76"/>
      <c r="E76"/>
      <c r="F76"/>
    </row>
    <row r="77" spans="1:15" ht="15.75" customHeight="1">
      <c r="B77"/>
      <c r="C77"/>
      <c r="D77"/>
      <c r="E77"/>
      <c r="F77"/>
      <c r="G77" s="10"/>
      <c r="H77" s="10"/>
      <c r="I77" s="10"/>
      <c r="J77" s="10"/>
      <c r="K77" s="10"/>
      <c r="L77" s="10"/>
      <c r="M77" s="10"/>
      <c r="N77" s="10"/>
      <c r="O77" s="10"/>
    </row>
    <row r="78" spans="1:15" ht="15.75" customHeight="1">
      <c r="B78"/>
      <c r="C78"/>
      <c r="D78"/>
      <c r="E78"/>
      <c r="F78"/>
    </row>
    <row r="79" spans="1:15" ht="15.75" customHeight="1">
      <c r="B79"/>
      <c r="C79"/>
      <c r="D79"/>
      <c r="E79"/>
      <c r="F79"/>
    </row>
    <row r="80" spans="1:15" ht="15.75" customHeight="1">
      <c r="B80"/>
      <c r="C80"/>
      <c r="D80"/>
      <c r="E80"/>
      <c r="F80"/>
    </row>
    <row r="81" spans="2:6" ht="15.75" customHeight="1">
      <c r="B81"/>
      <c r="C81"/>
      <c r="D81"/>
      <c r="E81"/>
      <c r="F81"/>
    </row>
    <row r="82" spans="2:6" ht="15.75" customHeight="1">
      <c r="B82"/>
      <c r="C82"/>
      <c r="D82"/>
      <c r="E82"/>
      <c r="F82"/>
    </row>
    <row r="83" spans="2:6" ht="15.75" customHeight="1">
      <c r="B83"/>
      <c r="C83"/>
      <c r="D83"/>
      <c r="E83"/>
      <c r="F83"/>
    </row>
    <row r="84" spans="2:6" ht="15.75" customHeight="1">
      <c r="B84"/>
      <c r="C84"/>
      <c r="D84"/>
      <c r="E84"/>
      <c r="F84"/>
    </row>
    <row r="85" spans="2:6" ht="15.75" customHeight="1">
      <c r="B85"/>
      <c r="C85"/>
      <c r="D85"/>
      <c r="E85"/>
      <c r="F85"/>
    </row>
    <row r="86" spans="2:6" ht="15.75" customHeight="1">
      <c r="B86"/>
      <c r="C86"/>
      <c r="D86"/>
      <c r="E86"/>
      <c r="F86"/>
    </row>
    <row r="87" spans="2:6" ht="15.75" customHeight="1">
      <c r="B87"/>
      <c r="C87"/>
      <c r="D87"/>
      <c r="E87"/>
      <c r="F87"/>
    </row>
    <row r="88" spans="2:6" ht="15.75" customHeight="1">
      <c r="B88"/>
      <c r="C88"/>
      <c r="D88"/>
      <c r="E88"/>
      <c r="F88"/>
    </row>
    <row r="89" spans="2:6" ht="15.75" customHeight="1">
      <c r="B89"/>
      <c r="C89"/>
      <c r="D89"/>
      <c r="E89"/>
      <c r="F89"/>
    </row>
    <row r="90" spans="2:6" ht="15.75" customHeight="1">
      <c r="B90"/>
      <c r="C90"/>
      <c r="D90"/>
      <c r="E90"/>
      <c r="F90"/>
    </row>
    <row r="91" spans="2:6" ht="15.75" customHeight="1">
      <c r="B91"/>
      <c r="C91"/>
      <c r="D91"/>
      <c r="E91"/>
      <c r="F91"/>
    </row>
    <row r="92" spans="2:6" ht="15.75" customHeight="1">
      <c r="B92"/>
      <c r="C92"/>
      <c r="D92"/>
      <c r="E92"/>
      <c r="F92"/>
    </row>
    <row r="93" spans="2:6" ht="15.75" customHeight="1">
      <c r="B93"/>
      <c r="C93"/>
      <c r="D93"/>
      <c r="E93"/>
      <c r="F93"/>
    </row>
    <row r="94" spans="2:6" ht="15.75" customHeight="1">
      <c r="B94"/>
      <c r="C94"/>
      <c r="D94"/>
      <c r="E94"/>
      <c r="F94"/>
    </row>
    <row r="95" spans="2:6" ht="15.75" customHeight="1">
      <c r="B95"/>
      <c r="C95"/>
      <c r="D95"/>
      <c r="E95"/>
      <c r="F95"/>
    </row>
    <row r="96" spans="2:6" ht="15.75" customHeight="1">
      <c r="B96"/>
      <c r="C96"/>
      <c r="D96"/>
      <c r="E96"/>
      <c r="F96"/>
    </row>
    <row r="97" spans="2:6" ht="15.75" customHeight="1">
      <c r="B97"/>
      <c r="C97"/>
      <c r="D97"/>
      <c r="E97"/>
      <c r="F97"/>
    </row>
    <row r="98" spans="2:6" ht="15.75" customHeight="1">
      <c r="B98"/>
      <c r="C98"/>
      <c r="D98"/>
      <c r="E98"/>
      <c r="F98"/>
    </row>
    <row r="99" spans="2:6" ht="15.75" customHeight="1">
      <c r="B99"/>
      <c r="C99"/>
      <c r="D99"/>
      <c r="E99"/>
      <c r="F99"/>
    </row>
    <row r="100" spans="2:6" ht="15.75" customHeight="1">
      <c r="B100"/>
      <c r="C100"/>
      <c r="D100"/>
      <c r="E100"/>
      <c r="F100"/>
    </row>
    <row r="101" spans="2:6" ht="15.75" customHeight="1">
      <c r="B101"/>
      <c r="C101"/>
      <c r="D101"/>
      <c r="E101"/>
      <c r="F101"/>
    </row>
    <row r="102" spans="2:6" ht="15.75" customHeight="1">
      <c r="B102"/>
      <c r="C102"/>
      <c r="D102"/>
      <c r="E102"/>
      <c r="F102"/>
    </row>
    <row r="103" spans="2:6" ht="15.75" customHeight="1">
      <c r="B103"/>
      <c r="C103"/>
      <c r="D103"/>
      <c r="E103"/>
      <c r="F103"/>
    </row>
    <row r="104" spans="2:6" ht="15.75" customHeight="1">
      <c r="B104"/>
      <c r="C104"/>
      <c r="D104"/>
      <c r="E104"/>
      <c r="F104"/>
    </row>
    <row r="105" spans="2:6" ht="15.75" customHeight="1">
      <c r="B105"/>
      <c r="C105"/>
      <c r="D105"/>
      <c r="E105"/>
      <c r="F105"/>
    </row>
    <row r="106" spans="2:6" ht="15.75" customHeight="1">
      <c r="B106"/>
      <c r="C106"/>
      <c r="D106"/>
      <c r="E106"/>
      <c r="F106"/>
    </row>
    <row r="107" spans="2:6" ht="15.75" customHeight="1">
      <c r="B107"/>
      <c r="C107"/>
      <c r="D107"/>
      <c r="E107"/>
      <c r="F107"/>
    </row>
    <row r="108" spans="2:6" ht="15.75" customHeight="1">
      <c r="B108"/>
      <c r="C108"/>
      <c r="D108"/>
      <c r="E108"/>
      <c r="F108"/>
    </row>
    <row r="109" spans="2:6" ht="15.75" customHeight="1">
      <c r="B109" s="26"/>
    </row>
    <row r="110" spans="2:6" ht="15.75" customHeight="1">
      <c r="B110" s="26"/>
    </row>
    <row r="112" spans="2:6" ht="15.75" customHeight="1">
      <c r="B112" s="26"/>
    </row>
  </sheetData>
  <mergeCells count="4">
    <mergeCell ref="A1:D1"/>
    <mergeCell ref="A2:D2"/>
    <mergeCell ref="A3:D3"/>
    <mergeCell ref="A4:D4"/>
  </mergeCells>
  <phoneticPr fontId="22" type="noConversion"/>
  <printOptions horizontalCentered="1"/>
  <pageMargins left="0.71" right="0.43" top="0.75" bottom="0.67" header="0.5" footer="0.26"/>
  <pageSetup scale="61" orientation="portrait" verticalDpi="300" r:id="rId1"/>
  <headerFooter alignWithMargins="0">
    <oddFooter>&amp;RSchedule &amp;A
Page &amp;P of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O143"/>
  <sheetViews>
    <sheetView view="pageBreakPreview" zoomScale="60" zoomScaleNormal="90" workbookViewId="0">
      <pane ySplit="10" topLeftCell="A11" activePane="bottomLeft" state="frozen"/>
      <selection activeCell="H168" sqref="H168"/>
      <selection pane="bottomLeft" activeCell="H168" sqref="H168"/>
    </sheetView>
  </sheetViews>
  <sheetFormatPr defaultColWidth="7.109375" defaultRowHeight="15.75" customHeight="1"/>
  <cols>
    <col min="1" max="1" width="3.6640625" style="1" customWidth="1"/>
    <col min="2" max="2" width="89.44140625" style="1" customWidth="1"/>
    <col min="3" max="3" width="11.6640625" style="1" customWidth="1"/>
    <col min="4" max="4" width="12.44140625" style="1" customWidth="1"/>
    <col min="5" max="11" width="7.109375" style="1"/>
    <col min="12" max="12" width="7.88671875" style="1" customWidth="1"/>
    <col min="13" max="13" width="8.5546875" style="1" customWidth="1"/>
    <col min="14" max="16384" width="7.109375" style="1"/>
  </cols>
  <sheetData>
    <row r="1" spans="1:5" ht="15.75" customHeight="1">
      <c r="A1" s="1190" t="str">
        <f>'Table of Contents'!A1:C1</f>
        <v>Atmos Energy Corporation, Kentucky/Mid-States Division</v>
      </c>
      <c r="B1" s="1190"/>
      <c r="C1" s="1190"/>
      <c r="D1" s="1190"/>
      <c r="E1" s="30"/>
    </row>
    <row r="2" spans="1:5" ht="15.75" customHeight="1">
      <c r="A2" s="1190" t="str">
        <f>'Table of Contents'!A2:C2</f>
        <v>Kentucky Jurisdiction Case No. 2017-00349</v>
      </c>
      <c r="B2" s="1190"/>
      <c r="C2" s="1190"/>
      <c r="D2" s="1190"/>
      <c r="E2" s="30"/>
    </row>
    <row r="3" spans="1:5" ht="15.75" customHeight="1">
      <c r="A3" s="1190" t="s">
        <v>435</v>
      </c>
      <c r="B3" s="1190"/>
      <c r="C3" s="1190"/>
      <c r="D3" s="1190"/>
      <c r="E3" s="30"/>
    </row>
    <row r="4" spans="1:5" ht="15.75" customHeight="1">
      <c r="A4" s="1190" t="str">
        <f>'Table of Contents'!A4:C4</f>
        <v>Forecasted Test Period: Twelve Months Ended March 31, 2019</v>
      </c>
      <c r="B4" s="1190"/>
      <c r="C4" s="1190"/>
      <c r="D4" s="1190"/>
      <c r="E4" s="30"/>
    </row>
    <row r="6" spans="1:5" ht="15.75" customHeight="1">
      <c r="B6" s="4" t="s">
        <v>686</v>
      </c>
      <c r="D6" s="546" t="s">
        <v>1459</v>
      </c>
    </row>
    <row r="7" spans="1:5" ht="15.75" customHeight="1">
      <c r="B7" s="4" t="s">
        <v>545</v>
      </c>
      <c r="D7" s="496" t="s">
        <v>264</v>
      </c>
    </row>
    <row r="8" spans="1:5" ht="15.75" customHeight="1">
      <c r="A8" s="33"/>
      <c r="B8" s="4" t="s">
        <v>463</v>
      </c>
      <c r="C8" s="33"/>
      <c r="D8" s="496" t="str">
        <f>D.1!P9</f>
        <v>Witness:  Waller, Martin</v>
      </c>
      <c r="E8"/>
    </row>
    <row r="9" spans="1:5" ht="15.75" customHeight="1">
      <c r="A9" s="1" t="s">
        <v>1087</v>
      </c>
      <c r="B9" s="13"/>
      <c r="C9" s="35"/>
      <c r="D9" s="13"/>
      <c r="E9"/>
    </row>
    <row r="10" spans="1:5" ht="15.75" customHeight="1">
      <c r="A10" s="33" t="s">
        <v>1088</v>
      </c>
      <c r="B10" s="130" t="s">
        <v>609</v>
      </c>
      <c r="C10" s="6"/>
      <c r="D10" s="9" t="s">
        <v>105</v>
      </c>
      <c r="E10"/>
    </row>
    <row r="11" spans="1:5" ht="15.75" customHeight="1">
      <c r="E11"/>
    </row>
    <row r="12" spans="1:5" ht="15.75" customHeight="1">
      <c r="A12" s="54">
        <v>1</v>
      </c>
      <c r="B12" s="197" t="s">
        <v>612</v>
      </c>
      <c r="E12"/>
    </row>
    <row r="13" spans="1:5" ht="15.75" customHeight="1">
      <c r="A13" s="54">
        <v>2</v>
      </c>
      <c r="B13" s="582" t="s">
        <v>1518</v>
      </c>
      <c r="C13" s="4" t="s">
        <v>44</v>
      </c>
      <c r="D13" s="355">
        <f>'[13]O&amp;M Comparison'!$D$6+'[13]O&amp;M Comparison'!$D$7</f>
        <v>6756926.4878844488</v>
      </c>
    </row>
    <row r="14" spans="1:5" ht="15.75" customHeight="1">
      <c r="A14" s="54">
        <v>3</v>
      </c>
      <c r="B14" s="582" t="s">
        <v>1519</v>
      </c>
      <c r="C14" s="4" t="s">
        <v>45</v>
      </c>
      <c r="D14" s="418">
        <f>'[13]O&amp;M Comparison'!$C$6+'[13]O&amp;M Comparison'!$C$7</f>
        <v>6804939.1000999995</v>
      </c>
    </row>
    <row r="15" spans="1:5" ht="15.75" customHeight="1">
      <c r="A15" s="54">
        <v>4</v>
      </c>
      <c r="B15" s="582" t="s">
        <v>1303</v>
      </c>
      <c r="C15" s="4" t="s">
        <v>151</v>
      </c>
      <c r="D15" s="584">
        <f>D13-D14</f>
        <v>-48012.612215550616</v>
      </c>
    </row>
    <row r="16" spans="1:5" ht="15.75" customHeight="1">
      <c r="A16" s="54">
        <v>5</v>
      </c>
      <c r="B16" s="582" t="s">
        <v>1304</v>
      </c>
      <c r="D16" s="166">
        <f>D15/D14</f>
        <v>-7.0555535485754845E-3</v>
      </c>
    </row>
    <row r="17" spans="1:5" ht="15.75" customHeight="1">
      <c r="A17" s="54">
        <v>6</v>
      </c>
      <c r="B17" s="583"/>
      <c r="D17" s="81"/>
    </row>
    <row r="18" spans="1:5" ht="15.75" customHeight="1">
      <c r="A18" s="54">
        <v>7</v>
      </c>
      <c r="B18" s="600" t="s">
        <v>469</v>
      </c>
      <c r="D18" s="81"/>
    </row>
    <row r="19" spans="1:5" ht="15.75" customHeight="1">
      <c r="A19" s="54">
        <v>8</v>
      </c>
      <c r="B19" s="583" t="s">
        <v>1305</v>
      </c>
      <c r="C19" s="4" t="s">
        <v>44</v>
      </c>
      <c r="D19" s="355">
        <f>'[13]O&amp;M Comparison'!$D$10</f>
        <v>524452.03</v>
      </c>
    </row>
    <row r="20" spans="1:5" ht="15.75" customHeight="1">
      <c r="A20" s="54">
        <v>9</v>
      </c>
      <c r="B20" s="583" t="s">
        <v>1306</v>
      </c>
      <c r="C20" s="4" t="s">
        <v>45</v>
      </c>
      <c r="D20" s="418">
        <f>'[13]O&amp;M Comparison'!$C$10</f>
        <v>586727.88</v>
      </c>
    </row>
    <row r="21" spans="1:5" ht="15.75" customHeight="1">
      <c r="A21" s="54">
        <v>10</v>
      </c>
      <c r="B21" s="583" t="s">
        <v>1307</v>
      </c>
      <c r="C21" s="4" t="s">
        <v>151</v>
      </c>
      <c r="D21" s="580">
        <f>D19-D20</f>
        <v>-62275.849999999977</v>
      </c>
    </row>
    <row r="22" spans="1:5" ht="15.75" customHeight="1">
      <c r="A22" s="54">
        <v>11</v>
      </c>
      <c r="B22" s="583" t="s">
        <v>1309</v>
      </c>
      <c r="D22" s="166">
        <f>D21/D20</f>
        <v>-0.10614094220305327</v>
      </c>
    </row>
    <row r="23" spans="1:5" ht="15.75" customHeight="1">
      <c r="A23" s="54">
        <v>12</v>
      </c>
      <c r="B23" s="583" t="s">
        <v>1308</v>
      </c>
      <c r="D23" s="81"/>
    </row>
    <row r="24" spans="1:5" ht="15.75" customHeight="1">
      <c r="A24" s="54">
        <v>13</v>
      </c>
      <c r="B24" s="583"/>
      <c r="D24" s="81"/>
    </row>
    <row r="25" spans="1:5" ht="15.75" customHeight="1">
      <c r="A25" s="54">
        <v>14</v>
      </c>
      <c r="B25" s="600" t="s">
        <v>470</v>
      </c>
      <c r="D25" s="81"/>
    </row>
    <row r="26" spans="1:5" ht="15.75" customHeight="1">
      <c r="A26" s="54">
        <v>15</v>
      </c>
      <c r="B26" s="583" t="s">
        <v>1310</v>
      </c>
      <c r="C26" s="4" t="s">
        <v>44</v>
      </c>
      <c r="D26" s="584">
        <f>'[13]O&amp;M Comparison'!$D$25-D13-D19-D32</f>
        <v>5908342.0200000005</v>
      </c>
    </row>
    <row r="27" spans="1:5" ht="15.75" customHeight="1">
      <c r="A27" s="54">
        <v>16</v>
      </c>
      <c r="B27" s="583" t="s">
        <v>1523</v>
      </c>
      <c r="C27" s="4" t="s">
        <v>45</v>
      </c>
      <c r="D27" s="585">
        <f>'[13]O&amp;M Comparison'!$C$25-D14-D20-D33</f>
        <v>5674233.4099999992</v>
      </c>
    </row>
    <row r="28" spans="1:5" ht="15.75" customHeight="1">
      <c r="A28" s="54">
        <v>17</v>
      </c>
      <c r="B28" s="583" t="s">
        <v>1517</v>
      </c>
      <c r="C28" s="4" t="s">
        <v>151</v>
      </c>
      <c r="D28" s="580">
        <f>D26-D27</f>
        <v>234108.61000000127</v>
      </c>
    </row>
    <row r="29" spans="1:5" ht="15.75" customHeight="1">
      <c r="A29" s="54">
        <v>18</v>
      </c>
      <c r="B29" s="583"/>
      <c r="D29" s="166">
        <f>D28/D27</f>
        <v>4.1258191738714763E-2</v>
      </c>
    </row>
    <row r="30" spans="1:5" ht="15.75" customHeight="1">
      <c r="A30" s="54">
        <v>19</v>
      </c>
      <c r="B30" s="583"/>
      <c r="D30" s="81"/>
    </row>
    <row r="31" spans="1:5" ht="15.75" customHeight="1">
      <c r="A31" s="54">
        <v>20</v>
      </c>
      <c r="B31" s="600" t="s">
        <v>471</v>
      </c>
      <c r="D31" s="81"/>
    </row>
    <row r="32" spans="1:5" ht="15.75" customHeight="1">
      <c r="A32" s="54">
        <v>21</v>
      </c>
      <c r="B32" s="583" t="s">
        <v>1311</v>
      </c>
      <c r="C32" s="4" t="s">
        <v>44</v>
      </c>
      <c r="D32" s="73">
        <f>'[13]O&amp;M Comparison'!$D$22</f>
        <v>362112.25893361459</v>
      </c>
      <c r="E32" s="10"/>
    </row>
    <row r="33" spans="1:11" ht="15.75" customHeight="1">
      <c r="A33" s="54">
        <v>22</v>
      </c>
      <c r="B33" s="583" t="s">
        <v>1312</v>
      </c>
      <c r="C33" s="4" t="s">
        <v>45</v>
      </c>
      <c r="D33" s="83">
        <f>'[13]O&amp;M Comparison'!$C$22</f>
        <v>369911.19170000002</v>
      </c>
      <c r="E33" s="10"/>
    </row>
    <row r="34" spans="1:11" ht="15.75" customHeight="1">
      <c r="A34" s="54">
        <v>23</v>
      </c>
      <c r="B34" s="583" t="s">
        <v>1522</v>
      </c>
      <c r="C34" s="4" t="s">
        <v>151</v>
      </c>
      <c r="D34" s="586">
        <f>D32-D33</f>
        <v>-7798.9327663854347</v>
      </c>
    </row>
    <row r="35" spans="1:11" ht="15.75" customHeight="1">
      <c r="A35" s="54">
        <v>24</v>
      </c>
      <c r="B35" s="90"/>
      <c r="D35" s="166">
        <f>D34/D32</f>
        <v>-2.1537334276813862E-2</v>
      </c>
      <c r="E35" s="10"/>
    </row>
    <row r="36" spans="1:11" ht="15.75" customHeight="1">
      <c r="A36" s="54">
        <v>25</v>
      </c>
      <c r="B36" s="197" t="s">
        <v>472</v>
      </c>
      <c r="C36" s="10"/>
      <c r="D36" s="73"/>
      <c r="E36" s="10"/>
      <c r="F36" s="10"/>
      <c r="G36" s="10"/>
      <c r="H36" s="10"/>
      <c r="I36" s="10"/>
      <c r="J36" s="10"/>
      <c r="K36" s="10"/>
    </row>
    <row r="37" spans="1:11" ht="15.75" customHeight="1">
      <c r="A37" s="54">
        <v>26</v>
      </c>
      <c r="B37" s="583" t="s">
        <v>1313</v>
      </c>
      <c r="C37" s="4" t="s">
        <v>44</v>
      </c>
      <c r="D37" s="355">
        <f>'[13]O&amp;M Comparison'!$H$25+'[13]O&amp;M Comparison'!$L$25</f>
        <v>14012400.831079323</v>
      </c>
    </row>
    <row r="38" spans="1:11" ht="15.75" customHeight="1">
      <c r="A38" s="54">
        <v>27</v>
      </c>
      <c r="B38" s="103" t="s">
        <v>1314</v>
      </c>
      <c r="C38" s="4" t="s">
        <v>45</v>
      </c>
      <c r="D38" s="418">
        <f>'[13]O&amp;M Comparison'!$G$25+'[13]O&amp;M Comparison'!$K$25</f>
        <v>13526079.814078476</v>
      </c>
    </row>
    <row r="39" spans="1:11" ht="15.75" customHeight="1">
      <c r="A39" s="54">
        <v>28</v>
      </c>
      <c r="B39" s="90" t="s">
        <v>1315</v>
      </c>
      <c r="C39" s="4" t="s">
        <v>151</v>
      </c>
      <c r="D39" s="580">
        <f>D37-D38</f>
        <v>486321.01700084656</v>
      </c>
      <c r="E39" s="10"/>
      <c r="F39" s="10"/>
      <c r="G39" s="10"/>
      <c r="H39" s="10"/>
      <c r="I39" s="10"/>
      <c r="J39" s="10"/>
      <c r="K39" s="10"/>
    </row>
    <row r="40" spans="1:11" ht="15.75" customHeight="1">
      <c r="A40" s="54">
        <v>29</v>
      </c>
      <c r="B40" s="4"/>
      <c r="D40" s="166">
        <f>D39/D38</f>
        <v>3.5954321110442104E-2</v>
      </c>
      <c r="E40" s="10"/>
      <c r="F40" s="10"/>
      <c r="G40" s="10"/>
      <c r="H40" s="10"/>
      <c r="I40" s="10"/>
      <c r="J40" s="10"/>
      <c r="K40" s="10"/>
    </row>
    <row r="41" spans="1:11" ht="15.75" customHeight="1">
      <c r="A41" s="54">
        <v>30</v>
      </c>
      <c r="B41" s="4"/>
      <c r="D41" s="20"/>
      <c r="E41" s="10"/>
      <c r="F41" s="10"/>
      <c r="G41" s="10"/>
      <c r="H41" s="10"/>
      <c r="I41" s="10"/>
      <c r="J41" s="10"/>
      <c r="K41" s="10"/>
    </row>
    <row r="42" spans="1:11" ht="15.75" customHeight="1">
      <c r="A42" s="54">
        <v>31</v>
      </c>
      <c r="B42" s="15" t="s">
        <v>394</v>
      </c>
      <c r="C42" t="s">
        <v>44</v>
      </c>
      <c r="D42" s="183">
        <f>D13+D19+D26+D32+D37</f>
        <v>27564233.627897389</v>
      </c>
      <c r="E42"/>
    </row>
    <row r="43" spans="1:11" ht="15.75" customHeight="1">
      <c r="A43" s="54">
        <v>32</v>
      </c>
      <c r="B43"/>
      <c r="C43" t="s">
        <v>45</v>
      </c>
      <c r="D43" s="405">
        <f>D14+D20+D27+D33+D38</f>
        <v>26961891.395878475</v>
      </c>
      <c r="E43"/>
    </row>
    <row r="44" spans="1:11" ht="15.75" customHeight="1">
      <c r="A44" s="54">
        <v>33</v>
      </c>
      <c r="B44"/>
      <c r="C44" t="s">
        <v>151</v>
      </c>
      <c r="D44" s="28">
        <f>D42-D43</f>
        <v>602342.23201891407</v>
      </c>
      <c r="E44"/>
    </row>
    <row r="45" spans="1:11" ht="15.75" customHeight="1">
      <c r="A45" s="54">
        <v>34</v>
      </c>
      <c r="B45"/>
      <c r="C45"/>
      <c r="D45" s="20">
        <f>D44/D43</f>
        <v>2.2340503608400078E-2</v>
      </c>
      <c r="E45"/>
      <c r="K45" s="10"/>
    </row>
    <row r="46" spans="1:11" ht="15.75" customHeight="1">
      <c r="B46"/>
      <c r="C46"/>
      <c r="D46"/>
      <c r="E46"/>
    </row>
    <row r="47" spans="1:11" ht="15.75" customHeight="1">
      <c r="B47"/>
      <c r="C47"/>
      <c r="D47"/>
      <c r="E47"/>
    </row>
    <row r="48" spans="1:11" ht="15.75" customHeight="1">
      <c r="B48"/>
      <c r="C48"/>
      <c r="D48"/>
      <c r="E48"/>
    </row>
    <row r="49" spans="2:15" ht="15.75" customHeight="1">
      <c r="B49"/>
      <c r="C49"/>
      <c r="D49"/>
      <c r="E49"/>
    </row>
    <row r="50" spans="2:15" ht="15.75" customHeight="1">
      <c r="B50"/>
      <c r="C50"/>
      <c r="D50"/>
      <c r="E50"/>
    </row>
    <row r="51" spans="2:15" ht="15.75" customHeight="1">
      <c r="B51"/>
      <c r="C51"/>
      <c r="D51"/>
      <c r="E51"/>
    </row>
    <row r="52" spans="2:15" ht="15.75" customHeight="1">
      <c r="B52"/>
      <c r="C52"/>
      <c r="D52"/>
      <c r="E52"/>
    </row>
    <row r="53" spans="2:15" ht="15.75" customHeight="1">
      <c r="B53"/>
      <c r="C53"/>
      <c r="D53"/>
      <c r="E53"/>
    </row>
    <row r="54" spans="2:15" ht="15.75" customHeight="1">
      <c r="B54"/>
      <c r="C54"/>
      <c r="D54"/>
      <c r="E54"/>
    </row>
    <row r="55" spans="2:15" ht="15.75" customHeight="1">
      <c r="B55"/>
      <c r="C55"/>
      <c r="D55"/>
      <c r="E55"/>
    </row>
    <row r="56" spans="2:15" ht="15.75" customHeight="1">
      <c r="B56"/>
      <c r="C56"/>
      <c r="D56"/>
      <c r="E56"/>
    </row>
    <row r="57" spans="2:15" ht="15.75" customHeight="1">
      <c r="B57"/>
      <c r="C57"/>
      <c r="D57"/>
      <c r="E57"/>
    </row>
    <row r="58" spans="2:15" ht="15.75" customHeight="1">
      <c r="B58"/>
      <c r="C58"/>
      <c r="D58"/>
      <c r="E58"/>
    </row>
    <row r="59" spans="2:15" ht="15.75" customHeight="1">
      <c r="B59"/>
      <c r="C59"/>
      <c r="D59"/>
      <c r="E59"/>
    </row>
    <row r="60" spans="2:15" ht="15.75" customHeight="1">
      <c r="B60"/>
      <c r="C60"/>
      <c r="D60"/>
      <c r="E60"/>
      <c r="F60" s="10"/>
      <c r="G60" s="10"/>
      <c r="H60" s="10"/>
      <c r="I60" s="10"/>
      <c r="J60" s="10"/>
      <c r="K60" s="10"/>
      <c r="L60" s="10"/>
      <c r="M60" s="10"/>
      <c r="N60" s="10"/>
      <c r="O60" s="10"/>
    </row>
    <row r="61" spans="2:15" ht="15.75" customHeight="1">
      <c r="B61"/>
      <c r="C61"/>
      <c r="D61"/>
      <c r="E61"/>
      <c r="F61" s="10"/>
      <c r="G61" s="10"/>
      <c r="H61" s="10"/>
      <c r="I61" s="10"/>
      <c r="J61" s="10"/>
      <c r="K61" s="10"/>
      <c r="L61" s="10"/>
      <c r="M61" s="10"/>
      <c r="N61" s="10"/>
      <c r="O61" s="10"/>
    </row>
    <row r="62" spans="2:15" ht="15.75" customHeight="1">
      <c r="B62"/>
      <c r="C62"/>
      <c r="D62"/>
      <c r="E62"/>
      <c r="F62" s="10"/>
      <c r="G62" s="10"/>
      <c r="H62" s="10"/>
      <c r="I62" s="10"/>
      <c r="J62" s="10"/>
      <c r="K62" s="10"/>
      <c r="L62" s="10"/>
      <c r="M62" s="10"/>
      <c r="N62" s="10"/>
      <c r="O62" s="10"/>
    </row>
    <row r="63" spans="2:15" ht="15.75" customHeight="1">
      <c r="B63"/>
      <c r="C63"/>
      <c r="D63"/>
      <c r="E63"/>
      <c r="K63" s="29"/>
    </row>
    <row r="64" spans="2:15" ht="15.75" customHeight="1">
      <c r="B64"/>
      <c r="C64"/>
      <c r="D64"/>
      <c r="E64"/>
    </row>
    <row r="65" spans="2:11" ht="15.75" customHeight="1">
      <c r="B65"/>
      <c r="C65"/>
      <c r="D65"/>
      <c r="E65"/>
    </row>
    <row r="66" spans="2:11" ht="15.75" customHeight="1">
      <c r="B66"/>
      <c r="C66"/>
      <c r="D66"/>
      <c r="E66"/>
      <c r="K66" s="10"/>
    </row>
    <row r="67" spans="2:11" ht="15.75" customHeight="1">
      <c r="B67"/>
      <c r="C67"/>
      <c r="D67"/>
      <c r="E67"/>
    </row>
    <row r="68" spans="2:11" ht="15.75" customHeight="1">
      <c r="B68"/>
      <c r="C68"/>
      <c r="D68"/>
      <c r="E68"/>
    </row>
    <row r="69" spans="2:11" ht="15.75" customHeight="1">
      <c r="B69"/>
      <c r="C69"/>
      <c r="D69"/>
      <c r="E69"/>
    </row>
    <row r="70" spans="2:11" ht="15.75" customHeight="1">
      <c r="B70"/>
      <c r="C70"/>
      <c r="D70"/>
      <c r="E70"/>
    </row>
    <row r="71" spans="2:11" ht="15.75" customHeight="1">
      <c r="B71"/>
      <c r="C71"/>
      <c r="D71"/>
      <c r="E71"/>
    </row>
    <row r="72" spans="2:11" ht="15.75" customHeight="1">
      <c r="B72"/>
      <c r="C72"/>
      <c r="D72"/>
      <c r="E72"/>
    </row>
    <row r="73" spans="2:11" ht="15.75" customHeight="1">
      <c r="B73"/>
      <c r="C73"/>
      <c r="D73"/>
      <c r="E73"/>
      <c r="G73" s="26"/>
    </row>
    <row r="74" spans="2:11" ht="15.75" customHeight="1">
      <c r="B74"/>
      <c r="C74"/>
      <c r="D74"/>
      <c r="E74"/>
      <c r="G74" s="26"/>
    </row>
    <row r="75" spans="2:11" ht="15.75" customHeight="1">
      <c r="B75"/>
      <c r="C75"/>
      <c r="D75"/>
      <c r="E75"/>
      <c r="G75" s="26"/>
    </row>
    <row r="76" spans="2:11" ht="15.75" customHeight="1">
      <c r="B76"/>
      <c r="C76"/>
      <c r="D76"/>
      <c r="E76"/>
    </row>
    <row r="77" spans="2:11" ht="15.75" customHeight="1">
      <c r="B77"/>
      <c r="C77"/>
      <c r="D77"/>
      <c r="E77"/>
    </row>
    <row r="78" spans="2:11" ht="15.75" customHeight="1">
      <c r="B78"/>
      <c r="C78"/>
      <c r="D78"/>
      <c r="E78"/>
    </row>
    <row r="79" spans="2:11" ht="15.75" customHeight="1">
      <c r="B79"/>
      <c r="C79"/>
      <c r="D79"/>
      <c r="E79"/>
    </row>
    <row r="80" spans="2:11" ht="15.75" customHeight="1">
      <c r="B80"/>
      <c r="C80"/>
      <c r="D80"/>
      <c r="E80"/>
    </row>
    <row r="81" spans="2:15" ht="15.75" customHeight="1">
      <c r="B81"/>
      <c r="C81"/>
      <c r="D81"/>
      <c r="E81"/>
    </row>
    <row r="82" spans="2:15" ht="15.75" customHeight="1">
      <c r="B82"/>
      <c r="C82"/>
      <c r="D82"/>
      <c r="E82"/>
    </row>
    <row r="83" spans="2:15" ht="15.75" customHeight="1">
      <c r="B83"/>
      <c r="C83"/>
      <c r="D83"/>
      <c r="E83"/>
    </row>
    <row r="84" spans="2:15" ht="15.75" customHeight="1">
      <c r="B84"/>
      <c r="C84"/>
      <c r="D84"/>
      <c r="E84"/>
    </row>
    <row r="85" spans="2:15" ht="15.75" customHeight="1">
      <c r="B85"/>
      <c r="C85"/>
      <c r="D85"/>
      <c r="E85"/>
    </row>
    <row r="86" spans="2:15" ht="15.75" customHeight="1">
      <c r="B86"/>
      <c r="C86"/>
      <c r="D86"/>
      <c r="E86"/>
    </row>
    <row r="87" spans="2:15" ht="15.75" customHeight="1">
      <c r="B87"/>
      <c r="C87"/>
      <c r="D87"/>
      <c r="E87"/>
      <c r="F87" s="10"/>
      <c r="G87" s="10"/>
      <c r="H87" s="10"/>
      <c r="I87" s="10"/>
      <c r="J87" s="10"/>
      <c r="K87" s="10"/>
      <c r="L87" s="10"/>
      <c r="M87" s="10"/>
      <c r="N87" s="10"/>
      <c r="O87" s="10"/>
    </row>
    <row r="88" spans="2:15" ht="15.75" customHeight="1">
      <c r="B88"/>
      <c r="C88"/>
      <c r="D88"/>
      <c r="E88"/>
      <c r="F88" s="10"/>
      <c r="G88" s="10"/>
      <c r="H88" s="10"/>
      <c r="I88" s="10"/>
      <c r="J88" s="10"/>
      <c r="K88" s="10"/>
      <c r="L88" s="10"/>
      <c r="M88" s="10"/>
      <c r="N88" s="10"/>
      <c r="O88" s="10"/>
    </row>
    <row r="89" spans="2:15" ht="15.75" customHeight="1">
      <c r="B89"/>
      <c r="C89"/>
      <c r="D89"/>
      <c r="E89"/>
      <c r="F89" s="10"/>
      <c r="G89" s="10"/>
      <c r="H89" s="10"/>
      <c r="I89" s="10"/>
      <c r="J89" s="10"/>
      <c r="K89" s="10"/>
      <c r="L89" s="10"/>
      <c r="M89" s="10"/>
      <c r="N89" s="10"/>
      <c r="O89" s="10"/>
    </row>
    <row r="90" spans="2:15" ht="15.75" customHeight="1">
      <c r="B90"/>
      <c r="C90"/>
      <c r="D90"/>
      <c r="E90"/>
      <c r="K90" s="29"/>
    </row>
    <row r="91" spans="2:15" ht="15.75" customHeight="1">
      <c r="B91"/>
      <c r="C91"/>
      <c r="D91"/>
      <c r="E91"/>
    </row>
    <row r="92" spans="2:15" ht="15.75" customHeight="1">
      <c r="B92"/>
      <c r="C92"/>
      <c r="D92"/>
      <c r="E92"/>
      <c r="F92" s="10"/>
      <c r="G92" s="10"/>
      <c r="H92" s="10"/>
      <c r="I92" s="10"/>
      <c r="J92" s="10"/>
      <c r="K92" s="10"/>
      <c r="L92" s="10"/>
      <c r="M92" s="10"/>
      <c r="N92" s="10"/>
      <c r="O92" s="10"/>
    </row>
    <row r="93" spans="2:15" ht="15.75" customHeight="1">
      <c r="B93"/>
      <c r="C93"/>
      <c r="D93"/>
      <c r="E93"/>
      <c r="F93" s="10"/>
      <c r="G93" s="10"/>
      <c r="H93" s="10"/>
      <c r="I93" s="10"/>
      <c r="J93" s="10"/>
      <c r="K93" s="10"/>
      <c r="L93" s="10"/>
      <c r="M93" s="10"/>
      <c r="N93" s="10"/>
      <c r="O93" s="10"/>
    </row>
    <row r="94" spans="2:15" ht="15.75" customHeight="1">
      <c r="B94"/>
      <c r="C94"/>
      <c r="D94"/>
      <c r="E94"/>
      <c r="F94" s="10"/>
      <c r="G94" s="10"/>
      <c r="H94" s="10"/>
      <c r="I94" s="10"/>
      <c r="J94" s="10"/>
      <c r="K94" s="10"/>
      <c r="L94" s="10"/>
      <c r="M94" s="10"/>
      <c r="N94" s="10"/>
      <c r="O94" s="10"/>
    </row>
    <row r="95" spans="2:15" ht="15.75" customHeight="1">
      <c r="B95"/>
      <c r="C95"/>
      <c r="D95"/>
      <c r="E95"/>
      <c r="K95" s="29"/>
    </row>
    <row r="96" spans="2:15" ht="15.75" customHeight="1">
      <c r="B96"/>
      <c r="C96"/>
      <c r="D96"/>
      <c r="E96"/>
    </row>
    <row r="97" spans="2:15" ht="15.75" customHeight="1">
      <c r="B97"/>
      <c r="C97"/>
      <c r="D97"/>
      <c r="E97"/>
      <c r="F97" s="10"/>
      <c r="G97" s="10"/>
      <c r="H97" s="10"/>
      <c r="I97" s="10"/>
      <c r="J97" s="10"/>
      <c r="K97" s="10"/>
      <c r="L97" s="10"/>
      <c r="M97" s="10"/>
      <c r="N97" s="10"/>
      <c r="O97" s="10"/>
    </row>
    <row r="98" spans="2:15" ht="15.75" customHeight="1">
      <c r="B98"/>
      <c r="C98"/>
      <c r="D98"/>
      <c r="E98"/>
      <c r="F98" s="10"/>
      <c r="G98" s="10"/>
      <c r="H98" s="10"/>
      <c r="I98" s="10"/>
      <c r="J98" s="10"/>
      <c r="K98" s="10"/>
      <c r="L98" s="10"/>
      <c r="M98" s="10"/>
      <c r="N98" s="10"/>
      <c r="O98" s="10"/>
    </row>
    <row r="99" spans="2:15" ht="15.75" customHeight="1">
      <c r="B99"/>
      <c r="C99"/>
      <c r="D99"/>
      <c r="E99"/>
      <c r="F99" s="10"/>
      <c r="G99" s="10"/>
      <c r="H99" s="10"/>
      <c r="I99" s="10"/>
      <c r="J99" s="10"/>
      <c r="K99" s="10"/>
      <c r="L99" s="10"/>
      <c r="M99" s="10"/>
      <c r="N99" s="10"/>
      <c r="O99" s="10"/>
    </row>
    <row r="100" spans="2:15" ht="15.75" customHeight="1">
      <c r="B100"/>
      <c r="C100"/>
      <c r="D100"/>
      <c r="E100"/>
      <c r="K100" s="29"/>
    </row>
    <row r="101" spans="2:15" ht="15.75" customHeight="1">
      <c r="B101"/>
      <c r="C101"/>
      <c r="D101"/>
      <c r="E101"/>
    </row>
    <row r="102" spans="2:15" ht="15.75" customHeight="1">
      <c r="B102"/>
      <c r="C102"/>
      <c r="D102"/>
      <c r="E102"/>
      <c r="F102" s="10"/>
      <c r="G102" s="10"/>
      <c r="H102" s="10"/>
      <c r="I102" s="10"/>
      <c r="J102" s="10"/>
      <c r="K102" s="10"/>
      <c r="L102" s="10"/>
      <c r="M102" s="10"/>
      <c r="N102" s="10"/>
      <c r="O102" s="10"/>
    </row>
    <row r="103" spans="2:15" ht="15.75" customHeight="1">
      <c r="B103"/>
      <c r="C103"/>
      <c r="D103"/>
      <c r="E103"/>
      <c r="F103" s="10"/>
      <c r="G103" s="10"/>
      <c r="H103" s="10"/>
      <c r="I103" s="10"/>
      <c r="J103" s="10"/>
      <c r="K103" s="10"/>
      <c r="L103" s="10"/>
      <c r="M103" s="10"/>
      <c r="N103" s="10"/>
      <c r="O103" s="10"/>
    </row>
    <row r="104" spans="2:15" ht="15.75" customHeight="1">
      <c r="B104"/>
      <c r="C104"/>
      <c r="D104"/>
      <c r="E104"/>
      <c r="K104" s="29"/>
    </row>
    <row r="105" spans="2:15" ht="15.75" customHeight="1">
      <c r="B105"/>
      <c r="C105"/>
      <c r="D105"/>
      <c r="E105"/>
    </row>
    <row r="106" spans="2:15" ht="15.75" customHeight="1">
      <c r="B106"/>
      <c r="C106"/>
      <c r="D106"/>
      <c r="E106"/>
      <c r="F106" s="10"/>
      <c r="G106" s="10"/>
      <c r="H106" s="10"/>
      <c r="I106" s="10"/>
      <c r="J106" s="10"/>
      <c r="K106" s="10"/>
      <c r="L106" s="10"/>
      <c r="M106" s="10"/>
      <c r="N106" s="10"/>
      <c r="O106" s="10"/>
    </row>
    <row r="107" spans="2:15" ht="15.75" customHeight="1">
      <c r="B107"/>
      <c r="C107"/>
      <c r="D107"/>
      <c r="E107"/>
      <c r="F107" s="10"/>
      <c r="G107" s="10"/>
      <c r="H107" s="10"/>
      <c r="I107" s="10"/>
      <c r="J107" s="10"/>
      <c r="K107" s="10"/>
      <c r="L107" s="10"/>
      <c r="M107" s="10"/>
      <c r="N107" s="10"/>
      <c r="O107" s="10"/>
    </row>
    <row r="108" spans="2:15" ht="15.75" customHeight="1">
      <c r="B108"/>
      <c r="C108"/>
      <c r="D108"/>
      <c r="E108"/>
      <c r="F108" s="10"/>
      <c r="G108" s="10"/>
      <c r="H108" s="10"/>
      <c r="I108" s="10"/>
      <c r="J108" s="10"/>
      <c r="K108" s="10"/>
      <c r="L108" s="10"/>
      <c r="M108" s="10"/>
      <c r="N108" s="10"/>
      <c r="O108" s="10"/>
    </row>
    <row r="109" spans="2:15" ht="15.75" customHeight="1">
      <c r="B109"/>
      <c r="C109"/>
      <c r="D109"/>
      <c r="E109"/>
      <c r="K109" s="29"/>
    </row>
    <row r="110" spans="2:15" ht="15.75" customHeight="1">
      <c r="B110"/>
      <c r="C110"/>
      <c r="D110"/>
      <c r="E110"/>
    </row>
    <row r="111" spans="2:15" ht="15.75" customHeight="1">
      <c r="B111"/>
      <c r="C111"/>
      <c r="D111"/>
      <c r="E111"/>
    </row>
    <row r="112" spans="2:15" ht="15.75" customHeight="1">
      <c r="B112"/>
      <c r="C112"/>
      <c r="D112"/>
      <c r="E112"/>
      <c r="K112" s="10"/>
    </row>
    <row r="113" spans="2:15" ht="15.75" customHeight="1">
      <c r="B113"/>
      <c r="C113"/>
      <c r="D113"/>
      <c r="E113"/>
    </row>
    <row r="114" spans="2:15" ht="15.75" customHeight="1">
      <c r="B114"/>
      <c r="C114"/>
      <c r="D114"/>
      <c r="E114"/>
    </row>
    <row r="115" spans="2:15" ht="15.75" customHeight="1">
      <c r="B115"/>
      <c r="C115"/>
      <c r="D115"/>
      <c r="E115"/>
    </row>
    <row r="116" spans="2:15" ht="15.75" customHeight="1">
      <c r="B116"/>
      <c r="C116"/>
      <c r="D116"/>
      <c r="E116"/>
      <c r="F116" s="10"/>
      <c r="G116" s="10"/>
      <c r="H116" s="10"/>
      <c r="I116" s="10"/>
      <c r="J116" s="10"/>
      <c r="K116" s="10"/>
      <c r="L116" s="10"/>
      <c r="M116" s="10"/>
      <c r="N116" s="10"/>
      <c r="O116" s="10"/>
    </row>
    <row r="117" spans="2:15" ht="15.75" customHeight="1">
      <c r="B117"/>
      <c r="C117"/>
      <c r="D117"/>
      <c r="E117"/>
      <c r="F117" s="10"/>
      <c r="G117" s="10"/>
      <c r="H117" s="10"/>
      <c r="I117" s="10"/>
      <c r="J117" s="10"/>
      <c r="K117" s="10"/>
      <c r="L117" s="10"/>
      <c r="M117" s="10"/>
      <c r="N117" s="10"/>
      <c r="O117" s="10"/>
    </row>
    <row r="118" spans="2:15" ht="15.75" customHeight="1">
      <c r="B118"/>
      <c r="C118"/>
      <c r="D118"/>
      <c r="E118"/>
      <c r="F118" s="10"/>
      <c r="G118" s="10"/>
      <c r="H118" s="10"/>
      <c r="I118" s="10"/>
      <c r="J118" s="10"/>
      <c r="K118" s="10"/>
      <c r="L118" s="10"/>
      <c r="M118" s="10"/>
      <c r="N118" s="10"/>
      <c r="O118" s="10"/>
    </row>
    <row r="119" spans="2:15" ht="15.75" customHeight="1">
      <c r="B119"/>
      <c r="C119"/>
      <c r="D119"/>
      <c r="E119"/>
      <c r="K119" s="29"/>
    </row>
    <row r="120" spans="2:15" ht="15.75" customHeight="1">
      <c r="C120"/>
      <c r="D120"/>
      <c r="E120"/>
    </row>
    <row r="121" spans="2:15" ht="15.75" customHeight="1">
      <c r="B121"/>
      <c r="C121"/>
      <c r="D121"/>
      <c r="E121"/>
    </row>
    <row r="122" spans="2:15" ht="15.75" customHeight="1">
      <c r="B122"/>
      <c r="C122"/>
      <c r="D122"/>
      <c r="E122"/>
    </row>
    <row r="123" spans="2:15" ht="15.75" customHeight="1">
      <c r="B123"/>
      <c r="C123"/>
      <c r="D123"/>
      <c r="E123"/>
    </row>
    <row r="124" spans="2:15" ht="15.75" customHeight="1">
      <c r="B124"/>
      <c r="C124"/>
      <c r="D124"/>
      <c r="E124"/>
    </row>
    <row r="125" spans="2:15" ht="15.75" customHeight="1">
      <c r="B125"/>
      <c r="C125"/>
      <c r="D125"/>
      <c r="E125"/>
    </row>
    <row r="126" spans="2:15" ht="15.75" customHeight="1">
      <c r="B126"/>
      <c r="C126"/>
      <c r="D126"/>
      <c r="E126"/>
    </row>
    <row r="127" spans="2:15" ht="15.75" customHeight="1">
      <c r="B127"/>
      <c r="C127"/>
      <c r="D127"/>
      <c r="E127"/>
    </row>
    <row r="128" spans="2:15" ht="15.75" customHeight="1">
      <c r="B128"/>
      <c r="C128"/>
      <c r="D128"/>
      <c r="E128"/>
    </row>
    <row r="129" spans="2:5" ht="15.75" customHeight="1">
      <c r="B129"/>
      <c r="C129"/>
      <c r="D129"/>
      <c r="E129"/>
    </row>
    <row r="130" spans="2:5" ht="15.75" customHeight="1">
      <c r="B130"/>
      <c r="C130"/>
      <c r="D130"/>
      <c r="E130"/>
    </row>
    <row r="131" spans="2:5" ht="15.75" customHeight="1">
      <c r="B131"/>
      <c r="C131"/>
      <c r="D131"/>
      <c r="E131"/>
    </row>
    <row r="132" spans="2:5" ht="15.75" customHeight="1">
      <c r="B132"/>
      <c r="C132"/>
      <c r="D132"/>
      <c r="E132"/>
    </row>
    <row r="133" spans="2:5" ht="15.75" customHeight="1">
      <c r="B133"/>
      <c r="C133"/>
      <c r="D133"/>
      <c r="E133"/>
    </row>
    <row r="134" spans="2:5" ht="15.75" customHeight="1">
      <c r="B134"/>
      <c r="C134"/>
      <c r="D134"/>
      <c r="E134"/>
    </row>
    <row r="135" spans="2:5" ht="15.75" customHeight="1">
      <c r="B135"/>
      <c r="C135"/>
      <c r="D135"/>
      <c r="E135"/>
    </row>
    <row r="136" spans="2:5" ht="15.75" customHeight="1">
      <c r="B136"/>
      <c r="C136"/>
      <c r="D136"/>
      <c r="E136"/>
    </row>
    <row r="137" spans="2:5" ht="15.75" customHeight="1">
      <c r="B137"/>
      <c r="C137"/>
      <c r="D137"/>
      <c r="E137"/>
    </row>
    <row r="138" spans="2:5" ht="15.75" customHeight="1">
      <c r="B138"/>
      <c r="C138"/>
      <c r="D138"/>
      <c r="E138"/>
    </row>
    <row r="139" spans="2:5" ht="15.75" customHeight="1">
      <c r="B139"/>
      <c r="C139"/>
      <c r="D139"/>
      <c r="E139"/>
    </row>
    <row r="140" spans="2:5" ht="15.75" customHeight="1">
      <c r="B140"/>
      <c r="C140"/>
      <c r="D140"/>
      <c r="E140"/>
    </row>
    <row r="141" spans="2:5" ht="15.75" customHeight="1">
      <c r="B141"/>
      <c r="C141"/>
      <c r="D141"/>
      <c r="E141"/>
    </row>
    <row r="142" spans="2:5" ht="15.75" customHeight="1">
      <c r="B142"/>
      <c r="C142"/>
      <c r="D142"/>
      <c r="E142"/>
    </row>
    <row r="143" spans="2:5" ht="15.75" customHeight="1">
      <c r="B143"/>
      <c r="C143"/>
      <c r="D143"/>
      <c r="E143"/>
    </row>
  </sheetData>
  <mergeCells count="4">
    <mergeCell ref="A1:D1"/>
    <mergeCell ref="A2:D2"/>
    <mergeCell ref="A3:D3"/>
    <mergeCell ref="A4:D4"/>
  </mergeCells>
  <phoneticPr fontId="22" type="noConversion"/>
  <printOptions horizontalCentered="1"/>
  <pageMargins left="0.67" right="0.57999999999999996" top="0.75" bottom="1.28" header="0.5" footer="0.78"/>
  <pageSetup scale="66" orientation="portrait" verticalDpi="300" r:id="rId1"/>
  <headerFooter alignWithMargins="0">
    <oddFooter>&amp;RSchedule &amp;A
Page 1 of 1</oddFooter>
  </headerFooter>
  <rowBreaks count="1" manualBreakCount="1">
    <brk id="68" min="1" max="4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J70"/>
  <sheetViews>
    <sheetView view="pageBreakPreview" zoomScale="60" zoomScaleNormal="90" workbookViewId="0">
      <selection activeCell="H168" sqref="H168"/>
    </sheetView>
  </sheetViews>
  <sheetFormatPr defaultColWidth="7.109375" defaultRowHeight="15"/>
  <cols>
    <col min="1" max="1" width="3.77734375" style="1" customWidth="1"/>
    <col min="2" max="2" width="66.77734375" style="1" bestFit="1" customWidth="1"/>
    <col min="3" max="3" width="13.33203125" style="1" customWidth="1"/>
    <col min="4" max="4" width="12.6640625" style="1" customWidth="1"/>
    <col min="5" max="10" width="7.109375" style="1"/>
    <col min="11" max="11" width="7.88671875" style="1" customWidth="1"/>
    <col min="12" max="12" width="8.5546875" style="1" customWidth="1"/>
    <col min="13" max="16384" width="7.109375" style="1"/>
  </cols>
  <sheetData>
    <row r="1" spans="1:10">
      <c r="A1" s="1190" t="str">
        <f>'Table of Contents'!A1:C1</f>
        <v>Atmos Energy Corporation, Kentucky/Mid-States Division</v>
      </c>
      <c r="B1" s="1190"/>
      <c r="C1" s="1190"/>
      <c r="D1" s="1190"/>
    </row>
    <row r="2" spans="1:10">
      <c r="A2" s="1190" t="str">
        <f>'Table of Contents'!A2:C2</f>
        <v>Kentucky Jurisdiction Case No. 2017-00349</v>
      </c>
      <c r="B2" s="1190"/>
      <c r="C2" s="1190"/>
      <c r="D2" s="1190"/>
    </row>
    <row r="3" spans="1:10">
      <c r="A3" s="1190" t="s">
        <v>435</v>
      </c>
      <c r="B3" s="1190"/>
      <c r="C3" s="1190"/>
      <c r="D3" s="1190"/>
    </row>
    <row r="4" spans="1:10">
      <c r="A4" s="1190" t="str">
        <f>'Table of Contents'!A4:C4</f>
        <v>Forecasted Test Period: Twelve Months Ended March 31, 2019</v>
      </c>
      <c r="B4" s="1190"/>
      <c r="C4" s="1190"/>
      <c r="D4" s="1190"/>
    </row>
    <row r="5" spans="1:10">
      <c r="D5" s="35"/>
      <c r="F5" s="26"/>
    </row>
    <row r="6" spans="1:10">
      <c r="B6" s="4" t="s">
        <v>686</v>
      </c>
      <c r="D6" s="546" t="s">
        <v>1460</v>
      </c>
      <c r="F6" s="26"/>
    </row>
    <row r="7" spans="1:10">
      <c r="B7" s="4" t="s">
        <v>621</v>
      </c>
      <c r="D7" s="496" t="s">
        <v>265</v>
      </c>
      <c r="F7" s="26"/>
    </row>
    <row r="8" spans="1:10">
      <c r="A8" s="33"/>
      <c r="B8" s="4" t="s">
        <v>369</v>
      </c>
      <c r="C8" s="33"/>
      <c r="D8" s="547" t="str">
        <f>D.1!P9</f>
        <v>Witness:  Waller, Martin</v>
      </c>
    </row>
    <row r="9" spans="1:10">
      <c r="A9" s="1" t="s">
        <v>1087</v>
      </c>
      <c r="B9" s="13"/>
      <c r="C9" s="35"/>
      <c r="D9" s="13"/>
    </row>
    <row r="10" spans="1:10">
      <c r="A10" s="33" t="s">
        <v>1088</v>
      </c>
      <c r="B10" s="130" t="s">
        <v>609</v>
      </c>
      <c r="C10" s="6"/>
      <c r="D10" s="9" t="s">
        <v>105</v>
      </c>
    </row>
    <row r="12" spans="1:10" ht="15.75">
      <c r="A12" s="54">
        <v>1</v>
      </c>
      <c r="B12" s="197" t="s">
        <v>610</v>
      </c>
      <c r="D12" s="81"/>
    </row>
    <row r="13" spans="1:10">
      <c r="A13" s="54">
        <v>2</v>
      </c>
      <c r="B13" s="81" t="s">
        <v>1366</v>
      </c>
      <c r="C13" s="4" t="s">
        <v>44</v>
      </c>
      <c r="D13" s="580">
        <f>'C.2.2-F 09'!P14</f>
        <v>21511931.130947832</v>
      </c>
      <c r="J13" s="10"/>
    </row>
    <row r="14" spans="1:10">
      <c r="A14" s="54">
        <v>3</v>
      </c>
      <c r="B14" s="81" t="s">
        <v>1215</v>
      </c>
      <c r="C14" s="4" t="s">
        <v>45</v>
      </c>
      <c r="D14" s="83">
        <f>'C.2.2 B 09'!P14</f>
        <v>18849734.532483872</v>
      </c>
    </row>
    <row r="15" spans="1:10">
      <c r="A15" s="54">
        <v>4</v>
      </c>
      <c r="C15" s="4" t="s">
        <v>151</v>
      </c>
      <c r="D15" s="580">
        <f>D13-D14</f>
        <v>2662196.59846396</v>
      </c>
    </row>
    <row r="16" spans="1:10">
      <c r="A16" s="54">
        <v>5</v>
      </c>
      <c r="D16" s="166">
        <f>D15/D14</f>
        <v>0.14123257777854531</v>
      </c>
    </row>
    <row r="17" spans="1:10" ht="15.75">
      <c r="A17" s="54">
        <v>6</v>
      </c>
      <c r="B17" s="197" t="s">
        <v>611</v>
      </c>
      <c r="D17" s="166"/>
    </row>
    <row r="18" spans="1:10">
      <c r="A18" s="54">
        <v>7</v>
      </c>
      <c r="B18" s="88" t="s">
        <v>1216</v>
      </c>
      <c r="C18" s="4" t="s">
        <v>44</v>
      </c>
      <c r="D18" s="580">
        <f>'C.2.2-F 09'!P16</f>
        <v>6566445.2651408128</v>
      </c>
      <c r="J18" s="10"/>
    </row>
    <row r="19" spans="1:10">
      <c r="A19" s="54">
        <v>8</v>
      </c>
      <c r="B19" s="88" t="s">
        <v>1217</v>
      </c>
      <c r="C19" s="4" t="s">
        <v>45</v>
      </c>
      <c r="D19" s="83">
        <f>'C.2.2 B 09'!P16</f>
        <v>4830375.4565365165</v>
      </c>
    </row>
    <row r="20" spans="1:10" ht="16.5" customHeight="1">
      <c r="A20" s="54">
        <v>9</v>
      </c>
      <c r="B20" s="81"/>
      <c r="C20" s="4" t="s">
        <v>151</v>
      </c>
      <c r="D20" s="580">
        <f>D18-D19</f>
        <v>1736069.8086042963</v>
      </c>
    </row>
    <row r="21" spans="1:10">
      <c r="A21" s="54">
        <v>10</v>
      </c>
      <c r="B21" s="81"/>
      <c r="D21" s="20">
        <f>D20/D19</f>
        <v>0.35940680475573134</v>
      </c>
    </row>
    <row r="22" spans="1:10">
      <c r="D22" s="28"/>
      <c r="J22" s="10"/>
    </row>
    <row r="23" spans="1:10">
      <c r="B23" s="4"/>
      <c r="C23" s="4"/>
      <c r="D23" s="28"/>
    </row>
    <row r="24" spans="1:10">
      <c r="B24"/>
      <c r="C24"/>
      <c r="D24"/>
      <c r="E24"/>
    </row>
    <row r="25" spans="1:10">
      <c r="B25"/>
      <c r="C25"/>
      <c r="D25"/>
      <c r="E25"/>
    </row>
    <row r="26" spans="1:10">
      <c r="B26"/>
      <c r="C26"/>
      <c r="D26"/>
      <c r="E26"/>
    </row>
    <row r="27" spans="1:10">
      <c r="B27"/>
      <c r="C27"/>
      <c r="D27"/>
      <c r="E27"/>
    </row>
    <row r="28" spans="1:10">
      <c r="B28"/>
      <c r="C28"/>
      <c r="D28"/>
      <c r="E28"/>
    </row>
    <row r="29" spans="1:10">
      <c r="B29"/>
      <c r="C29"/>
      <c r="D29"/>
      <c r="E29"/>
    </row>
    <row r="30" spans="1:10">
      <c r="B30"/>
      <c r="C30"/>
      <c r="D30"/>
      <c r="E30"/>
    </row>
    <row r="31" spans="1:10">
      <c r="B31"/>
      <c r="C31"/>
      <c r="D31"/>
      <c r="E31"/>
    </row>
    <row r="32" spans="1:10">
      <c r="B32"/>
      <c r="C32"/>
      <c r="D32"/>
      <c r="E32"/>
    </row>
    <row r="33" spans="2:5">
      <c r="B33"/>
      <c r="C33"/>
      <c r="D33"/>
      <c r="E33"/>
    </row>
    <row r="34" spans="2:5">
      <c r="B34"/>
      <c r="C34"/>
      <c r="D34"/>
      <c r="E34"/>
    </row>
    <row r="35" spans="2:5">
      <c r="B35"/>
      <c r="C35"/>
      <c r="D35"/>
      <c r="E35"/>
    </row>
    <row r="36" spans="2:5">
      <c r="B36"/>
      <c r="C36"/>
      <c r="D36"/>
      <c r="E36"/>
    </row>
    <row r="37" spans="2:5">
      <c r="B37"/>
      <c r="C37"/>
      <c r="D37"/>
      <c r="E37"/>
    </row>
    <row r="38" spans="2:5">
      <c r="B38"/>
      <c r="C38"/>
      <c r="D38"/>
      <c r="E38"/>
    </row>
    <row r="39" spans="2:5">
      <c r="B39"/>
      <c r="C39"/>
      <c r="D39"/>
      <c r="E39"/>
    </row>
    <row r="40" spans="2:5">
      <c r="B40"/>
      <c r="C40"/>
      <c r="D40"/>
      <c r="E40"/>
    </row>
    <row r="41" spans="2:5">
      <c r="B41"/>
      <c r="C41"/>
      <c r="D41"/>
      <c r="E41"/>
    </row>
    <row r="42" spans="2:5">
      <c r="B42"/>
      <c r="C42"/>
      <c r="D42"/>
      <c r="E42"/>
    </row>
    <row r="43" spans="2:5">
      <c r="B43"/>
      <c r="C43"/>
      <c r="D43"/>
      <c r="E43"/>
    </row>
    <row r="44" spans="2:5">
      <c r="B44"/>
      <c r="C44"/>
      <c r="D44"/>
      <c r="E44"/>
    </row>
    <row r="45" spans="2:5">
      <c r="B45"/>
      <c r="C45"/>
      <c r="D45"/>
      <c r="E45"/>
    </row>
    <row r="46" spans="2:5">
      <c r="B46"/>
      <c r="C46"/>
      <c r="D46"/>
      <c r="E46"/>
    </row>
    <row r="47" spans="2:5">
      <c r="B47"/>
      <c r="C47"/>
      <c r="D47"/>
      <c r="E47"/>
    </row>
    <row r="48" spans="2:5">
      <c r="B48"/>
      <c r="C48"/>
      <c r="D48"/>
      <c r="E48"/>
    </row>
    <row r="49" spans="2:5">
      <c r="B49"/>
      <c r="C49"/>
      <c r="D49"/>
      <c r="E49"/>
    </row>
    <row r="50" spans="2:5">
      <c r="B50"/>
      <c r="C50"/>
      <c r="D50"/>
      <c r="E50"/>
    </row>
    <row r="51" spans="2:5">
      <c r="B51"/>
      <c r="C51"/>
      <c r="D51"/>
      <c r="E51"/>
    </row>
    <row r="52" spans="2:5">
      <c r="B52"/>
      <c r="C52"/>
      <c r="D52"/>
      <c r="E52"/>
    </row>
    <row r="53" spans="2:5">
      <c r="B53"/>
      <c r="C53"/>
      <c r="D53"/>
      <c r="E53"/>
    </row>
    <row r="54" spans="2:5">
      <c r="B54"/>
      <c r="C54"/>
      <c r="D54"/>
      <c r="E54"/>
    </row>
    <row r="55" spans="2:5">
      <c r="B55"/>
      <c r="C55"/>
      <c r="D55"/>
      <c r="E55"/>
    </row>
    <row r="56" spans="2:5">
      <c r="B56"/>
      <c r="C56"/>
      <c r="D56"/>
      <c r="E56"/>
    </row>
    <row r="57" spans="2:5">
      <c r="B57"/>
      <c r="C57"/>
      <c r="D57"/>
      <c r="E57"/>
    </row>
    <row r="58" spans="2:5">
      <c r="B58"/>
      <c r="C58"/>
      <c r="D58"/>
      <c r="E58"/>
    </row>
    <row r="59" spans="2:5">
      <c r="B59"/>
      <c r="C59"/>
      <c r="D59"/>
      <c r="E59"/>
    </row>
    <row r="60" spans="2:5">
      <c r="B60"/>
      <c r="C60"/>
      <c r="D60"/>
      <c r="E60"/>
    </row>
    <row r="61" spans="2:5">
      <c r="B61"/>
      <c r="C61"/>
      <c r="D61"/>
      <c r="E61"/>
    </row>
    <row r="62" spans="2:5">
      <c r="B62"/>
      <c r="C62"/>
      <c r="D62"/>
      <c r="E62"/>
    </row>
    <row r="63" spans="2:5">
      <c r="B63"/>
      <c r="C63"/>
      <c r="D63"/>
      <c r="E63"/>
    </row>
    <row r="64" spans="2:5">
      <c r="B64"/>
      <c r="C64"/>
      <c r="D64"/>
      <c r="E64"/>
    </row>
    <row r="65" spans="2:5">
      <c r="B65"/>
      <c r="C65"/>
      <c r="D65"/>
      <c r="E65"/>
    </row>
    <row r="66" spans="2:5">
      <c r="B66"/>
      <c r="C66"/>
      <c r="D66"/>
      <c r="E66"/>
    </row>
    <row r="67" spans="2:5">
      <c r="B67"/>
      <c r="C67"/>
      <c r="D67"/>
      <c r="E67"/>
    </row>
    <row r="68" spans="2:5">
      <c r="B68"/>
      <c r="C68"/>
      <c r="D68"/>
      <c r="E68"/>
    </row>
    <row r="69" spans="2:5">
      <c r="B69"/>
      <c r="C69"/>
      <c r="D69"/>
      <c r="E69"/>
    </row>
    <row r="70" spans="2:5">
      <c r="B70"/>
      <c r="C70"/>
      <c r="D70"/>
      <c r="E70"/>
    </row>
  </sheetData>
  <mergeCells count="4">
    <mergeCell ref="A1:D1"/>
    <mergeCell ref="A2:D2"/>
    <mergeCell ref="A3:D3"/>
    <mergeCell ref="A4:D4"/>
  </mergeCells>
  <phoneticPr fontId="22" type="noConversion"/>
  <pageMargins left="0.95" right="0.5" top="0.92" bottom="0.5" header="0.5" footer="0.5"/>
  <pageSetup scale="78" orientation="portrait" verticalDpi="300" r:id="rId1"/>
  <headerFooter alignWithMargins="0">
    <oddFooter>&amp;RSchedule &amp;A
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24"/>
  <sheetViews>
    <sheetView view="pageBreakPreview" zoomScale="60" zoomScaleNormal="100" workbookViewId="0">
      <selection activeCell="C6" sqref="C6"/>
    </sheetView>
  </sheetViews>
  <sheetFormatPr defaultRowHeight="15"/>
  <cols>
    <col min="1" max="1" width="10" customWidth="1"/>
    <col min="3" max="3" width="74.44140625" bestFit="1" customWidth="1"/>
  </cols>
  <sheetData>
    <row r="1" spans="1:3">
      <c r="A1" s="1175" t="str">
        <f>'Table of Contents'!A1:C1</f>
        <v>Atmos Energy Corporation, Kentucky/Mid-States Division</v>
      </c>
      <c r="B1" s="1175"/>
      <c r="C1" s="1175"/>
    </row>
    <row r="2" spans="1:3">
      <c r="A2" s="1175" t="str">
        <f>'Table of Contents'!A2:C2</f>
        <v>Kentucky Jurisdiction Case No. 2017-00349</v>
      </c>
      <c r="B2" s="1175"/>
      <c r="C2" s="1175"/>
    </row>
    <row r="3" spans="1:3">
      <c r="A3" s="1175" t="str">
        <f>'Table of Contents'!A3:C3</f>
        <v>Base Period: Twelve Months Ended December 31, 2017</v>
      </c>
      <c r="B3" s="1175"/>
      <c r="C3" s="1175"/>
    </row>
    <row r="4" spans="1:3">
      <c r="A4" s="1175" t="str">
        <f>'Table of Contents'!A4:C4</f>
        <v>Forecasted Test Period: Twelve Months Ended March 31, 2019</v>
      </c>
      <c r="B4" s="1175"/>
      <c r="C4" s="1175"/>
    </row>
    <row r="9" spans="1:3">
      <c r="A9" s="1175" t="s">
        <v>1440</v>
      </c>
      <c r="B9" s="1175"/>
      <c r="C9" s="1175"/>
    </row>
    <row r="11" spans="1:3" ht="15.75">
      <c r="A11" s="1179" t="s">
        <v>272</v>
      </c>
      <c r="B11" s="1179"/>
      <c r="C11" s="1179"/>
    </row>
    <row r="14" spans="1:3" ht="15.75">
      <c r="A14" s="301" t="s">
        <v>59</v>
      </c>
      <c r="B14" s="458" t="s">
        <v>620</v>
      </c>
      <c r="C14" s="301" t="s">
        <v>993</v>
      </c>
    </row>
    <row r="15" spans="1:3">
      <c r="A15" s="78"/>
      <c r="B15" s="196"/>
      <c r="C15" s="40"/>
    </row>
    <row r="16" spans="1:3">
      <c r="A16" s="225" t="s">
        <v>371</v>
      </c>
      <c r="B16" s="459">
        <v>2</v>
      </c>
      <c r="C16" s="40" t="s">
        <v>172</v>
      </c>
    </row>
    <row r="17" spans="1:3">
      <c r="A17" s="225" t="s">
        <v>684</v>
      </c>
      <c r="B17" s="459">
        <v>14</v>
      </c>
      <c r="C17" s="40" t="s">
        <v>535</v>
      </c>
    </row>
    <row r="18" spans="1:3">
      <c r="A18" s="225" t="s">
        <v>685</v>
      </c>
      <c r="B18" s="459">
        <v>14</v>
      </c>
      <c r="C18" s="40" t="s">
        <v>421</v>
      </c>
    </row>
    <row r="19" spans="1:3">
      <c r="A19" s="225" t="s">
        <v>1128</v>
      </c>
      <c r="B19" s="459">
        <v>5</v>
      </c>
      <c r="C19" s="40" t="s">
        <v>92</v>
      </c>
    </row>
    <row r="20" spans="1:3">
      <c r="A20" s="225" t="s">
        <v>80</v>
      </c>
      <c r="B20" s="459">
        <v>2</v>
      </c>
      <c r="C20" s="40" t="s">
        <v>81</v>
      </c>
    </row>
    <row r="21" spans="1:3">
      <c r="A21" s="225" t="s">
        <v>83</v>
      </c>
      <c r="B21" s="459">
        <v>2</v>
      </c>
      <c r="C21" s="40" t="s">
        <v>854</v>
      </c>
    </row>
    <row r="22" spans="1:3">
      <c r="A22" s="225" t="s">
        <v>82</v>
      </c>
      <c r="B22" s="459">
        <v>2</v>
      </c>
      <c r="C22" s="40" t="s">
        <v>855</v>
      </c>
    </row>
    <row r="23" spans="1:3">
      <c r="A23" s="225" t="s">
        <v>85</v>
      </c>
      <c r="B23" s="459">
        <v>2</v>
      </c>
      <c r="C23" s="40" t="s">
        <v>634</v>
      </c>
    </row>
    <row r="24" spans="1:3">
      <c r="A24" s="225" t="s">
        <v>814</v>
      </c>
      <c r="B24" s="459">
        <v>2</v>
      </c>
      <c r="C24" s="4" t="s">
        <v>639</v>
      </c>
    </row>
  </sheetData>
  <mergeCells count="6">
    <mergeCell ref="A9:C9"/>
    <mergeCell ref="A11:C11"/>
    <mergeCell ref="A1:C1"/>
    <mergeCell ref="A2:C2"/>
    <mergeCell ref="A3:C3"/>
    <mergeCell ref="A4:C4"/>
  </mergeCells>
  <phoneticPr fontId="22" type="noConversion"/>
  <printOptions horizontalCentered="1"/>
  <pageMargins left="0.75" right="0.75" top="1" bottom="1" header="0.5" footer="0.5"/>
  <pageSetup scale="78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C23"/>
  <sheetViews>
    <sheetView view="pageBreakPreview" zoomScale="60" zoomScaleNormal="100" workbookViewId="0">
      <selection activeCell="E14" sqref="E14"/>
    </sheetView>
  </sheetViews>
  <sheetFormatPr defaultRowHeight="15"/>
  <cols>
    <col min="3" max="3" width="67.6640625" customWidth="1"/>
  </cols>
  <sheetData>
    <row r="1" spans="1:3">
      <c r="A1" s="1175" t="str">
        <f>'Table of Contents'!A1:C1</f>
        <v>Atmos Energy Corporation, Kentucky/Mid-States Division</v>
      </c>
      <c r="B1" s="1175"/>
      <c r="C1" s="1175"/>
    </row>
    <row r="2" spans="1:3">
      <c r="A2" s="1175" t="str">
        <f>'Table of Contents'!A2:C2</f>
        <v>Kentucky Jurisdiction Case No. 2017-00349</v>
      </c>
      <c r="B2" s="1175"/>
      <c r="C2" s="1175"/>
    </row>
    <row r="3" spans="1:3">
      <c r="A3" s="1175" t="str">
        <f>'Table of Contents'!A3:C3</f>
        <v>Base Period: Twelve Months Ended December 31, 2017</v>
      </c>
      <c r="B3" s="1175"/>
      <c r="C3" s="1175"/>
    </row>
    <row r="4" spans="1:3">
      <c r="A4" s="1175" t="str">
        <f>'Table of Contents'!A4:C4</f>
        <v>Forecasted Test Period: Twelve Months Ended March 31, 2019</v>
      </c>
      <c r="B4" s="1175"/>
      <c r="C4" s="1175"/>
    </row>
    <row r="13" spans="1:3">
      <c r="A13" s="1175" t="s">
        <v>1461</v>
      </c>
      <c r="B13" s="1175"/>
      <c r="C13" s="1175"/>
    </row>
    <row r="15" spans="1:3" ht="15.75">
      <c r="A15" s="1196" t="s">
        <v>468</v>
      </c>
      <c r="B15" s="1196"/>
      <c r="C15" s="1196"/>
    </row>
    <row r="18" spans="1:3">
      <c r="A18" s="58" t="s">
        <v>59</v>
      </c>
      <c r="B18" s="58" t="s">
        <v>620</v>
      </c>
      <c r="C18" s="58" t="s">
        <v>993</v>
      </c>
    </row>
    <row r="20" spans="1:3">
      <c r="A20" s="53" t="s">
        <v>835</v>
      </c>
      <c r="B20" s="53">
        <v>1</v>
      </c>
      <c r="C20" t="s">
        <v>468</v>
      </c>
    </row>
    <row r="21" spans="1:3">
      <c r="B21" s="53"/>
    </row>
    <row r="22" spans="1:3">
      <c r="B22" s="53"/>
    </row>
    <row r="23" spans="1:3">
      <c r="B23" s="53"/>
    </row>
  </sheetData>
  <mergeCells count="6">
    <mergeCell ref="A4:C4"/>
    <mergeCell ref="A13:C13"/>
    <mergeCell ref="A15:C15"/>
    <mergeCell ref="A1:C1"/>
    <mergeCell ref="A2:C2"/>
    <mergeCell ref="A3:C3"/>
  </mergeCells>
  <phoneticPr fontId="22" type="noConversion"/>
  <pageMargins left="0.75" right="0.75" top="1" bottom="1" header="0.5" footer="0.5"/>
  <pageSetup scale="87" orientation="portrait" r:id="rId1"/>
  <headerFooter alignWithMargins="0"/>
  <colBreaks count="1" manualBreakCount="1">
    <brk id="3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H43"/>
  <sheetViews>
    <sheetView view="pageBreakPreview" zoomScale="70" zoomScaleNormal="90" zoomScaleSheetLayoutView="70" workbookViewId="0">
      <selection activeCell="E21" sqref="E21"/>
    </sheetView>
  </sheetViews>
  <sheetFormatPr defaultColWidth="13.88671875" defaultRowHeight="15"/>
  <cols>
    <col min="1" max="1" width="3.6640625" style="36" customWidth="1"/>
    <col min="2" max="2" width="16.21875" style="36" customWidth="1"/>
    <col min="3" max="3" width="11" style="36" customWidth="1"/>
    <col min="4" max="4" width="12.33203125" style="36" customWidth="1"/>
    <col min="5" max="5" width="13.109375" style="36" customWidth="1"/>
    <col min="6" max="6" width="12.5546875" style="36" customWidth="1"/>
    <col min="7" max="7" width="13.109375" style="36" customWidth="1"/>
    <col min="8" max="8" width="8.6640625" style="36" customWidth="1"/>
    <col min="9" max="9" width="13.88671875" style="36" customWidth="1"/>
    <col min="10" max="10" width="15.109375" style="36" customWidth="1"/>
    <col min="11" max="16384" width="13.88671875" style="36"/>
  </cols>
  <sheetData>
    <row r="1" spans="1:16">
      <c r="A1" s="1189" t="str">
        <f>'Table of Contents'!A1:C1</f>
        <v>Atmos Energy Corporation, Kentucky/Mid-States Division</v>
      </c>
      <c r="B1" s="1189"/>
      <c r="C1" s="1189"/>
      <c r="D1" s="1189"/>
      <c r="E1" s="1189"/>
      <c r="F1" s="1189"/>
      <c r="G1" s="1189"/>
      <c r="H1" s="1189"/>
      <c r="I1" s="30"/>
      <c r="M1" s="37"/>
      <c r="O1" s="37"/>
      <c r="P1" s="37"/>
    </row>
    <row r="2" spans="1:16">
      <c r="A2" s="1189" t="str">
        <f>'Table of Contents'!A2:C2</f>
        <v>Kentucky Jurisdiction Case No. 2017-00349</v>
      </c>
      <c r="B2" s="1189"/>
      <c r="C2" s="1189"/>
      <c r="D2" s="1189"/>
      <c r="E2" s="1189"/>
      <c r="F2" s="1189"/>
      <c r="G2" s="1189"/>
      <c r="H2" s="1189"/>
      <c r="I2" s="30"/>
      <c r="P2" s="37"/>
    </row>
    <row r="3" spans="1:16">
      <c r="A3" s="1189" t="s">
        <v>152</v>
      </c>
      <c r="B3" s="1189"/>
      <c r="C3" s="1189"/>
      <c r="D3" s="1189"/>
      <c r="E3" s="1189"/>
      <c r="F3" s="1189"/>
      <c r="G3" s="1189"/>
      <c r="H3" s="1189"/>
      <c r="I3" s="30"/>
    </row>
    <row r="4" spans="1:16">
      <c r="A4" s="1189" t="str">
        <f>'Table of Contents'!A3:C3</f>
        <v>Base Period: Twelve Months Ended December 31, 2017</v>
      </c>
      <c r="B4" s="1189"/>
      <c r="C4" s="1189"/>
      <c r="D4" s="1189"/>
      <c r="E4" s="1189"/>
      <c r="F4" s="1189"/>
      <c r="G4" s="1189"/>
      <c r="H4" s="1189"/>
      <c r="I4" s="30"/>
      <c r="M4" s="37"/>
      <c r="O4" s="37"/>
      <c r="P4" s="37"/>
    </row>
    <row r="5" spans="1:16">
      <c r="A5" s="1189" t="str">
        <f>'Table of Contents'!A4:C4</f>
        <v>Forecasted Test Period: Twelve Months Ended March 31, 2019</v>
      </c>
      <c r="B5" s="1189"/>
      <c r="C5" s="1189"/>
      <c r="D5" s="1189"/>
      <c r="E5" s="1189"/>
      <c r="F5" s="1189"/>
      <c r="G5" s="1189"/>
      <c r="H5" s="1189"/>
      <c r="I5" s="30"/>
      <c r="M5" s="37"/>
      <c r="O5" s="37"/>
      <c r="P5" s="37"/>
    </row>
    <row r="6" spans="1:16">
      <c r="A6" s="4"/>
      <c r="B6" s="49"/>
      <c r="C6" s="49"/>
      <c r="D6" s="50"/>
      <c r="P6" s="37"/>
    </row>
    <row r="7" spans="1:16">
      <c r="B7" s="50"/>
      <c r="C7" s="50"/>
      <c r="D7" s="50"/>
      <c r="H7" s="375" t="s">
        <v>1433</v>
      </c>
      <c r="I7" s="4"/>
    </row>
    <row r="8" spans="1:16">
      <c r="A8" s="4" t="s">
        <v>621</v>
      </c>
      <c r="B8" s="50"/>
      <c r="C8" s="50"/>
      <c r="D8" s="50"/>
      <c r="H8" s="487" t="s">
        <v>836</v>
      </c>
      <c r="I8" s="4"/>
      <c r="M8" s="37"/>
      <c r="O8" s="37"/>
      <c r="P8" s="37"/>
    </row>
    <row r="9" spans="1:16">
      <c r="A9" s="51" t="s">
        <v>369</v>
      </c>
      <c r="B9" s="38"/>
      <c r="C9" s="38"/>
      <c r="D9" s="38"/>
      <c r="E9" s="154"/>
      <c r="F9" s="154"/>
      <c r="G9" s="154"/>
      <c r="H9" s="548" t="s">
        <v>1325</v>
      </c>
      <c r="I9" s="50"/>
      <c r="M9" s="37"/>
      <c r="P9" s="37"/>
    </row>
    <row r="10" spans="1:16">
      <c r="E10" s="50"/>
      <c r="F10" s="49"/>
      <c r="G10" s="50"/>
      <c r="H10" s="49"/>
      <c r="I10" s="50"/>
    </row>
    <row r="11" spans="1:16">
      <c r="A11" s="37" t="s">
        <v>94</v>
      </c>
      <c r="E11" s="34" t="s">
        <v>328</v>
      </c>
      <c r="F11" s="2"/>
      <c r="G11" s="54" t="s">
        <v>320</v>
      </c>
      <c r="H11" s="54" t="s">
        <v>140</v>
      </c>
      <c r="I11" s="222"/>
    </row>
    <row r="12" spans="1:16">
      <c r="A12" s="39" t="s">
        <v>100</v>
      </c>
      <c r="B12" s="39" t="s">
        <v>993</v>
      </c>
      <c r="C12" s="38"/>
      <c r="D12" s="38"/>
      <c r="E12" s="9" t="s">
        <v>994</v>
      </c>
      <c r="F12" s="9" t="s">
        <v>995</v>
      </c>
      <c r="G12" s="9" t="s">
        <v>837</v>
      </c>
      <c r="H12" s="9" t="s">
        <v>454</v>
      </c>
      <c r="I12" s="34"/>
    </row>
    <row r="13" spans="1:16">
      <c r="E13" s="2" t="s">
        <v>1101</v>
      </c>
      <c r="F13" s="2" t="s">
        <v>1102</v>
      </c>
      <c r="G13" s="2" t="s">
        <v>1103</v>
      </c>
      <c r="H13" s="2"/>
      <c r="I13" s="34"/>
    </row>
    <row r="14" spans="1:16">
      <c r="E14" s="2"/>
      <c r="F14" s="2"/>
      <c r="G14" s="2"/>
      <c r="H14" s="2"/>
      <c r="I14" s="34"/>
    </row>
    <row r="15" spans="1:16">
      <c r="A15" s="54">
        <v>1</v>
      </c>
      <c r="B15" s="36" t="s">
        <v>838</v>
      </c>
      <c r="E15" s="549">
        <f>+C.2!D14-SUM(C.2!D17:D27)</f>
        <v>40525231.126324013</v>
      </c>
      <c r="F15" s="549">
        <f>+G15-E15</f>
        <v>-2747478.083093524</v>
      </c>
      <c r="G15" s="549">
        <f>C.2!O14-SUM(C.2!O17:O27)</f>
        <v>37777753.043230489</v>
      </c>
      <c r="H15" s="2" t="s">
        <v>141</v>
      </c>
      <c r="I15" s="34"/>
    </row>
    <row r="16" spans="1:16">
      <c r="A16" s="54"/>
      <c r="E16" s="19"/>
      <c r="F16" s="19"/>
      <c r="G16" s="19"/>
      <c r="H16" s="2"/>
      <c r="I16" s="2"/>
    </row>
    <row r="17" spans="1:34">
      <c r="A17" s="54">
        <v>2</v>
      </c>
      <c r="B17" s="36" t="s">
        <v>212</v>
      </c>
      <c r="E17" s="159">
        <f>+E32</f>
        <v>8070214.8141079806</v>
      </c>
      <c r="F17" s="159">
        <f>+G17-E17</f>
        <v>1784398.7911129557</v>
      </c>
      <c r="G17" s="159">
        <f>+G32</f>
        <v>9854613.6052209362</v>
      </c>
      <c r="H17" s="2" t="s">
        <v>782</v>
      </c>
      <c r="I17" s="2"/>
    </row>
    <row r="18" spans="1:34">
      <c r="A18" s="54"/>
      <c r="E18" s="19"/>
      <c r="F18" s="19"/>
      <c r="G18" s="19"/>
      <c r="H18" s="2"/>
      <c r="I18" s="2"/>
    </row>
    <row r="19" spans="1:34">
      <c r="A19" s="54">
        <v>3</v>
      </c>
      <c r="B19" s="36" t="s">
        <v>819</v>
      </c>
      <c r="E19" s="549">
        <f>+E15-E17</f>
        <v>32455016.312216032</v>
      </c>
      <c r="F19" s="549">
        <f>+F15-F17</f>
        <v>-4531876.8742064796</v>
      </c>
      <c r="G19" s="549">
        <f>+G15-G17</f>
        <v>27923139.438009553</v>
      </c>
      <c r="H19" s="2"/>
      <c r="I19" s="2"/>
    </row>
    <row r="20" spans="1:34">
      <c r="A20" s="54"/>
      <c r="E20" s="19"/>
      <c r="F20" s="19"/>
      <c r="G20" s="19"/>
      <c r="H20" s="2"/>
      <c r="I20" s="2"/>
    </row>
    <row r="21" spans="1:34">
      <c r="A21" s="54">
        <v>4</v>
      </c>
      <c r="B21" s="36" t="s">
        <v>153</v>
      </c>
      <c r="E21" s="160">
        <f>0.06+0.21*(1-0.06)</f>
        <v>0.25739999999999996</v>
      </c>
      <c r="F21" s="160"/>
      <c r="G21" s="160">
        <f>Allocation!E25</f>
        <v>0.25740000000000002</v>
      </c>
      <c r="H21" s="2" t="s">
        <v>505</v>
      </c>
      <c r="I21" s="2"/>
    </row>
    <row r="22" spans="1:34">
      <c r="A22" s="54"/>
      <c r="E22" s="19"/>
      <c r="F22" s="19"/>
      <c r="G22" s="19"/>
      <c r="H22" s="2"/>
      <c r="I22" s="2"/>
    </row>
    <row r="23" spans="1:34" ht="16.5" thickBot="1">
      <c r="A23" s="54">
        <v>5</v>
      </c>
      <c r="B23" s="161" t="s">
        <v>1158</v>
      </c>
      <c r="E23" s="550">
        <f>+E19*E21</f>
        <v>8353921.1987644052</v>
      </c>
      <c r="F23" s="550">
        <f>+G23-E23</f>
        <v>-1166505.1074207462</v>
      </c>
      <c r="G23" s="551">
        <f>+G19*G21</f>
        <v>7187416.091343659</v>
      </c>
      <c r="H23" s="2"/>
      <c r="I23" s="2"/>
    </row>
    <row r="24" spans="1:34" ht="16.5" thickTop="1">
      <c r="A24" s="54"/>
      <c r="B24" s="161"/>
      <c r="E24" s="72"/>
      <c r="F24" s="19"/>
      <c r="G24" s="162"/>
      <c r="H24" s="2"/>
      <c r="I24" s="2"/>
    </row>
    <row r="25" spans="1:34" ht="15.75">
      <c r="A25" s="54"/>
      <c r="B25" s="161"/>
      <c r="E25" s="72"/>
      <c r="F25" s="19"/>
      <c r="G25" s="162"/>
      <c r="H25" s="2"/>
      <c r="I25" s="2"/>
    </row>
    <row r="26" spans="1:34">
      <c r="A26" s="54"/>
      <c r="E26" s="19"/>
      <c r="F26" s="19"/>
      <c r="G26" s="19"/>
      <c r="H26" s="2"/>
      <c r="I26" s="2"/>
    </row>
    <row r="27" spans="1:34">
      <c r="A27" s="54"/>
      <c r="B27" s="163" t="s">
        <v>1159</v>
      </c>
      <c r="E27" s="19"/>
      <c r="F27" s="19"/>
      <c r="G27" s="19"/>
      <c r="H27" s="2"/>
      <c r="I27" s="2"/>
    </row>
    <row r="28" spans="1:34" s="1" customFormat="1">
      <c r="A28" s="54">
        <v>6</v>
      </c>
      <c r="B28" s="156" t="s">
        <v>22</v>
      </c>
      <c r="E28" s="552">
        <f>+'B.1 B'!F27</f>
        <v>358900188.19539595</v>
      </c>
      <c r="F28" s="155"/>
      <c r="G28" s="553">
        <f>+'B.1 F '!F27</f>
        <v>427151221.15514958</v>
      </c>
      <c r="H28" s="54" t="s">
        <v>371</v>
      </c>
      <c r="J28" s="36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</row>
    <row r="29" spans="1:34" s="1" customFormat="1">
      <c r="A29" s="54"/>
      <c r="J29" s="36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</row>
    <row r="30" spans="1:34" s="1" customFormat="1">
      <c r="A30" s="54">
        <v>7</v>
      </c>
      <c r="B30" s="156" t="s">
        <v>142</v>
      </c>
      <c r="E30" s="158">
        <f>J.1!N21</f>
        <v>2.2485958713719913E-2</v>
      </c>
      <c r="G30" s="158">
        <f>J.1!V21</f>
        <v>2.3070549999999999E-2</v>
      </c>
      <c r="H30" s="54" t="s">
        <v>1144</v>
      </c>
      <c r="I30" s="691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</row>
    <row r="31" spans="1:34" s="1" customFormat="1">
      <c r="A31" s="54"/>
      <c r="I31" s="591"/>
      <c r="J31" s="36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</row>
    <row r="32" spans="1:34" s="1" customFormat="1" ht="15.75" thickBot="1">
      <c r="A32" s="54">
        <v>8</v>
      </c>
      <c r="B32" s="157" t="s">
        <v>1063</v>
      </c>
      <c r="E32" s="329">
        <f>+E28*E30</f>
        <v>8070214.8141079806</v>
      </c>
      <c r="G32" s="329">
        <f>+G28*G30</f>
        <v>9854613.6052209362</v>
      </c>
      <c r="J32" s="36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</row>
    <row r="33" spans="1:34" s="1" customFormat="1" ht="15.75" thickTop="1">
      <c r="A33" s="54"/>
      <c r="J33" s="36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</row>
    <row r="34" spans="1:34" s="1" customFormat="1">
      <c r="A34" s="54"/>
      <c r="B34" s="81"/>
      <c r="C34" s="81"/>
      <c r="D34" s="81"/>
      <c r="E34" s="81"/>
      <c r="F34" s="81"/>
      <c r="J34" s="36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</row>
    <row r="35" spans="1:34" s="1" customFormat="1">
      <c r="A35" s="54">
        <v>9</v>
      </c>
      <c r="B35" s="655" t="s">
        <v>1688</v>
      </c>
      <c r="C35" s="81"/>
      <c r="D35" s="81"/>
      <c r="E35" s="81"/>
      <c r="F35" s="81"/>
      <c r="I35" s="692"/>
      <c r="J35" s="691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</row>
    <row r="36" spans="1:34">
      <c r="A36" s="54">
        <v>10</v>
      </c>
      <c r="B36" s="652" t="s">
        <v>1160</v>
      </c>
      <c r="C36" s="653"/>
      <c r="D36" s="653"/>
      <c r="E36" s="654">
        <v>0.06</v>
      </c>
      <c r="F36" s="653"/>
      <c r="I36" s="692"/>
      <c r="J36" s="691"/>
    </row>
    <row r="37" spans="1:34">
      <c r="A37" s="54">
        <v>11</v>
      </c>
      <c r="B37" s="652" t="s">
        <v>1161</v>
      </c>
      <c r="C37" s="653"/>
      <c r="D37" s="653"/>
      <c r="E37" s="654">
        <v>0.21</v>
      </c>
      <c r="F37" s="653"/>
      <c r="I37" s="692"/>
      <c r="J37" s="691"/>
    </row>
    <row r="38" spans="1:34">
      <c r="B38" s="653"/>
      <c r="C38" s="653"/>
      <c r="D38" s="653"/>
      <c r="E38" s="654"/>
      <c r="F38" s="653"/>
      <c r="I38" s="691"/>
      <c r="J38" s="691"/>
    </row>
    <row r="39" spans="1:34">
      <c r="E39" s="164"/>
    </row>
    <row r="40" spans="1:34">
      <c r="E40" s="164"/>
    </row>
    <row r="41" spans="1:34">
      <c r="G41" s="693"/>
    </row>
    <row r="43" spans="1:34">
      <c r="E43" s="164"/>
    </row>
  </sheetData>
  <mergeCells count="5">
    <mergeCell ref="A2:H2"/>
    <mergeCell ref="A3:H3"/>
    <mergeCell ref="A4:H4"/>
    <mergeCell ref="A5:H5"/>
    <mergeCell ref="A1:H1"/>
  </mergeCells>
  <phoneticPr fontId="22" type="noConversion"/>
  <pageMargins left="1.05" right="0.5" top="0.95" bottom="0.5" header="0.5" footer="0.5"/>
  <pageSetup scale="80" orientation="portrait" verticalDpi="300" r:id="rId1"/>
  <headerFooter alignWithMargins="0">
    <oddFooter>&amp;RSchedule &amp;A
Page &amp;P of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C29"/>
  <sheetViews>
    <sheetView view="pageBreakPreview" zoomScale="60" zoomScaleNormal="100" workbookViewId="0">
      <selection activeCell="D31" sqref="D31"/>
    </sheetView>
  </sheetViews>
  <sheetFormatPr defaultRowHeight="15"/>
  <cols>
    <col min="3" max="3" width="45.44140625" customWidth="1"/>
  </cols>
  <sheetData>
    <row r="1" spans="1:3">
      <c r="A1" s="1175" t="str">
        <f>'Table of Contents'!A1:C1</f>
        <v>Atmos Energy Corporation, Kentucky/Mid-States Division</v>
      </c>
      <c r="B1" s="1175"/>
      <c r="C1" s="1175"/>
    </row>
    <row r="2" spans="1:3">
      <c r="A2" s="1175" t="str">
        <f>'Table of Contents'!A2:C2</f>
        <v>Kentucky Jurisdiction Case No. 2017-00349</v>
      </c>
      <c r="B2" s="1175"/>
      <c r="C2" s="1175"/>
    </row>
    <row r="3" spans="1:3">
      <c r="A3" s="1175" t="str">
        <f>'Table of Contents'!A3:C3</f>
        <v>Base Period: Twelve Months Ended December 31, 2017</v>
      </c>
      <c r="B3" s="1175"/>
      <c r="C3" s="1175"/>
    </row>
    <row r="4" spans="1:3">
      <c r="A4" s="1175" t="str">
        <f>'Table of Contents'!A4:C4</f>
        <v>Forecasted Test Period: Twelve Months Ended March 31, 2019</v>
      </c>
      <c r="B4" s="1175"/>
      <c r="C4" s="1175"/>
    </row>
    <row r="11" spans="1:3">
      <c r="A11" s="1175" t="s">
        <v>1462</v>
      </c>
      <c r="B11" s="1175"/>
      <c r="C11" s="1175"/>
    </row>
    <row r="13" spans="1:3">
      <c r="A13" s="1175"/>
      <c r="B13" s="1175"/>
      <c r="C13" s="1175"/>
    </row>
    <row r="16" spans="1:3">
      <c r="A16" s="58" t="s">
        <v>59</v>
      </c>
      <c r="B16" s="58" t="s">
        <v>620</v>
      </c>
      <c r="C16" s="58" t="s">
        <v>993</v>
      </c>
    </row>
    <row r="18" spans="1:3">
      <c r="A18" t="s">
        <v>551</v>
      </c>
      <c r="B18" s="177">
        <v>2</v>
      </c>
      <c r="C18" t="s">
        <v>552</v>
      </c>
    </row>
    <row r="19" spans="1:3">
      <c r="A19" t="s">
        <v>553</v>
      </c>
      <c r="B19" s="177">
        <v>1</v>
      </c>
      <c r="C19" t="s">
        <v>554</v>
      </c>
    </row>
    <row r="20" spans="1:3">
      <c r="A20" t="s">
        <v>506</v>
      </c>
      <c r="B20" s="177">
        <v>1</v>
      </c>
      <c r="C20" t="s">
        <v>555</v>
      </c>
    </row>
    <row r="21" spans="1:3">
      <c r="A21" t="s">
        <v>556</v>
      </c>
      <c r="B21" s="177">
        <v>1</v>
      </c>
      <c r="C21" t="s">
        <v>557</v>
      </c>
    </row>
    <row r="22" spans="1:3">
      <c r="A22" t="s">
        <v>507</v>
      </c>
      <c r="B22" s="177">
        <v>1</v>
      </c>
      <c r="C22" t="s">
        <v>558</v>
      </c>
    </row>
    <row r="23" spans="1:3">
      <c r="A23" t="s">
        <v>559</v>
      </c>
      <c r="B23" s="177">
        <v>1</v>
      </c>
      <c r="C23" t="s">
        <v>962</v>
      </c>
    </row>
    <row r="24" spans="1:3">
      <c r="A24" t="s">
        <v>560</v>
      </c>
      <c r="B24" s="177">
        <v>1</v>
      </c>
      <c r="C24" t="s">
        <v>561</v>
      </c>
    </row>
    <row r="25" spans="1:3">
      <c r="A25" t="s">
        <v>562</v>
      </c>
      <c r="B25" s="177">
        <v>1</v>
      </c>
      <c r="C25" t="s">
        <v>221</v>
      </c>
    </row>
    <row r="26" spans="1:3">
      <c r="A26" t="s">
        <v>563</v>
      </c>
      <c r="B26" s="177">
        <v>1</v>
      </c>
      <c r="C26" t="s">
        <v>564</v>
      </c>
    </row>
    <row r="27" spans="1:3">
      <c r="A27" t="s">
        <v>980</v>
      </c>
      <c r="B27" s="177">
        <v>1</v>
      </c>
      <c r="C27" t="s">
        <v>565</v>
      </c>
    </row>
    <row r="28" spans="1:3">
      <c r="A28" t="s">
        <v>1317</v>
      </c>
      <c r="B28" s="676">
        <v>1</v>
      </c>
      <c r="C28" t="s">
        <v>1318</v>
      </c>
    </row>
    <row r="29" spans="1:3">
      <c r="A29" t="s">
        <v>1393</v>
      </c>
      <c r="B29" s="842">
        <v>1</v>
      </c>
      <c r="C29" t="s">
        <v>1516</v>
      </c>
    </row>
  </sheetData>
  <mergeCells count="6">
    <mergeCell ref="A4:C4"/>
    <mergeCell ref="A11:C11"/>
    <mergeCell ref="A13:C13"/>
    <mergeCell ref="A1:C1"/>
    <mergeCell ref="A2:C2"/>
    <mergeCell ref="A3:C3"/>
  </mergeCells>
  <phoneticPr fontId="22" type="noConversion"/>
  <printOptions horizontalCentered="1"/>
  <pageMargins left="0.75" right="0.75" top="1" bottom="1" header="0.5" footer="0.5"/>
  <pageSetup orientation="portrait" r:id="rId1"/>
  <headerFooter alignWithMargins="0"/>
  <colBreaks count="1" manualBreakCount="1">
    <brk id="3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H160"/>
  <sheetViews>
    <sheetView view="pageBreakPreview" zoomScale="60" zoomScaleNormal="90" workbookViewId="0">
      <pane ySplit="11" topLeftCell="A12" activePane="bottomLeft" state="frozen"/>
      <selection activeCell="F45" sqref="F45"/>
      <selection pane="bottomLeft" activeCell="F45" sqref="F45"/>
    </sheetView>
  </sheetViews>
  <sheetFormatPr defaultColWidth="11.21875" defaultRowHeight="15"/>
  <cols>
    <col min="1" max="1" width="4.6640625" style="435" customWidth="1"/>
    <col min="2" max="2" width="9.5546875" style="435" customWidth="1"/>
    <col min="3" max="3" width="56.5546875" style="435" customWidth="1"/>
    <col min="4" max="4" width="10.6640625" style="435" customWidth="1"/>
    <col min="5" max="5" width="13.5546875" style="435" customWidth="1"/>
    <col min="6" max="6" width="11.6640625" style="435" customWidth="1"/>
    <col min="7" max="7" width="3.6640625" style="435" customWidth="1"/>
    <col min="8" max="8" width="7.6640625" style="435" customWidth="1"/>
    <col min="9" max="9" width="4.6640625" style="435" customWidth="1"/>
    <col min="10" max="10" width="23.6640625" style="435" customWidth="1"/>
    <col min="11" max="12" width="10.6640625" style="435" customWidth="1"/>
    <col min="13" max="13" width="11.6640625" style="435" customWidth="1"/>
    <col min="14" max="14" width="10.6640625" style="435" customWidth="1"/>
    <col min="15" max="15" width="9.6640625" style="435" customWidth="1"/>
    <col min="16" max="16" width="14.6640625" style="435" customWidth="1"/>
    <col min="17" max="17" width="5.6640625" style="435" customWidth="1"/>
    <col min="18" max="18" width="4.6640625" style="435" customWidth="1"/>
    <col min="19" max="19" width="9.6640625" style="435" customWidth="1"/>
    <col min="20" max="20" width="20.6640625" style="435" customWidth="1"/>
    <col min="21" max="21" width="9.6640625" style="435" customWidth="1"/>
    <col min="22" max="22" width="15.6640625" style="435" customWidth="1"/>
    <col min="23" max="23" width="9.6640625" style="435" customWidth="1"/>
    <col min="24" max="24" width="6.6640625" style="435" customWidth="1"/>
    <col min="25" max="25" width="9.6640625" style="435" customWidth="1"/>
    <col min="26" max="26" width="16.6640625" style="435" customWidth="1"/>
    <col min="27" max="27" width="9.6640625" style="435" customWidth="1"/>
    <col min="28" max="28" width="5.6640625" style="435" customWidth="1"/>
    <col min="29" max="29" width="10.6640625" style="435" customWidth="1"/>
    <col min="30" max="30" width="19.6640625" style="435" customWidth="1"/>
    <col min="31" max="31" width="9.6640625" style="435" customWidth="1"/>
    <col min="32" max="32" width="16.6640625" style="435" customWidth="1"/>
    <col min="33" max="33" width="11.21875" style="435"/>
    <col min="34" max="34" width="5.6640625" style="435" customWidth="1"/>
    <col min="35" max="35" width="10.6640625" style="435" customWidth="1"/>
    <col min="36" max="36" width="17.6640625" style="435" customWidth="1"/>
    <col min="37" max="37" width="10.6640625" style="435" customWidth="1"/>
    <col min="38" max="38" width="24.6640625" style="435" customWidth="1"/>
    <col min="39" max="40" width="9.6640625" style="435" customWidth="1"/>
    <col min="41" max="41" width="11.6640625" style="435" customWidth="1"/>
    <col min="42" max="43" width="9.6640625" style="435" customWidth="1"/>
    <col min="44" max="44" width="13.6640625" style="435" customWidth="1"/>
    <col min="45" max="45" width="19.6640625" style="435" customWidth="1"/>
    <col min="46" max="46" width="14.6640625" style="435" customWidth="1"/>
    <col min="47" max="50" width="11.21875" style="435"/>
    <col min="51" max="51" width="9.6640625" style="435" customWidth="1"/>
    <col min="52" max="52" width="14.6640625" style="435" customWidth="1"/>
    <col min="53" max="54" width="11.21875" style="435"/>
    <col min="55" max="55" width="12.6640625" style="435" customWidth="1"/>
    <col min="56" max="56" width="10.6640625" style="435" customWidth="1"/>
    <col min="57" max="16384" width="11.21875" style="435"/>
  </cols>
  <sheetData>
    <row r="1" spans="1:7" ht="15.75" customHeight="1">
      <c r="A1" s="1197" t="str">
        <f>'Table of Contents'!A1:C1</f>
        <v>Atmos Energy Corporation, Kentucky/Mid-States Division</v>
      </c>
      <c r="B1" s="1197"/>
      <c r="C1" s="1197"/>
      <c r="D1" s="1197"/>
      <c r="E1" s="1197"/>
      <c r="F1" s="1197"/>
    </row>
    <row r="2" spans="1:7" ht="15.75">
      <c r="A2" s="1197" t="str">
        <f>'Table of Contents'!A2:C2</f>
        <v>Kentucky Jurisdiction Case No. 2017-00349</v>
      </c>
      <c r="B2" s="1197"/>
      <c r="C2" s="1197"/>
      <c r="D2" s="1197"/>
      <c r="E2" s="1197"/>
      <c r="F2" s="1197"/>
    </row>
    <row r="3" spans="1:7" ht="15.75">
      <c r="A3" s="1197" t="s">
        <v>429</v>
      </c>
      <c r="B3" s="1197"/>
      <c r="C3" s="1197"/>
      <c r="D3" s="1197"/>
      <c r="E3" s="1197"/>
      <c r="F3" s="1197"/>
    </row>
    <row r="4" spans="1:7" ht="15.75">
      <c r="A4" s="1197" t="str">
        <f>'Table of Contents'!A3:C3</f>
        <v>Base Period: Twelve Months Ended December 31, 2017</v>
      </c>
      <c r="B4" s="1197"/>
      <c r="C4" s="1197"/>
      <c r="D4" s="1197"/>
      <c r="E4" s="1197"/>
      <c r="F4" s="1197"/>
    </row>
    <row r="5" spans="1:7" ht="15.75">
      <c r="A5" s="1197" t="str">
        <f>'Table of Contents'!A4:C4</f>
        <v>Forecasted Test Period: Twelve Months Ended March 31, 2019</v>
      </c>
      <c r="B5" s="1197"/>
      <c r="C5" s="1197"/>
      <c r="D5" s="1197"/>
      <c r="E5" s="1197"/>
      <c r="F5" s="1197"/>
    </row>
    <row r="7" spans="1:7" ht="15.75">
      <c r="A7" s="554" t="s">
        <v>810</v>
      </c>
      <c r="B7" s="436"/>
      <c r="F7" s="555" t="s">
        <v>1434</v>
      </c>
    </row>
    <row r="8" spans="1:7" ht="15.75">
      <c r="A8" s="554" t="s">
        <v>1132</v>
      </c>
      <c r="B8" s="436"/>
      <c r="F8" s="556" t="s">
        <v>175</v>
      </c>
    </row>
    <row r="9" spans="1:7" ht="15.75">
      <c r="A9" s="554" t="s">
        <v>431</v>
      </c>
      <c r="B9" s="436"/>
      <c r="F9" s="557" t="s">
        <v>1365</v>
      </c>
    </row>
    <row r="10" spans="1:7">
      <c r="A10" s="440" t="s">
        <v>94</v>
      </c>
      <c r="B10" s="441"/>
      <c r="C10" s="441"/>
      <c r="D10" s="440" t="s">
        <v>97</v>
      </c>
      <c r="E10" s="441"/>
      <c r="F10" s="441"/>
      <c r="G10" s="439"/>
    </row>
    <row r="11" spans="1:7">
      <c r="A11" s="442" t="s">
        <v>100</v>
      </c>
      <c r="B11" s="442" t="s">
        <v>176</v>
      </c>
      <c r="C11" s="442" t="s">
        <v>177</v>
      </c>
      <c r="D11" s="442" t="s">
        <v>599</v>
      </c>
      <c r="E11" s="442" t="s">
        <v>178</v>
      </c>
      <c r="F11" s="442" t="s">
        <v>600</v>
      </c>
      <c r="G11" s="439"/>
    </row>
    <row r="12" spans="1:7">
      <c r="A12" s="451"/>
      <c r="B12" s="451"/>
      <c r="C12" s="451"/>
      <c r="D12" s="451"/>
      <c r="E12" s="451"/>
      <c r="F12" s="451"/>
      <c r="G12" s="439"/>
    </row>
    <row r="13" spans="1:7" ht="15.75">
      <c r="A13" s="451"/>
      <c r="C13" s="453" t="s">
        <v>812</v>
      </c>
      <c r="D13" s="451"/>
      <c r="E13" s="451"/>
      <c r="F13" s="451"/>
      <c r="G13" s="439"/>
    </row>
    <row r="14" spans="1:7">
      <c r="G14" s="439"/>
    </row>
    <row r="15" spans="1:7">
      <c r="A15" s="443">
        <v>1</v>
      </c>
      <c r="B15" s="444" t="s">
        <v>630</v>
      </c>
      <c r="C15" s="801" t="s">
        <v>1419</v>
      </c>
      <c r="D15" s="778">
        <v>0</v>
      </c>
      <c r="E15" s="445" t="s">
        <v>1068</v>
      </c>
      <c r="F15" s="443">
        <f t="shared" ref="F15:F37" si="0">D15</f>
        <v>0</v>
      </c>
    </row>
    <row r="16" spans="1:7">
      <c r="A16" s="443">
        <f>A15+1</f>
        <v>2</v>
      </c>
      <c r="B16" s="444" t="s">
        <v>630</v>
      </c>
      <c r="C16" s="801" t="s">
        <v>392</v>
      </c>
      <c r="D16" s="778">
        <f>[18]F.1!D15</f>
        <v>37502.46</v>
      </c>
      <c r="E16" s="445"/>
      <c r="F16" s="443"/>
    </row>
    <row r="17" spans="1:6">
      <c r="A17" s="443">
        <f t="shared" ref="A17:A77" si="1">A16+1</f>
        <v>3</v>
      </c>
      <c r="B17" s="444" t="s">
        <v>630</v>
      </c>
      <c r="C17" s="780" t="s">
        <v>1251</v>
      </c>
      <c r="D17" s="778">
        <f>[18]F.1!D16</f>
        <v>3307</v>
      </c>
      <c r="E17" s="184"/>
      <c r="F17" s="443">
        <f t="shared" si="0"/>
        <v>3307</v>
      </c>
    </row>
    <row r="18" spans="1:6">
      <c r="A18" s="443">
        <f t="shared" si="1"/>
        <v>4</v>
      </c>
      <c r="B18" s="444" t="s">
        <v>630</v>
      </c>
      <c r="C18" s="780" t="s">
        <v>1615</v>
      </c>
      <c r="D18" s="778">
        <f>[18]F.1!D17</f>
        <v>7500</v>
      </c>
      <c r="E18" s="184"/>
      <c r="F18" s="443">
        <f t="shared" si="0"/>
        <v>7500</v>
      </c>
    </row>
    <row r="19" spans="1:6">
      <c r="A19" s="443">
        <f t="shared" si="1"/>
        <v>5</v>
      </c>
      <c r="B19" s="444" t="s">
        <v>630</v>
      </c>
      <c r="C19" s="780" t="s">
        <v>1252</v>
      </c>
      <c r="D19" s="778">
        <f>[18]F.1!D18</f>
        <v>125</v>
      </c>
      <c r="E19" s="184"/>
      <c r="F19" s="443">
        <f t="shared" si="0"/>
        <v>125</v>
      </c>
    </row>
    <row r="20" spans="1:6">
      <c r="A20" s="443">
        <f t="shared" si="1"/>
        <v>6</v>
      </c>
      <c r="B20" s="444" t="s">
        <v>630</v>
      </c>
      <c r="C20" s="780" t="s">
        <v>1616</v>
      </c>
      <c r="D20" s="778">
        <f>[18]F.1!D19</f>
        <v>100</v>
      </c>
      <c r="E20" s="184"/>
      <c r="F20" s="443">
        <f t="shared" si="0"/>
        <v>100</v>
      </c>
    </row>
    <row r="21" spans="1:6">
      <c r="A21" s="443">
        <f t="shared" si="1"/>
        <v>7</v>
      </c>
      <c r="B21" s="444" t="s">
        <v>630</v>
      </c>
      <c r="C21" s="780" t="s">
        <v>1253</v>
      </c>
      <c r="D21" s="778">
        <f>[18]F.1!D20</f>
        <v>500</v>
      </c>
      <c r="E21" s="184"/>
      <c r="F21" s="443">
        <f t="shared" si="0"/>
        <v>500</v>
      </c>
    </row>
    <row r="22" spans="1:6">
      <c r="A22" s="443">
        <f t="shared" si="1"/>
        <v>8</v>
      </c>
      <c r="B22" s="444" t="s">
        <v>630</v>
      </c>
      <c r="C22" s="780" t="s">
        <v>1617</v>
      </c>
      <c r="D22" s="778">
        <f>[18]F.1!D21</f>
        <v>100</v>
      </c>
      <c r="E22" s="184"/>
      <c r="F22" s="443">
        <f t="shared" si="0"/>
        <v>100</v>
      </c>
    </row>
    <row r="23" spans="1:6">
      <c r="A23" s="443">
        <f t="shared" si="1"/>
        <v>9</v>
      </c>
      <c r="B23" s="444" t="s">
        <v>630</v>
      </c>
      <c r="C23" s="776" t="s">
        <v>1254</v>
      </c>
      <c r="D23" s="778">
        <f>[18]F.1!D22</f>
        <v>150</v>
      </c>
      <c r="E23" s="184"/>
      <c r="F23" s="443">
        <f t="shared" si="0"/>
        <v>150</v>
      </c>
    </row>
    <row r="24" spans="1:6">
      <c r="A24" s="443">
        <f t="shared" si="1"/>
        <v>10</v>
      </c>
      <c r="B24" s="444" t="s">
        <v>630</v>
      </c>
      <c r="C24" s="780" t="s">
        <v>1420</v>
      </c>
      <c r="D24" s="778">
        <f>[18]F.1!D23</f>
        <v>1348.08</v>
      </c>
      <c r="E24" s="184"/>
      <c r="F24" s="443">
        <f t="shared" si="0"/>
        <v>1348.08</v>
      </c>
    </row>
    <row r="25" spans="1:6">
      <c r="A25" s="443">
        <f t="shared" si="1"/>
        <v>11</v>
      </c>
      <c r="B25" s="444" t="s">
        <v>630</v>
      </c>
      <c r="C25" s="780" t="s">
        <v>1255</v>
      </c>
      <c r="D25" s="778">
        <f>[18]F.1!D24</f>
        <v>250</v>
      </c>
      <c r="E25" s="184"/>
      <c r="F25" s="443">
        <f t="shared" si="0"/>
        <v>250</v>
      </c>
    </row>
    <row r="26" spans="1:6">
      <c r="A26" s="443">
        <f t="shared" si="1"/>
        <v>12</v>
      </c>
      <c r="B26" s="444" t="s">
        <v>630</v>
      </c>
      <c r="C26" s="780" t="s">
        <v>1256</v>
      </c>
      <c r="D26" s="778">
        <f>[18]F.1!D25</f>
        <v>370</v>
      </c>
      <c r="E26" s="184"/>
      <c r="F26" s="443">
        <f t="shared" si="0"/>
        <v>370</v>
      </c>
    </row>
    <row r="27" spans="1:6">
      <c r="A27" s="443">
        <f t="shared" si="1"/>
        <v>13</v>
      </c>
      <c r="B27" s="444" t="s">
        <v>630</v>
      </c>
      <c r="C27" s="780" t="s">
        <v>1618</v>
      </c>
      <c r="D27" s="778">
        <f>[18]F.1!D26</f>
        <v>800</v>
      </c>
      <c r="E27" s="184"/>
      <c r="F27" s="443">
        <f t="shared" si="0"/>
        <v>800</v>
      </c>
    </row>
    <row r="28" spans="1:6">
      <c r="A28" s="443">
        <f t="shared" si="1"/>
        <v>14</v>
      </c>
      <c r="B28" s="444" t="s">
        <v>630</v>
      </c>
      <c r="C28" s="780" t="s">
        <v>1619</v>
      </c>
      <c r="D28" s="778">
        <f>[18]F.1!D27</f>
        <v>300</v>
      </c>
      <c r="E28" s="184"/>
      <c r="F28" s="443">
        <f t="shared" si="0"/>
        <v>300</v>
      </c>
    </row>
    <row r="29" spans="1:6">
      <c r="A29" s="443">
        <f t="shared" si="1"/>
        <v>15</v>
      </c>
      <c r="B29" s="444" t="s">
        <v>630</v>
      </c>
      <c r="C29" s="780" t="s">
        <v>1257</v>
      </c>
      <c r="D29" s="778">
        <f>[18]F.1!D28</f>
        <v>3825</v>
      </c>
      <c r="E29" s="184"/>
      <c r="F29" s="443">
        <f t="shared" si="0"/>
        <v>3825</v>
      </c>
    </row>
    <row r="30" spans="1:6">
      <c r="A30" s="443">
        <f t="shared" si="1"/>
        <v>16</v>
      </c>
      <c r="B30" s="444" t="s">
        <v>630</v>
      </c>
      <c r="C30" s="780" t="s">
        <v>1258</v>
      </c>
      <c r="D30" s="778">
        <f>[18]F.1!D29</f>
        <v>100</v>
      </c>
      <c r="E30" s="184"/>
      <c r="F30" s="443">
        <f t="shared" si="0"/>
        <v>100</v>
      </c>
    </row>
    <row r="31" spans="1:6">
      <c r="A31" s="443">
        <f t="shared" si="1"/>
        <v>17</v>
      </c>
      <c r="B31" s="444" t="s">
        <v>630</v>
      </c>
      <c r="C31" s="780" t="s">
        <v>1259</v>
      </c>
      <c r="D31" s="778">
        <f>[18]F.1!D30</f>
        <v>175</v>
      </c>
      <c r="E31" s="184"/>
      <c r="F31" s="443">
        <f t="shared" si="0"/>
        <v>175</v>
      </c>
    </row>
    <row r="32" spans="1:6">
      <c r="A32" s="443">
        <f t="shared" si="1"/>
        <v>18</v>
      </c>
      <c r="B32" s="444" t="s">
        <v>630</v>
      </c>
      <c r="C32" s="780" t="s">
        <v>1260</v>
      </c>
      <c r="D32" s="778">
        <f>[18]F.1!D31</f>
        <v>760</v>
      </c>
      <c r="E32" s="184"/>
      <c r="F32" s="443">
        <f t="shared" si="0"/>
        <v>760</v>
      </c>
    </row>
    <row r="33" spans="1:6">
      <c r="A33" s="443">
        <f t="shared" si="1"/>
        <v>19</v>
      </c>
      <c r="B33" s="444" t="s">
        <v>630</v>
      </c>
      <c r="C33" s="780" t="s">
        <v>1421</v>
      </c>
      <c r="D33" s="778">
        <f>[18]F.1!D32</f>
        <v>10000</v>
      </c>
      <c r="E33" s="184"/>
      <c r="F33" s="443">
        <f t="shared" si="0"/>
        <v>10000</v>
      </c>
    </row>
    <row r="34" spans="1:6">
      <c r="A34" s="443">
        <f t="shared" si="1"/>
        <v>20</v>
      </c>
      <c r="B34" s="444" t="s">
        <v>630</v>
      </c>
      <c r="C34" s="780" t="s">
        <v>1620</v>
      </c>
      <c r="D34" s="778">
        <f>[18]F.1!D33</f>
        <v>256</v>
      </c>
      <c r="E34" s="184"/>
      <c r="F34" s="443">
        <f t="shared" si="0"/>
        <v>256</v>
      </c>
    </row>
    <row r="35" spans="1:6">
      <c r="A35" s="443">
        <f t="shared" si="1"/>
        <v>21</v>
      </c>
      <c r="B35" s="444" t="s">
        <v>630</v>
      </c>
      <c r="C35" s="780" t="s">
        <v>1621</v>
      </c>
      <c r="D35" s="778">
        <f>[18]F.1!D34</f>
        <v>200</v>
      </c>
      <c r="E35" s="184"/>
      <c r="F35" s="443">
        <f t="shared" si="0"/>
        <v>200</v>
      </c>
    </row>
    <row r="36" spans="1:6">
      <c r="A36" s="443">
        <f t="shared" si="1"/>
        <v>22</v>
      </c>
      <c r="B36" s="444" t="s">
        <v>630</v>
      </c>
      <c r="C36" s="779" t="s">
        <v>1261</v>
      </c>
      <c r="D36" s="778">
        <f>[18]F.1!D35</f>
        <v>200</v>
      </c>
      <c r="E36" s="184"/>
      <c r="F36" s="443">
        <f t="shared" si="0"/>
        <v>200</v>
      </c>
    </row>
    <row r="37" spans="1:6">
      <c r="A37" s="443">
        <f t="shared" si="1"/>
        <v>23</v>
      </c>
      <c r="B37" s="444" t="s">
        <v>630</v>
      </c>
      <c r="C37" s="779" t="s">
        <v>1622</v>
      </c>
      <c r="D37" s="778">
        <f>[18]F.1!D36</f>
        <v>420</v>
      </c>
      <c r="E37" s="184"/>
      <c r="F37" s="443">
        <f t="shared" si="0"/>
        <v>420</v>
      </c>
    </row>
    <row r="38" spans="1:6">
      <c r="A38" s="443">
        <f t="shared" si="1"/>
        <v>24</v>
      </c>
      <c r="B38" s="444" t="s">
        <v>630</v>
      </c>
      <c r="C38" s="779" t="s">
        <v>1623</v>
      </c>
      <c r="D38" s="778">
        <f>[18]F.1!D37</f>
        <v>335</v>
      </c>
      <c r="E38" s="445"/>
      <c r="F38" s="443">
        <f t="shared" ref="F38:F59" si="2">D38</f>
        <v>335</v>
      </c>
    </row>
    <row r="39" spans="1:6">
      <c r="A39" s="443">
        <f t="shared" si="1"/>
        <v>25</v>
      </c>
      <c r="B39" s="444" t="s">
        <v>630</v>
      </c>
      <c r="C39" s="779" t="s">
        <v>1624</v>
      </c>
      <c r="D39" s="778">
        <f>[18]F.1!D38</f>
        <v>1200</v>
      </c>
      <c r="F39" s="443">
        <f t="shared" si="2"/>
        <v>1200</v>
      </c>
    </row>
    <row r="40" spans="1:6">
      <c r="A40" s="443">
        <f t="shared" si="1"/>
        <v>26</v>
      </c>
      <c r="B40" s="444" t="s">
        <v>630</v>
      </c>
      <c r="C40" s="779" t="s">
        <v>1625</v>
      </c>
      <c r="D40" s="778">
        <f>[18]F.1!D39</f>
        <v>305</v>
      </c>
      <c r="F40" s="443">
        <f t="shared" si="2"/>
        <v>305</v>
      </c>
    </row>
    <row r="41" spans="1:6">
      <c r="A41" s="443">
        <f t="shared" si="1"/>
        <v>27</v>
      </c>
      <c r="B41" s="444" t="s">
        <v>630</v>
      </c>
      <c r="C41" s="779" t="s">
        <v>1262</v>
      </c>
      <c r="D41" s="778">
        <f>[18]F.1!D40</f>
        <v>295</v>
      </c>
      <c r="F41" s="443">
        <f t="shared" si="2"/>
        <v>295</v>
      </c>
    </row>
    <row r="42" spans="1:6">
      <c r="A42" s="443">
        <f t="shared" si="1"/>
        <v>28</v>
      </c>
      <c r="B42" s="444" t="s">
        <v>630</v>
      </c>
      <c r="C42" s="779" t="s">
        <v>1626</v>
      </c>
      <c r="D42" s="778">
        <f>[18]F.1!D41</f>
        <v>150</v>
      </c>
      <c r="E42" s="437" t="s">
        <v>327</v>
      </c>
      <c r="F42" s="443">
        <f t="shared" si="2"/>
        <v>150</v>
      </c>
    </row>
    <row r="43" spans="1:6">
      <c r="A43" s="443">
        <f t="shared" si="1"/>
        <v>29</v>
      </c>
      <c r="B43" s="444" t="s">
        <v>630</v>
      </c>
      <c r="C43" s="779" t="s">
        <v>1627</v>
      </c>
      <c r="D43" s="778">
        <f>[18]F.1!D42</f>
        <v>415</v>
      </c>
      <c r="F43" s="443">
        <f t="shared" si="2"/>
        <v>415</v>
      </c>
    </row>
    <row r="44" spans="1:6">
      <c r="A44" s="443">
        <f t="shared" si="1"/>
        <v>30</v>
      </c>
      <c r="B44" s="444" t="s">
        <v>630</v>
      </c>
      <c r="C44" s="779" t="s">
        <v>1628</v>
      </c>
      <c r="D44" s="778">
        <f>[18]F.1!D43</f>
        <v>5000</v>
      </c>
      <c r="F44" s="443">
        <f t="shared" si="2"/>
        <v>5000</v>
      </c>
    </row>
    <row r="45" spans="1:6">
      <c r="A45" s="443">
        <f t="shared" si="1"/>
        <v>31</v>
      </c>
      <c r="B45" s="444" t="s">
        <v>630</v>
      </c>
      <c r="C45" s="779" t="s">
        <v>1629</v>
      </c>
      <c r="D45" s="778">
        <f>[18]F.1!D44</f>
        <v>25</v>
      </c>
      <c r="F45" s="443">
        <f t="shared" si="2"/>
        <v>25</v>
      </c>
    </row>
    <row r="46" spans="1:6">
      <c r="A46" s="443">
        <f t="shared" si="1"/>
        <v>32</v>
      </c>
      <c r="B46" s="444" t="s">
        <v>630</v>
      </c>
      <c r="C46" s="779" t="s">
        <v>1630</v>
      </c>
      <c r="D46" s="778">
        <f>[18]F.1!D45</f>
        <v>15490</v>
      </c>
      <c r="F46" s="443">
        <f t="shared" si="2"/>
        <v>15490</v>
      </c>
    </row>
    <row r="47" spans="1:6">
      <c r="A47" s="443">
        <f t="shared" si="1"/>
        <v>33</v>
      </c>
      <c r="B47" s="444" t="s">
        <v>630</v>
      </c>
      <c r="C47" s="779" t="s">
        <v>1631</v>
      </c>
      <c r="D47" s="778">
        <f>[18]F.1!D46</f>
        <v>200</v>
      </c>
      <c r="E47" s="437" t="s">
        <v>327</v>
      </c>
      <c r="F47" s="443">
        <f t="shared" si="2"/>
        <v>200</v>
      </c>
    </row>
    <row r="48" spans="1:6">
      <c r="A48" s="443">
        <f t="shared" si="1"/>
        <v>34</v>
      </c>
      <c r="B48" s="444" t="s">
        <v>630</v>
      </c>
      <c r="C48" s="779" t="s">
        <v>1263</v>
      </c>
      <c r="D48" s="778">
        <f>[18]F.1!D47</f>
        <v>10720.45</v>
      </c>
      <c r="F48" s="443">
        <f t="shared" si="2"/>
        <v>10720.45</v>
      </c>
    </row>
    <row r="49" spans="1:6">
      <c r="A49" s="443">
        <f t="shared" si="1"/>
        <v>35</v>
      </c>
      <c r="B49" s="444" t="s">
        <v>630</v>
      </c>
      <c r="C49" s="779" t="s">
        <v>1422</v>
      </c>
      <c r="D49" s="778">
        <f>[18]F.1!D48</f>
        <v>1000</v>
      </c>
      <c r="F49" s="443">
        <f t="shared" si="2"/>
        <v>1000</v>
      </c>
    </row>
    <row r="50" spans="1:6">
      <c r="A50" s="443">
        <f t="shared" si="1"/>
        <v>36</v>
      </c>
      <c r="B50" s="444" t="s">
        <v>630</v>
      </c>
      <c r="C50" s="779" t="s">
        <v>1423</v>
      </c>
      <c r="D50" s="778">
        <f>[18]F.1!D49</f>
        <v>133</v>
      </c>
      <c r="F50" s="443">
        <f t="shared" si="2"/>
        <v>133</v>
      </c>
    </row>
    <row r="51" spans="1:6">
      <c r="A51" s="443">
        <f t="shared" si="1"/>
        <v>37</v>
      </c>
      <c r="B51" s="444" t="s">
        <v>630</v>
      </c>
      <c r="C51" s="779" t="s">
        <v>1264</v>
      </c>
      <c r="D51" s="778">
        <f>[18]F.1!D50</f>
        <v>255</v>
      </c>
      <c r="F51" s="443">
        <f t="shared" si="2"/>
        <v>255</v>
      </c>
    </row>
    <row r="52" spans="1:6">
      <c r="A52" s="443">
        <f t="shared" si="1"/>
        <v>38</v>
      </c>
      <c r="B52" s="444" t="s">
        <v>630</v>
      </c>
      <c r="C52" s="779" t="s">
        <v>1265</v>
      </c>
      <c r="D52" s="778">
        <f>[18]F.1!D51</f>
        <v>125</v>
      </c>
      <c r="F52" s="443">
        <f t="shared" si="2"/>
        <v>125</v>
      </c>
    </row>
    <row r="53" spans="1:6">
      <c r="A53" s="443">
        <f t="shared" si="1"/>
        <v>39</v>
      </c>
      <c r="B53" s="444" t="s">
        <v>630</v>
      </c>
      <c r="C53" s="779" t="s">
        <v>1424</v>
      </c>
      <c r="D53" s="778">
        <f>[18]F.1!D52</f>
        <v>30</v>
      </c>
      <c r="F53" s="443">
        <f t="shared" si="2"/>
        <v>30</v>
      </c>
    </row>
    <row r="54" spans="1:6">
      <c r="A54" s="443">
        <f t="shared" si="1"/>
        <v>40</v>
      </c>
      <c r="B54" s="444" t="s">
        <v>630</v>
      </c>
      <c r="C54" s="779" t="s">
        <v>1266</v>
      </c>
      <c r="D54" s="778">
        <f>[18]F.1!D53</f>
        <v>140</v>
      </c>
      <c r="F54" s="443">
        <f t="shared" si="2"/>
        <v>140</v>
      </c>
    </row>
    <row r="55" spans="1:6">
      <c r="A55" s="443">
        <f t="shared" si="1"/>
        <v>41</v>
      </c>
      <c r="B55" s="444" t="s">
        <v>630</v>
      </c>
      <c r="C55" s="781" t="s">
        <v>1632</v>
      </c>
      <c r="D55" s="778">
        <f>[18]F.1!D54</f>
        <v>750</v>
      </c>
      <c r="F55" s="443">
        <f t="shared" si="2"/>
        <v>750</v>
      </c>
    </row>
    <row r="56" spans="1:6">
      <c r="A56" s="443">
        <f t="shared" si="1"/>
        <v>42</v>
      </c>
      <c r="B56" s="444" t="s">
        <v>630</v>
      </c>
      <c r="C56" s="779" t="s">
        <v>1633</v>
      </c>
      <c r="D56" s="778">
        <f>[18]F.1!D55</f>
        <v>350</v>
      </c>
      <c r="F56" s="443">
        <f t="shared" si="2"/>
        <v>350</v>
      </c>
    </row>
    <row r="57" spans="1:6">
      <c r="A57" s="443">
        <f t="shared" si="1"/>
        <v>43</v>
      </c>
      <c r="B57" s="444" t="s">
        <v>630</v>
      </c>
      <c r="C57" s="782" t="s">
        <v>1425</v>
      </c>
      <c r="D57" s="778">
        <f>[18]F.1!D56</f>
        <v>1000</v>
      </c>
      <c r="F57" s="443">
        <f t="shared" si="2"/>
        <v>1000</v>
      </c>
    </row>
    <row r="58" spans="1:6">
      <c r="A58" s="443">
        <f t="shared" si="1"/>
        <v>44</v>
      </c>
      <c r="B58" s="444" t="s">
        <v>630</v>
      </c>
      <c r="C58" s="781" t="s">
        <v>1426</v>
      </c>
      <c r="D58" s="778">
        <f>[18]F.1!D57</f>
        <v>400</v>
      </c>
      <c r="F58" s="443">
        <f t="shared" si="2"/>
        <v>400</v>
      </c>
    </row>
    <row r="59" spans="1:6">
      <c r="A59" s="443">
        <f t="shared" si="1"/>
        <v>45</v>
      </c>
      <c r="B59" s="444" t="s">
        <v>630</v>
      </c>
      <c r="C59" s="782" t="s">
        <v>1634</v>
      </c>
      <c r="D59" s="778">
        <f>[18]F.1!D58</f>
        <v>500</v>
      </c>
      <c r="F59" s="443">
        <f t="shared" si="2"/>
        <v>500</v>
      </c>
    </row>
    <row r="60" spans="1:6">
      <c r="A60" s="443">
        <f t="shared" si="1"/>
        <v>46</v>
      </c>
      <c r="B60" s="444" t="s">
        <v>630</v>
      </c>
      <c r="C60" s="782" t="s">
        <v>1635</v>
      </c>
      <c r="D60" s="778">
        <f>[18]F.1!D59</f>
        <v>1525</v>
      </c>
      <c r="E60" s="445"/>
      <c r="F60" s="443">
        <f t="shared" ref="F60:F77" si="3">D60</f>
        <v>1525</v>
      </c>
    </row>
    <row r="61" spans="1:6">
      <c r="A61" s="443">
        <f t="shared" si="1"/>
        <v>47</v>
      </c>
      <c r="B61" s="444" t="s">
        <v>630</v>
      </c>
      <c r="C61" s="779" t="s">
        <v>1267</v>
      </c>
      <c r="D61" s="778">
        <f>[18]F.1!D60</f>
        <v>500</v>
      </c>
      <c r="F61" s="443">
        <f t="shared" si="3"/>
        <v>500</v>
      </c>
    </row>
    <row r="62" spans="1:6">
      <c r="A62" s="443">
        <f t="shared" si="1"/>
        <v>48</v>
      </c>
      <c r="B62" s="444" t="s">
        <v>630</v>
      </c>
      <c r="C62" s="779" t="s">
        <v>1636</v>
      </c>
      <c r="D62" s="778">
        <f>[18]F.1!D61</f>
        <v>130</v>
      </c>
      <c r="F62" s="443">
        <f t="shared" si="3"/>
        <v>130</v>
      </c>
    </row>
    <row r="63" spans="1:6">
      <c r="A63" s="443">
        <f t="shared" si="1"/>
        <v>49</v>
      </c>
      <c r="B63" s="448" t="s">
        <v>630</v>
      </c>
      <c r="C63" s="776" t="s">
        <v>1268</v>
      </c>
      <c r="D63" s="778">
        <f>[18]F.1!D62</f>
        <v>300</v>
      </c>
      <c r="F63" s="443">
        <f t="shared" si="3"/>
        <v>300</v>
      </c>
    </row>
    <row r="64" spans="1:6">
      <c r="A64" s="443">
        <f t="shared" si="1"/>
        <v>50</v>
      </c>
      <c r="B64" s="444" t="s">
        <v>630</v>
      </c>
      <c r="C64" s="782" t="s">
        <v>1269</v>
      </c>
      <c r="D64" s="778">
        <f>[18]F.1!D63</f>
        <v>250</v>
      </c>
      <c r="F64" s="443">
        <f t="shared" si="3"/>
        <v>250</v>
      </c>
    </row>
    <row r="65" spans="1:6">
      <c r="A65" s="443">
        <f t="shared" si="1"/>
        <v>51</v>
      </c>
      <c r="B65" s="444" t="s">
        <v>630</v>
      </c>
      <c r="C65" s="779" t="s">
        <v>1637</v>
      </c>
      <c r="D65" s="778">
        <f>[18]F.1!D64</f>
        <v>100</v>
      </c>
      <c r="F65" s="443">
        <f t="shared" si="3"/>
        <v>100</v>
      </c>
    </row>
    <row r="66" spans="1:6">
      <c r="A66" s="443">
        <f t="shared" si="1"/>
        <v>52</v>
      </c>
      <c r="B66" s="444" t="s">
        <v>630</v>
      </c>
      <c r="C66" s="779" t="s">
        <v>1270</v>
      </c>
      <c r="D66" s="778">
        <f>[18]F.1!D65</f>
        <v>975</v>
      </c>
      <c r="F66" s="443">
        <f t="shared" si="3"/>
        <v>975</v>
      </c>
    </row>
    <row r="67" spans="1:6">
      <c r="A67" s="443">
        <f t="shared" si="1"/>
        <v>53</v>
      </c>
      <c r="B67" s="444" t="s">
        <v>630</v>
      </c>
      <c r="C67" s="779" t="s">
        <v>1638</v>
      </c>
      <c r="D67" s="778">
        <f>[18]F.1!D66</f>
        <v>163.19999999999999</v>
      </c>
      <c r="F67" s="443">
        <f t="shared" si="3"/>
        <v>163.19999999999999</v>
      </c>
    </row>
    <row r="68" spans="1:6">
      <c r="A68" s="443">
        <f t="shared" si="1"/>
        <v>54</v>
      </c>
      <c r="B68" s="444" t="s">
        <v>630</v>
      </c>
      <c r="C68" s="779" t="s">
        <v>1639</v>
      </c>
      <c r="D68" s="778">
        <f>[18]F.1!D67</f>
        <v>500</v>
      </c>
      <c r="F68" s="443">
        <f t="shared" si="3"/>
        <v>500</v>
      </c>
    </row>
    <row r="69" spans="1:6">
      <c r="A69" s="443">
        <f t="shared" si="1"/>
        <v>55</v>
      </c>
      <c r="B69" s="444" t="s">
        <v>630</v>
      </c>
      <c r="C69" s="779" t="s">
        <v>1640</v>
      </c>
      <c r="D69" s="778">
        <f>[18]F.1!D68</f>
        <v>60</v>
      </c>
      <c r="F69" s="443">
        <f t="shared" si="3"/>
        <v>60</v>
      </c>
    </row>
    <row r="70" spans="1:6">
      <c r="A70" s="443">
        <f t="shared" si="1"/>
        <v>56</v>
      </c>
      <c r="B70" s="444" t="s">
        <v>630</v>
      </c>
      <c r="C70" s="779" t="s">
        <v>1271</v>
      </c>
      <c r="D70" s="778">
        <f>[18]F.1!D69</f>
        <v>2999.4</v>
      </c>
      <c r="F70" s="443">
        <f t="shared" si="3"/>
        <v>2999.4</v>
      </c>
    </row>
    <row r="71" spans="1:6">
      <c r="A71" s="443">
        <f t="shared" si="1"/>
        <v>57</v>
      </c>
      <c r="B71" s="444" t="s">
        <v>630</v>
      </c>
      <c r="C71" s="779" t="s">
        <v>1272</v>
      </c>
      <c r="D71" s="778">
        <f>[18]F.1!D70</f>
        <v>390</v>
      </c>
      <c r="F71" s="443">
        <f t="shared" si="3"/>
        <v>390</v>
      </c>
    </row>
    <row r="72" spans="1:6">
      <c r="A72" s="443">
        <f t="shared" si="1"/>
        <v>58</v>
      </c>
      <c r="B72" s="444" t="s">
        <v>630</v>
      </c>
      <c r="C72" s="779" t="s">
        <v>1641</v>
      </c>
      <c r="D72" s="778">
        <f>[18]F.1!D71</f>
        <v>6000</v>
      </c>
      <c r="F72" s="443">
        <f t="shared" si="3"/>
        <v>6000</v>
      </c>
    </row>
    <row r="73" spans="1:6">
      <c r="A73" s="443">
        <f t="shared" si="1"/>
        <v>59</v>
      </c>
      <c r="B73" s="444" t="s">
        <v>630</v>
      </c>
      <c r="C73" s="779" t="s">
        <v>1642</v>
      </c>
      <c r="D73" s="778">
        <f>[18]F.1!D72</f>
        <v>0</v>
      </c>
      <c r="F73" s="443">
        <f t="shared" si="3"/>
        <v>0</v>
      </c>
    </row>
    <row r="74" spans="1:6">
      <c r="A74" s="443">
        <f t="shared" si="1"/>
        <v>60</v>
      </c>
      <c r="B74" s="444" t="s">
        <v>630</v>
      </c>
      <c r="C74" s="776" t="s">
        <v>1643</v>
      </c>
      <c r="D74" s="778">
        <f>[18]F.1!D73</f>
        <v>125</v>
      </c>
      <c r="F74" s="443">
        <f t="shared" si="3"/>
        <v>125</v>
      </c>
    </row>
    <row r="75" spans="1:6">
      <c r="A75" s="443">
        <f t="shared" si="1"/>
        <v>61</v>
      </c>
      <c r="B75" s="444" t="s">
        <v>630</v>
      </c>
      <c r="C75" s="779" t="s">
        <v>1273</v>
      </c>
      <c r="D75" s="778">
        <f>[18]F.1!D74</f>
        <v>250</v>
      </c>
      <c r="F75" s="443">
        <f t="shared" si="3"/>
        <v>250</v>
      </c>
    </row>
    <row r="76" spans="1:6">
      <c r="A76" s="443">
        <f t="shared" si="1"/>
        <v>62</v>
      </c>
      <c r="B76" s="444" t="s">
        <v>630</v>
      </c>
      <c r="C76" s="779" t="s">
        <v>1644</v>
      </c>
      <c r="D76" s="778">
        <f>[18]F.1!D75</f>
        <v>470</v>
      </c>
      <c r="E76" s="454"/>
      <c r="F76" s="443">
        <f t="shared" si="3"/>
        <v>470</v>
      </c>
    </row>
    <row r="77" spans="1:6">
      <c r="A77" s="443">
        <f t="shared" si="1"/>
        <v>63</v>
      </c>
      <c r="B77" s="444" t="s">
        <v>630</v>
      </c>
      <c r="C77" s="779" t="s">
        <v>1645</v>
      </c>
      <c r="D77" s="778">
        <f>[18]F.1!D76</f>
        <v>50</v>
      </c>
      <c r="E77" s="454"/>
      <c r="F77" s="443">
        <f t="shared" si="3"/>
        <v>50</v>
      </c>
    </row>
    <row r="78" spans="1:6">
      <c r="A78" s="443"/>
      <c r="B78" s="444"/>
    </row>
    <row r="79" spans="1:6" ht="15.75">
      <c r="C79" s="450" t="s">
        <v>811</v>
      </c>
      <c r="D79" s="446">
        <f>SUM(D15:D78)</f>
        <v>121894.59</v>
      </c>
      <c r="F79" s="446">
        <f>SUM(F15:F78)</f>
        <v>84392.12999999999</v>
      </c>
    </row>
    <row r="81" spans="1:6" ht="15.75">
      <c r="C81" s="453" t="s">
        <v>1396</v>
      </c>
    </row>
    <row r="82" spans="1:6" ht="15.75">
      <c r="C82" s="452"/>
    </row>
    <row r="83" spans="1:6">
      <c r="A83" s="443">
        <v>1</v>
      </c>
      <c r="B83" s="444" t="s">
        <v>630</v>
      </c>
      <c r="C83" s="780" t="str">
        <f>C15</f>
        <v>JOURNAL ENTRY</v>
      </c>
      <c r="D83" s="778">
        <v>0</v>
      </c>
      <c r="E83" s="445" t="s">
        <v>1068</v>
      </c>
      <c r="F83" s="443">
        <f t="shared" ref="F83:F104" si="4">D83</f>
        <v>0</v>
      </c>
    </row>
    <row r="84" spans="1:6">
      <c r="A84" s="443">
        <f t="shared" ref="A84:A99" si="5">A83+1</f>
        <v>2</v>
      </c>
      <c r="B84" s="444" t="s">
        <v>630</v>
      </c>
      <c r="C84" s="801" t="s">
        <v>392</v>
      </c>
      <c r="D84" s="780">
        <f>[18]F.1!D83</f>
        <v>37502.46</v>
      </c>
      <c r="F84" s="443">
        <f t="shared" si="4"/>
        <v>37502.46</v>
      </c>
    </row>
    <row r="85" spans="1:6">
      <c r="A85" s="443">
        <f t="shared" si="5"/>
        <v>3</v>
      </c>
      <c r="B85" s="444" t="s">
        <v>630</v>
      </c>
      <c r="C85" s="780" t="s">
        <v>1251</v>
      </c>
      <c r="D85" s="780">
        <f>[18]F.1!D84</f>
        <v>3307</v>
      </c>
      <c r="F85" s="443">
        <f t="shared" si="4"/>
        <v>3307</v>
      </c>
    </row>
    <row r="86" spans="1:6">
      <c r="A86" s="443">
        <f t="shared" si="5"/>
        <v>4</v>
      </c>
      <c r="B86" s="444" t="s">
        <v>630</v>
      </c>
      <c r="C86" s="780" t="s">
        <v>1615</v>
      </c>
      <c r="D86" s="780">
        <f>[18]F.1!D85</f>
        <v>7500</v>
      </c>
      <c r="F86" s="443">
        <f t="shared" si="4"/>
        <v>7500</v>
      </c>
    </row>
    <row r="87" spans="1:6">
      <c r="A87" s="443">
        <f t="shared" si="5"/>
        <v>5</v>
      </c>
      <c r="B87" s="444" t="s">
        <v>630</v>
      </c>
      <c r="C87" s="780" t="s">
        <v>1252</v>
      </c>
      <c r="D87" s="780">
        <f>[18]F.1!D86</f>
        <v>125</v>
      </c>
      <c r="F87" s="443">
        <f t="shared" si="4"/>
        <v>125</v>
      </c>
    </row>
    <row r="88" spans="1:6">
      <c r="A88" s="443">
        <f t="shared" si="5"/>
        <v>6</v>
      </c>
      <c r="B88" s="444" t="s">
        <v>630</v>
      </c>
      <c r="C88" s="780" t="s">
        <v>1616</v>
      </c>
      <c r="D88" s="780">
        <f>[18]F.1!D87</f>
        <v>100</v>
      </c>
      <c r="F88" s="443">
        <f t="shared" si="4"/>
        <v>100</v>
      </c>
    </row>
    <row r="89" spans="1:6">
      <c r="A89" s="443">
        <f t="shared" si="5"/>
        <v>7</v>
      </c>
      <c r="B89" s="444" t="s">
        <v>630</v>
      </c>
      <c r="C89" s="780" t="s">
        <v>1253</v>
      </c>
      <c r="D89" s="780">
        <f>[18]F.1!D88</f>
        <v>500</v>
      </c>
      <c r="F89" s="443">
        <f t="shared" si="4"/>
        <v>500</v>
      </c>
    </row>
    <row r="90" spans="1:6">
      <c r="A90" s="443">
        <f t="shared" si="5"/>
        <v>8</v>
      </c>
      <c r="B90" s="444" t="s">
        <v>630</v>
      </c>
      <c r="C90" s="780" t="s">
        <v>1617</v>
      </c>
      <c r="D90" s="780">
        <f>[18]F.1!D89</f>
        <v>100</v>
      </c>
      <c r="F90" s="443">
        <f t="shared" si="4"/>
        <v>100</v>
      </c>
    </row>
    <row r="91" spans="1:6">
      <c r="A91" s="443">
        <f t="shared" si="5"/>
        <v>9</v>
      </c>
      <c r="B91" s="444" t="s">
        <v>630</v>
      </c>
      <c r="C91" s="776" t="s">
        <v>1254</v>
      </c>
      <c r="D91" s="780">
        <f>[18]F.1!D90</f>
        <v>150</v>
      </c>
      <c r="F91" s="443">
        <f t="shared" si="4"/>
        <v>150</v>
      </c>
    </row>
    <row r="92" spans="1:6">
      <c r="A92" s="443">
        <f t="shared" si="5"/>
        <v>10</v>
      </c>
      <c r="B92" s="444" t="s">
        <v>630</v>
      </c>
      <c r="C92" s="780" t="s">
        <v>1420</v>
      </c>
      <c r="D92" s="780">
        <f>[18]F.1!D91</f>
        <v>1348.08</v>
      </c>
      <c r="F92" s="443">
        <f t="shared" si="4"/>
        <v>1348.08</v>
      </c>
    </row>
    <row r="93" spans="1:6">
      <c r="A93" s="443">
        <f t="shared" si="5"/>
        <v>11</v>
      </c>
      <c r="B93" s="444" t="s">
        <v>630</v>
      </c>
      <c r="C93" s="780" t="s">
        <v>1255</v>
      </c>
      <c r="D93" s="780">
        <f>[18]F.1!D92</f>
        <v>250</v>
      </c>
      <c r="F93" s="443">
        <f t="shared" si="4"/>
        <v>250</v>
      </c>
    </row>
    <row r="94" spans="1:6">
      <c r="A94" s="443">
        <f t="shared" si="5"/>
        <v>12</v>
      </c>
      <c r="B94" s="444" t="s">
        <v>630</v>
      </c>
      <c r="C94" s="780" t="s">
        <v>1256</v>
      </c>
      <c r="D94" s="780">
        <f>[18]F.1!D93</f>
        <v>370</v>
      </c>
      <c r="F94" s="443">
        <f t="shared" si="4"/>
        <v>370</v>
      </c>
    </row>
    <row r="95" spans="1:6">
      <c r="A95" s="443">
        <f t="shared" si="5"/>
        <v>13</v>
      </c>
      <c r="B95" s="444" t="s">
        <v>630</v>
      </c>
      <c r="C95" s="780" t="s">
        <v>1618</v>
      </c>
      <c r="D95" s="780">
        <f>[18]F.1!D94</f>
        <v>800</v>
      </c>
      <c r="F95" s="443">
        <f t="shared" si="4"/>
        <v>800</v>
      </c>
    </row>
    <row r="96" spans="1:6">
      <c r="A96" s="443">
        <f t="shared" si="5"/>
        <v>14</v>
      </c>
      <c r="B96" s="444" t="s">
        <v>630</v>
      </c>
      <c r="C96" s="780" t="s">
        <v>1619</v>
      </c>
      <c r="D96" s="780">
        <f>[18]F.1!D95</f>
        <v>300</v>
      </c>
      <c r="F96" s="443">
        <f t="shared" si="4"/>
        <v>300</v>
      </c>
    </row>
    <row r="97" spans="1:6">
      <c r="A97" s="443">
        <f t="shared" si="5"/>
        <v>15</v>
      </c>
      <c r="B97" s="444" t="s">
        <v>630</v>
      </c>
      <c r="C97" s="780" t="s">
        <v>1257</v>
      </c>
      <c r="D97" s="780">
        <f>[18]F.1!D96</f>
        <v>3825</v>
      </c>
      <c r="F97" s="443">
        <f t="shared" si="4"/>
        <v>3825</v>
      </c>
    </row>
    <row r="98" spans="1:6">
      <c r="A98" s="443">
        <f t="shared" si="5"/>
        <v>16</v>
      </c>
      <c r="B98" s="444" t="s">
        <v>630</v>
      </c>
      <c r="C98" s="780" t="s">
        <v>1258</v>
      </c>
      <c r="D98" s="780">
        <f>[18]F.1!D97</f>
        <v>100</v>
      </c>
      <c r="F98" s="443">
        <f t="shared" si="4"/>
        <v>100</v>
      </c>
    </row>
    <row r="99" spans="1:6">
      <c r="A99" s="443">
        <f t="shared" si="5"/>
        <v>17</v>
      </c>
      <c r="B99" s="444" t="s">
        <v>630</v>
      </c>
      <c r="C99" s="780" t="s">
        <v>1259</v>
      </c>
      <c r="D99" s="780">
        <f>[18]F.1!D98</f>
        <v>175</v>
      </c>
      <c r="F99" s="443">
        <f t="shared" si="4"/>
        <v>175</v>
      </c>
    </row>
    <row r="100" spans="1:6">
      <c r="A100" s="443">
        <v>18</v>
      </c>
      <c r="B100" s="444" t="s">
        <v>630</v>
      </c>
      <c r="C100" s="780" t="s">
        <v>1260</v>
      </c>
      <c r="D100" s="780">
        <f>[18]F.1!D99</f>
        <v>760</v>
      </c>
      <c r="F100" s="443">
        <f t="shared" si="4"/>
        <v>760</v>
      </c>
    </row>
    <row r="101" spans="1:6">
      <c r="A101" s="443">
        <f>A100+1</f>
        <v>19</v>
      </c>
      <c r="B101" s="444" t="s">
        <v>630</v>
      </c>
      <c r="C101" s="780" t="s">
        <v>1421</v>
      </c>
      <c r="D101" s="780">
        <f>[18]F.1!D100</f>
        <v>10000</v>
      </c>
      <c r="F101" s="443">
        <f t="shared" si="4"/>
        <v>10000</v>
      </c>
    </row>
    <row r="102" spans="1:6">
      <c r="A102" s="443">
        <f>A101+1</f>
        <v>20</v>
      </c>
      <c r="B102" s="444" t="s">
        <v>630</v>
      </c>
      <c r="C102" s="780" t="s">
        <v>1620</v>
      </c>
      <c r="D102" s="780">
        <f>[18]F.1!D101</f>
        <v>256</v>
      </c>
      <c r="F102" s="443">
        <f t="shared" si="4"/>
        <v>256</v>
      </c>
    </row>
    <row r="103" spans="1:6">
      <c r="A103" s="443">
        <f>A102+1</f>
        <v>21</v>
      </c>
      <c r="B103" s="444" t="s">
        <v>630</v>
      </c>
      <c r="C103" s="780" t="s">
        <v>1621</v>
      </c>
      <c r="D103" s="780">
        <f>[18]F.1!D102</f>
        <v>200</v>
      </c>
      <c r="F103" s="443">
        <f t="shared" si="4"/>
        <v>200</v>
      </c>
    </row>
    <row r="104" spans="1:6">
      <c r="A104" s="443">
        <f>A103+1</f>
        <v>22</v>
      </c>
      <c r="B104" s="444" t="s">
        <v>630</v>
      </c>
      <c r="C104" s="779" t="s">
        <v>1261</v>
      </c>
      <c r="D104" s="780">
        <f>[18]F.1!D103</f>
        <v>200</v>
      </c>
      <c r="F104" s="443">
        <f t="shared" si="4"/>
        <v>200</v>
      </c>
    </row>
    <row r="105" spans="1:6">
      <c r="A105" s="443">
        <v>23</v>
      </c>
      <c r="B105" s="444" t="s">
        <v>630</v>
      </c>
      <c r="C105" s="779" t="s">
        <v>1622</v>
      </c>
      <c r="D105" s="780">
        <f>[18]F.1!D104</f>
        <v>420</v>
      </c>
      <c r="E105" s="445"/>
      <c r="F105" s="443">
        <f t="shared" ref="F105:F126" si="6">D105</f>
        <v>420</v>
      </c>
    </row>
    <row r="106" spans="1:6">
      <c r="A106" s="443">
        <f t="shared" ref="A106:A126" si="7">A105+1</f>
        <v>24</v>
      </c>
      <c r="B106" s="444" t="s">
        <v>630</v>
      </c>
      <c r="C106" s="779" t="s">
        <v>1623</v>
      </c>
      <c r="D106" s="780">
        <f>[18]F.1!D105</f>
        <v>335</v>
      </c>
      <c r="F106" s="443">
        <f t="shared" si="6"/>
        <v>335</v>
      </c>
    </row>
    <row r="107" spans="1:6">
      <c r="A107" s="443">
        <f t="shared" si="7"/>
        <v>25</v>
      </c>
      <c r="B107" s="444" t="s">
        <v>630</v>
      </c>
      <c r="C107" s="779" t="s">
        <v>1624</v>
      </c>
      <c r="D107" s="780">
        <f>[18]F.1!D106</f>
        <v>1200</v>
      </c>
      <c r="F107" s="443">
        <f t="shared" si="6"/>
        <v>1200</v>
      </c>
    </row>
    <row r="108" spans="1:6">
      <c r="A108" s="443">
        <f t="shared" si="7"/>
        <v>26</v>
      </c>
      <c r="B108" s="444" t="s">
        <v>630</v>
      </c>
      <c r="C108" s="779" t="s">
        <v>1625</v>
      </c>
      <c r="D108" s="780">
        <f>[18]F.1!D107</f>
        <v>305</v>
      </c>
      <c r="F108" s="443">
        <f t="shared" si="6"/>
        <v>305</v>
      </c>
    </row>
    <row r="109" spans="1:6">
      <c r="A109" s="443">
        <f t="shared" si="7"/>
        <v>27</v>
      </c>
      <c r="B109" s="444" t="s">
        <v>630</v>
      </c>
      <c r="C109" s="779" t="s">
        <v>1262</v>
      </c>
      <c r="D109" s="780">
        <f>[18]F.1!D108</f>
        <v>295</v>
      </c>
      <c r="E109" s="437" t="s">
        <v>327</v>
      </c>
      <c r="F109" s="443">
        <f t="shared" si="6"/>
        <v>295</v>
      </c>
    </row>
    <row r="110" spans="1:6">
      <c r="A110" s="443">
        <f t="shared" si="7"/>
        <v>28</v>
      </c>
      <c r="B110" s="444" t="s">
        <v>630</v>
      </c>
      <c r="C110" s="779" t="s">
        <v>1626</v>
      </c>
      <c r="D110" s="780">
        <f>[18]F.1!D109</f>
        <v>150</v>
      </c>
      <c r="F110" s="443">
        <f t="shared" si="6"/>
        <v>150</v>
      </c>
    </row>
    <row r="111" spans="1:6">
      <c r="A111" s="443">
        <f t="shared" si="7"/>
        <v>29</v>
      </c>
      <c r="B111" s="444" t="s">
        <v>630</v>
      </c>
      <c r="C111" s="779" t="s">
        <v>1627</v>
      </c>
      <c r="D111" s="780">
        <f>[18]F.1!D110</f>
        <v>415</v>
      </c>
      <c r="F111" s="443">
        <f t="shared" si="6"/>
        <v>415</v>
      </c>
    </row>
    <row r="112" spans="1:6">
      <c r="A112" s="443">
        <f t="shared" si="7"/>
        <v>30</v>
      </c>
      <c r="B112" s="444" t="s">
        <v>630</v>
      </c>
      <c r="C112" s="779" t="s">
        <v>1628</v>
      </c>
      <c r="D112" s="780">
        <f>[18]F.1!D111</f>
        <v>5000</v>
      </c>
      <c r="F112" s="443">
        <f t="shared" si="6"/>
        <v>5000</v>
      </c>
    </row>
    <row r="113" spans="1:6">
      <c r="A113" s="443">
        <f t="shared" si="7"/>
        <v>31</v>
      </c>
      <c r="B113" s="444" t="s">
        <v>630</v>
      </c>
      <c r="C113" s="779" t="s">
        <v>1629</v>
      </c>
      <c r="D113" s="780">
        <f>[18]F.1!D112</f>
        <v>25</v>
      </c>
      <c r="F113" s="443">
        <f t="shared" si="6"/>
        <v>25</v>
      </c>
    </row>
    <row r="114" spans="1:6">
      <c r="A114" s="443">
        <f t="shared" si="7"/>
        <v>32</v>
      </c>
      <c r="B114" s="444" t="s">
        <v>630</v>
      </c>
      <c r="C114" s="779" t="s">
        <v>1630</v>
      </c>
      <c r="D114" s="780">
        <f>[18]F.1!D113</f>
        <v>15490</v>
      </c>
      <c r="E114" s="437" t="s">
        <v>327</v>
      </c>
      <c r="F114" s="443">
        <f t="shared" si="6"/>
        <v>15490</v>
      </c>
    </row>
    <row r="115" spans="1:6">
      <c r="A115" s="443">
        <f t="shared" si="7"/>
        <v>33</v>
      </c>
      <c r="B115" s="444" t="s">
        <v>630</v>
      </c>
      <c r="C115" s="779" t="s">
        <v>1631</v>
      </c>
      <c r="D115" s="780">
        <f>[18]F.1!D114</f>
        <v>200</v>
      </c>
      <c r="F115" s="443">
        <f t="shared" si="6"/>
        <v>200</v>
      </c>
    </row>
    <row r="116" spans="1:6">
      <c r="A116" s="443">
        <f t="shared" si="7"/>
        <v>34</v>
      </c>
      <c r="B116" s="444" t="s">
        <v>630</v>
      </c>
      <c r="C116" s="779" t="s">
        <v>1263</v>
      </c>
      <c r="D116" s="780">
        <f>[18]F.1!D115</f>
        <v>10720.45</v>
      </c>
      <c r="F116" s="443">
        <f t="shared" si="6"/>
        <v>10720.45</v>
      </c>
    </row>
    <row r="117" spans="1:6">
      <c r="A117" s="443">
        <f t="shared" si="7"/>
        <v>35</v>
      </c>
      <c r="B117" s="444" t="s">
        <v>630</v>
      </c>
      <c r="C117" s="779" t="s">
        <v>1422</v>
      </c>
      <c r="D117" s="780">
        <f>[18]F.1!D116</f>
        <v>1000</v>
      </c>
      <c r="F117" s="443">
        <f t="shared" si="6"/>
        <v>1000</v>
      </c>
    </row>
    <row r="118" spans="1:6">
      <c r="A118" s="443">
        <f t="shared" si="7"/>
        <v>36</v>
      </c>
      <c r="B118" s="444" t="s">
        <v>630</v>
      </c>
      <c r="C118" s="779" t="s">
        <v>1423</v>
      </c>
      <c r="D118" s="780">
        <f>[18]F.1!D117</f>
        <v>133</v>
      </c>
      <c r="F118" s="443">
        <f t="shared" si="6"/>
        <v>133</v>
      </c>
    </row>
    <row r="119" spans="1:6">
      <c r="A119" s="443">
        <f t="shared" si="7"/>
        <v>37</v>
      </c>
      <c r="B119" s="444" t="s">
        <v>630</v>
      </c>
      <c r="C119" s="779" t="s">
        <v>1264</v>
      </c>
      <c r="D119" s="780">
        <f>[18]F.1!D118</f>
        <v>255</v>
      </c>
      <c r="F119" s="443">
        <f t="shared" si="6"/>
        <v>255</v>
      </c>
    </row>
    <row r="120" spans="1:6">
      <c r="A120" s="443">
        <f t="shared" si="7"/>
        <v>38</v>
      </c>
      <c r="B120" s="444" t="s">
        <v>630</v>
      </c>
      <c r="C120" s="779" t="s">
        <v>1265</v>
      </c>
      <c r="D120" s="780">
        <f>[18]F.1!D119</f>
        <v>125</v>
      </c>
      <c r="F120" s="443">
        <f t="shared" si="6"/>
        <v>125</v>
      </c>
    </row>
    <row r="121" spans="1:6">
      <c r="A121" s="443">
        <f t="shared" si="7"/>
        <v>39</v>
      </c>
      <c r="B121" s="444" t="s">
        <v>630</v>
      </c>
      <c r="C121" s="779" t="s">
        <v>1424</v>
      </c>
      <c r="D121" s="780">
        <f>[18]F.1!D120</f>
        <v>30</v>
      </c>
      <c r="F121" s="443">
        <f t="shared" si="6"/>
        <v>30</v>
      </c>
    </row>
    <row r="122" spans="1:6">
      <c r="A122" s="443">
        <f t="shared" si="7"/>
        <v>40</v>
      </c>
      <c r="B122" s="444" t="s">
        <v>630</v>
      </c>
      <c r="C122" s="779" t="s">
        <v>1266</v>
      </c>
      <c r="D122" s="780">
        <f>[18]F.1!D121</f>
        <v>140</v>
      </c>
      <c r="F122" s="443">
        <f t="shared" si="6"/>
        <v>140</v>
      </c>
    </row>
    <row r="123" spans="1:6">
      <c r="A123" s="443">
        <f t="shared" si="7"/>
        <v>41</v>
      </c>
      <c r="B123" s="444" t="s">
        <v>630</v>
      </c>
      <c r="C123" s="781" t="s">
        <v>1632</v>
      </c>
      <c r="D123" s="780">
        <f>[18]F.1!D122</f>
        <v>750</v>
      </c>
      <c r="F123" s="443">
        <f t="shared" si="6"/>
        <v>750</v>
      </c>
    </row>
    <row r="124" spans="1:6">
      <c r="A124" s="443">
        <f t="shared" si="7"/>
        <v>42</v>
      </c>
      <c r="B124" s="444" t="s">
        <v>630</v>
      </c>
      <c r="C124" s="779" t="s">
        <v>1633</v>
      </c>
      <c r="D124" s="780">
        <f>[18]F.1!D123</f>
        <v>350</v>
      </c>
      <c r="F124" s="443">
        <f t="shared" si="6"/>
        <v>350</v>
      </c>
    </row>
    <row r="125" spans="1:6">
      <c r="A125" s="443">
        <f t="shared" si="7"/>
        <v>43</v>
      </c>
      <c r="B125" s="444" t="s">
        <v>630</v>
      </c>
      <c r="C125" s="782" t="s">
        <v>1425</v>
      </c>
      <c r="D125" s="780">
        <f>[18]F.1!D124</f>
        <v>1000</v>
      </c>
      <c r="F125" s="443">
        <f t="shared" si="6"/>
        <v>1000</v>
      </c>
    </row>
    <row r="126" spans="1:6">
      <c r="A126" s="443">
        <f t="shared" si="7"/>
        <v>44</v>
      </c>
      <c r="B126" s="444" t="s">
        <v>630</v>
      </c>
      <c r="C126" s="781" t="s">
        <v>1426</v>
      </c>
      <c r="D126" s="780">
        <f>[18]F.1!D125</f>
        <v>400</v>
      </c>
      <c r="F126" s="443">
        <f t="shared" si="6"/>
        <v>400</v>
      </c>
    </row>
    <row r="127" spans="1:6">
      <c r="A127" s="443">
        <f>A126+1</f>
        <v>45</v>
      </c>
      <c r="B127" s="444" t="s">
        <v>630</v>
      </c>
      <c r="C127" s="782" t="s">
        <v>1634</v>
      </c>
      <c r="D127" s="780">
        <f>[18]F.1!D126</f>
        <v>500</v>
      </c>
      <c r="E127" s="445"/>
      <c r="F127" s="443">
        <f t="shared" ref="F127:F145" si="8">D127</f>
        <v>500</v>
      </c>
    </row>
    <row r="128" spans="1:6">
      <c r="A128" s="443">
        <f t="shared" ref="A128:A145" si="9">A127+1</f>
        <v>46</v>
      </c>
      <c r="B128" s="444" t="s">
        <v>630</v>
      </c>
      <c r="C128" s="782" t="s">
        <v>1635</v>
      </c>
      <c r="D128" s="780">
        <f>[18]F.1!D127</f>
        <v>1525</v>
      </c>
      <c r="F128" s="443">
        <f t="shared" si="8"/>
        <v>1525</v>
      </c>
    </row>
    <row r="129" spans="1:6">
      <c r="A129" s="443">
        <f t="shared" si="9"/>
        <v>47</v>
      </c>
      <c r="B129" s="444" t="s">
        <v>630</v>
      </c>
      <c r="C129" s="779" t="s">
        <v>1267</v>
      </c>
      <c r="D129" s="780">
        <f>[18]F.1!D128</f>
        <v>500</v>
      </c>
      <c r="F129" s="443">
        <f t="shared" si="8"/>
        <v>500</v>
      </c>
    </row>
    <row r="130" spans="1:6">
      <c r="A130" s="443">
        <f t="shared" si="9"/>
        <v>48</v>
      </c>
      <c r="B130" s="444" t="s">
        <v>630</v>
      </c>
      <c r="C130" s="779" t="s">
        <v>1636</v>
      </c>
      <c r="D130" s="780">
        <f>[18]F.1!D129</f>
        <v>130</v>
      </c>
      <c r="F130" s="443">
        <f t="shared" si="8"/>
        <v>130</v>
      </c>
    </row>
    <row r="131" spans="1:6">
      <c r="A131" s="443">
        <f t="shared" si="9"/>
        <v>49</v>
      </c>
      <c r="B131" s="444" t="s">
        <v>630</v>
      </c>
      <c r="C131" s="776" t="s">
        <v>1268</v>
      </c>
      <c r="D131" s="780">
        <f>[18]F.1!D130</f>
        <v>300</v>
      </c>
      <c r="F131" s="443">
        <f t="shared" si="8"/>
        <v>300</v>
      </c>
    </row>
    <row r="132" spans="1:6">
      <c r="A132" s="443">
        <f t="shared" si="9"/>
        <v>50</v>
      </c>
      <c r="B132" s="444" t="s">
        <v>630</v>
      </c>
      <c r="C132" s="782" t="s">
        <v>1269</v>
      </c>
      <c r="D132" s="780">
        <f>[18]F.1!D131</f>
        <v>250</v>
      </c>
      <c r="F132" s="443">
        <f t="shared" si="8"/>
        <v>250</v>
      </c>
    </row>
    <row r="133" spans="1:6">
      <c r="A133" s="443">
        <f t="shared" si="9"/>
        <v>51</v>
      </c>
      <c r="B133" s="444" t="s">
        <v>630</v>
      </c>
      <c r="C133" s="779" t="s">
        <v>1637</v>
      </c>
      <c r="D133" s="780">
        <f>[18]F.1!D132</f>
        <v>100</v>
      </c>
      <c r="F133" s="443">
        <f t="shared" si="8"/>
        <v>100</v>
      </c>
    </row>
    <row r="134" spans="1:6">
      <c r="A134" s="443">
        <f t="shared" si="9"/>
        <v>52</v>
      </c>
      <c r="B134" s="444" t="s">
        <v>630</v>
      </c>
      <c r="C134" s="779" t="s">
        <v>1270</v>
      </c>
      <c r="D134" s="780">
        <f>[18]F.1!D133</f>
        <v>975</v>
      </c>
      <c r="F134" s="443">
        <f t="shared" si="8"/>
        <v>975</v>
      </c>
    </row>
    <row r="135" spans="1:6">
      <c r="A135" s="443">
        <f t="shared" si="9"/>
        <v>53</v>
      </c>
      <c r="B135" s="444" t="s">
        <v>630</v>
      </c>
      <c r="C135" s="779" t="s">
        <v>1638</v>
      </c>
      <c r="D135" s="780">
        <f>[18]F.1!D134</f>
        <v>163.19999999999999</v>
      </c>
      <c r="F135" s="443">
        <f t="shared" si="8"/>
        <v>163.19999999999999</v>
      </c>
    </row>
    <row r="136" spans="1:6">
      <c r="A136" s="443">
        <f t="shared" si="9"/>
        <v>54</v>
      </c>
      <c r="B136" s="444" t="s">
        <v>630</v>
      </c>
      <c r="C136" s="779" t="s">
        <v>1639</v>
      </c>
      <c r="D136" s="780">
        <f>[18]F.1!D135</f>
        <v>500</v>
      </c>
      <c r="F136" s="443">
        <f t="shared" si="8"/>
        <v>500</v>
      </c>
    </row>
    <row r="137" spans="1:6">
      <c r="A137" s="443">
        <f t="shared" si="9"/>
        <v>55</v>
      </c>
      <c r="B137" s="444" t="s">
        <v>630</v>
      </c>
      <c r="C137" s="779" t="s">
        <v>1640</v>
      </c>
      <c r="D137" s="780">
        <f>[18]F.1!D136</f>
        <v>60</v>
      </c>
      <c r="F137" s="443">
        <f t="shared" si="8"/>
        <v>60</v>
      </c>
    </row>
    <row r="138" spans="1:6">
      <c r="A138" s="443">
        <f t="shared" si="9"/>
        <v>56</v>
      </c>
      <c r="B138" s="444" t="s">
        <v>630</v>
      </c>
      <c r="C138" s="779" t="s">
        <v>1271</v>
      </c>
      <c r="D138" s="780">
        <f>[18]F.1!D137</f>
        <v>2999.4</v>
      </c>
      <c r="F138" s="443">
        <f t="shared" si="8"/>
        <v>2999.4</v>
      </c>
    </row>
    <row r="139" spans="1:6">
      <c r="A139" s="443">
        <f t="shared" si="9"/>
        <v>57</v>
      </c>
      <c r="B139" s="444" t="s">
        <v>630</v>
      </c>
      <c r="C139" s="779" t="s">
        <v>1272</v>
      </c>
      <c r="D139" s="780">
        <f>[18]F.1!D138</f>
        <v>390</v>
      </c>
      <c r="F139" s="443">
        <f t="shared" si="8"/>
        <v>390</v>
      </c>
    </row>
    <row r="140" spans="1:6">
      <c r="A140" s="443">
        <f t="shared" si="9"/>
        <v>58</v>
      </c>
      <c r="B140" s="444" t="s">
        <v>630</v>
      </c>
      <c r="C140" s="779" t="s">
        <v>1641</v>
      </c>
      <c r="D140" s="780">
        <f>[18]F.1!D139</f>
        <v>6000</v>
      </c>
      <c r="F140" s="443">
        <f t="shared" si="8"/>
        <v>6000</v>
      </c>
    </row>
    <row r="141" spans="1:6">
      <c r="A141" s="443">
        <f t="shared" si="9"/>
        <v>59</v>
      </c>
      <c r="B141" s="444" t="s">
        <v>630</v>
      </c>
      <c r="C141" s="779" t="s">
        <v>1642</v>
      </c>
      <c r="D141" s="780">
        <f>[18]F.1!D140</f>
        <v>0</v>
      </c>
      <c r="F141" s="443">
        <f t="shared" si="8"/>
        <v>0</v>
      </c>
    </row>
    <row r="142" spans="1:6">
      <c r="A142" s="443">
        <f t="shared" si="9"/>
        <v>60</v>
      </c>
      <c r="B142" s="444" t="s">
        <v>630</v>
      </c>
      <c r="C142" s="776" t="s">
        <v>1643</v>
      </c>
      <c r="D142" s="780">
        <f>[18]F.1!D141</f>
        <v>125</v>
      </c>
      <c r="F142" s="443">
        <f t="shared" si="8"/>
        <v>125</v>
      </c>
    </row>
    <row r="143" spans="1:6">
      <c r="A143" s="443">
        <f t="shared" si="9"/>
        <v>61</v>
      </c>
      <c r="B143" s="444" t="s">
        <v>630</v>
      </c>
      <c r="C143" s="779" t="s">
        <v>1273</v>
      </c>
      <c r="D143" s="780">
        <f>[18]F.1!D142</f>
        <v>250</v>
      </c>
      <c r="F143" s="443">
        <f t="shared" si="8"/>
        <v>250</v>
      </c>
    </row>
    <row r="144" spans="1:6">
      <c r="A144" s="443">
        <f t="shared" si="9"/>
        <v>62</v>
      </c>
      <c r="B144" s="444" t="s">
        <v>630</v>
      </c>
      <c r="C144" s="779" t="s">
        <v>1644</v>
      </c>
      <c r="D144" s="780">
        <f>[18]F.1!D143</f>
        <v>470</v>
      </c>
      <c r="E144" s="46"/>
      <c r="F144" s="443">
        <f t="shared" si="8"/>
        <v>470</v>
      </c>
    </row>
    <row r="145" spans="1:8">
      <c r="A145" s="443">
        <f t="shared" si="9"/>
        <v>63</v>
      </c>
      <c r="B145" s="444" t="s">
        <v>630</v>
      </c>
      <c r="C145" s="779" t="s">
        <v>1645</v>
      </c>
      <c r="D145" s="780">
        <f>[18]F.1!D144</f>
        <v>50</v>
      </c>
      <c r="E145" s="454"/>
      <c r="F145" s="443">
        <f t="shared" si="8"/>
        <v>50</v>
      </c>
    </row>
    <row r="146" spans="1:8">
      <c r="A146" s="443"/>
      <c r="B146" s="444"/>
      <c r="C146" s="438"/>
      <c r="D146" s="443"/>
      <c r="E146" s="449"/>
      <c r="F146" s="443"/>
    </row>
    <row r="147" spans="1:8" ht="15.75">
      <c r="C147" s="450" t="s">
        <v>1328</v>
      </c>
      <c r="D147" s="446">
        <f>SUM(D83:D146)</f>
        <v>121894.59</v>
      </c>
      <c r="F147" s="446">
        <f>SUM(F83:F146)</f>
        <v>121894.59</v>
      </c>
    </row>
    <row r="149" spans="1:8">
      <c r="A149" s="447"/>
      <c r="B149" s="447"/>
      <c r="C149" s="447"/>
      <c r="D149" s="447"/>
      <c r="E149" s="447"/>
      <c r="F149" s="447"/>
      <c r="G149" s="447"/>
      <c r="H149" s="447"/>
    </row>
    <row r="150" spans="1:8">
      <c r="A150" s="447"/>
      <c r="B150" s="447"/>
      <c r="C150" s="447"/>
      <c r="D150" s="447"/>
      <c r="E150" s="447"/>
      <c r="F150" s="447"/>
      <c r="G150" s="447"/>
      <c r="H150" s="447"/>
    </row>
    <row r="151" spans="1:8">
      <c r="A151" s="447"/>
      <c r="B151" s="447"/>
      <c r="C151" t="s">
        <v>523</v>
      </c>
      <c r="D151" s="447"/>
      <c r="E151" s="447"/>
      <c r="F151" s="447"/>
      <c r="G151" s="447"/>
      <c r="H151" s="447"/>
    </row>
    <row r="152" spans="1:8">
      <c r="A152" s="447"/>
      <c r="B152" s="447"/>
      <c r="C152" s="80" t="s">
        <v>1506</v>
      </c>
      <c r="D152" s="447"/>
      <c r="E152" s="447"/>
      <c r="F152" s="447"/>
      <c r="G152" s="447"/>
      <c r="H152" s="447"/>
    </row>
    <row r="153" spans="1:8">
      <c r="A153" s="447"/>
      <c r="B153" s="447"/>
      <c r="C153" s="447"/>
      <c r="D153" s="447"/>
      <c r="E153" s="447"/>
      <c r="F153" s="447"/>
      <c r="G153" s="447"/>
      <c r="H153" s="447"/>
    </row>
    <row r="154" spans="1:8">
      <c r="A154" s="447"/>
      <c r="B154" s="447"/>
      <c r="C154" s="447"/>
      <c r="D154" s="447"/>
      <c r="E154" s="447"/>
      <c r="F154" s="447"/>
      <c r="G154" s="447"/>
      <c r="H154" s="447"/>
    </row>
    <row r="155" spans="1:8">
      <c r="A155" s="447"/>
      <c r="B155" s="447"/>
      <c r="C155" s="447"/>
      <c r="D155" s="447"/>
      <c r="E155" s="447"/>
      <c r="F155" s="447"/>
      <c r="G155" s="447"/>
      <c r="H155" s="447"/>
    </row>
    <row r="156" spans="1:8">
      <c r="A156" s="447"/>
      <c r="B156" s="447"/>
      <c r="C156" s="447"/>
      <c r="D156" s="447"/>
      <c r="E156" s="447"/>
      <c r="F156" s="447"/>
      <c r="G156" s="447"/>
      <c r="H156" s="447"/>
    </row>
    <row r="157" spans="1:8">
      <c r="A157" s="447"/>
      <c r="B157" s="447"/>
      <c r="C157" s="447"/>
      <c r="D157" s="447"/>
      <c r="E157" s="447"/>
      <c r="F157" s="447"/>
      <c r="G157" s="447"/>
      <c r="H157" s="447"/>
    </row>
    <row r="158" spans="1:8">
      <c r="A158" s="447"/>
      <c r="B158" s="447"/>
      <c r="C158" s="447"/>
      <c r="D158" s="447"/>
      <c r="E158" s="447"/>
      <c r="F158" s="447"/>
      <c r="G158" s="447"/>
      <c r="H158" s="447"/>
    </row>
    <row r="159" spans="1:8">
      <c r="A159" s="447"/>
      <c r="B159" s="447"/>
      <c r="C159" s="447"/>
      <c r="D159" s="447"/>
      <c r="E159" s="447"/>
      <c r="F159" s="447"/>
      <c r="G159" s="447"/>
      <c r="H159" s="447"/>
    </row>
    <row r="160" spans="1:8">
      <c r="A160" s="447"/>
      <c r="B160" s="447"/>
      <c r="C160" s="447"/>
      <c r="D160" s="447"/>
      <c r="E160" s="447"/>
      <c r="F160" s="447"/>
      <c r="G160" s="447"/>
      <c r="H160" s="447"/>
    </row>
  </sheetData>
  <mergeCells count="5">
    <mergeCell ref="A5:F5"/>
    <mergeCell ref="A1:F1"/>
    <mergeCell ref="A2:F2"/>
    <mergeCell ref="A3:F3"/>
    <mergeCell ref="A4:F4"/>
  </mergeCells>
  <phoneticPr fontId="22" type="noConversion"/>
  <printOptions horizontalCentered="1"/>
  <pageMargins left="0.75" right="0.75" top="0.5" bottom="0.56999999999999995" header="0.5" footer="0.23"/>
  <pageSetup scale="59" fitToHeight="53" orientation="portrait" verticalDpi="300" r:id="rId1"/>
  <headerFooter alignWithMargins="0">
    <oddFooter>&amp;RSchedule &amp;A
Page &amp;P of &amp;N</oddFooter>
  </headerFooter>
  <rowBreaks count="1" manualBreakCount="1">
    <brk id="79" max="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M84"/>
  <sheetViews>
    <sheetView view="pageBreakPreview" zoomScale="70" zoomScaleNormal="90" zoomScaleSheetLayoutView="70" workbookViewId="0">
      <selection activeCell="F45" sqref="F45"/>
    </sheetView>
  </sheetViews>
  <sheetFormatPr defaultRowHeight="15"/>
  <cols>
    <col min="2" max="2" width="11.44140625" customWidth="1"/>
    <col min="3" max="3" width="43.109375" customWidth="1"/>
    <col min="4" max="4" width="9.5546875" bestFit="1" customWidth="1"/>
    <col min="5" max="5" width="12.77734375" customWidth="1"/>
    <col min="6" max="6" width="15.77734375" customWidth="1"/>
  </cols>
  <sheetData>
    <row r="1" spans="1:13" ht="15.75">
      <c r="A1" s="1198" t="str">
        <f>'Table of Contents'!A1:C1</f>
        <v>Atmos Energy Corporation, Kentucky/Mid-States Division</v>
      </c>
      <c r="B1" s="1198"/>
      <c r="C1" s="1198"/>
      <c r="D1" s="1198"/>
      <c r="E1" s="1198"/>
      <c r="F1" s="1198"/>
      <c r="G1" s="92"/>
    </row>
    <row r="2" spans="1:13" ht="15.75">
      <c r="A2" s="1198" t="str">
        <f>'Table of Contents'!A2:C2</f>
        <v>Kentucky Jurisdiction Case No. 2017-00349</v>
      </c>
      <c r="B2" s="1198"/>
      <c r="C2" s="1198"/>
      <c r="D2" s="1198"/>
      <c r="E2" s="1198"/>
      <c r="F2" s="1198"/>
      <c r="G2" s="92"/>
    </row>
    <row r="3" spans="1:13" ht="15.75">
      <c r="A3" s="1198" t="s">
        <v>1395</v>
      </c>
      <c r="B3" s="1198"/>
      <c r="C3" s="1198"/>
      <c r="D3" s="1198"/>
      <c r="E3" s="1198"/>
      <c r="F3" s="1198"/>
      <c r="G3" s="92"/>
    </row>
    <row r="4" spans="1:13" ht="15.75">
      <c r="A4" s="1198" t="str">
        <f>'Table of Contents'!A3:C3</f>
        <v>Base Period: Twelve Months Ended December 31, 2017</v>
      </c>
      <c r="B4" s="1198"/>
      <c r="C4" s="1198"/>
      <c r="D4" s="1198"/>
      <c r="E4" s="1198"/>
      <c r="F4" s="1198"/>
      <c r="G4" s="92"/>
    </row>
    <row r="5" spans="1:13" ht="15.75">
      <c r="A5" s="1198" t="str">
        <f>'Table of Contents'!A4:C4</f>
        <v>Forecasted Test Period: Twelve Months Ended March 31, 2019</v>
      </c>
      <c r="B5" s="1198"/>
      <c r="C5" s="1198"/>
      <c r="D5" s="1198"/>
      <c r="E5" s="1198"/>
      <c r="F5" s="1198"/>
      <c r="G5" s="92"/>
    </row>
    <row r="6" spans="1:13" ht="15.75">
      <c r="A6" s="12"/>
      <c r="B6" s="12"/>
      <c r="C6" s="92"/>
      <c r="D6" s="92"/>
      <c r="F6" s="92"/>
      <c r="G6" s="92"/>
    </row>
    <row r="7" spans="1:13" ht="15.75">
      <c r="A7" s="66" t="s">
        <v>810</v>
      </c>
      <c r="B7" s="12"/>
      <c r="C7" s="12"/>
      <c r="D7" s="92"/>
      <c r="F7" s="375" t="s">
        <v>1434</v>
      </c>
      <c r="G7" s="92"/>
    </row>
    <row r="8" spans="1:13" ht="15.75">
      <c r="A8" s="66" t="s">
        <v>1132</v>
      </c>
      <c r="B8" s="12"/>
      <c r="C8" s="12"/>
      <c r="D8" s="92"/>
      <c r="F8" s="559" t="s">
        <v>144</v>
      </c>
      <c r="G8" s="92"/>
    </row>
    <row r="9" spans="1:13" ht="15.75">
      <c r="A9" s="66" t="s">
        <v>431</v>
      </c>
      <c r="B9" s="12"/>
      <c r="C9" s="12"/>
      <c r="D9" s="92"/>
      <c r="F9" s="560" t="str">
        <f>F.1!F9</f>
        <v>Witness: Waller</v>
      </c>
      <c r="G9" s="92"/>
    </row>
    <row r="10" spans="1:13">
      <c r="A10" s="120" t="s">
        <v>94</v>
      </c>
      <c r="B10" s="119"/>
      <c r="C10" s="119"/>
      <c r="D10" s="120" t="s">
        <v>97</v>
      </c>
      <c r="E10" s="119"/>
      <c r="F10" s="119"/>
      <c r="G10" s="92"/>
    </row>
    <row r="11" spans="1:13">
      <c r="A11" s="101" t="s">
        <v>100</v>
      </c>
      <c r="B11" s="101" t="s">
        <v>176</v>
      </c>
      <c r="C11" s="101" t="s">
        <v>91</v>
      </c>
      <c r="D11" s="101" t="s">
        <v>599</v>
      </c>
      <c r="E11" s="91" t="s">
        <v>178</v>
      </c>
      <c r="F11" s="101" t="s">
        <v>600</v>
      </c>
      <c r="G11" s="92"/>
    </row>
    <row r="12" spans="1:13">
      <c r="A12" s="92"/>
      <c r="B12" s="92"/>
      <c r="C12" s="92"/>
      <c r="D12" s="92"/>
      <c r="E12" s="92"/>
      <c r="F12" s="92"/>
      <c r="G12" s="92"/>
    </row>
    <row r="13" spans="1:13" ht="15.75">
      <c r="A13" s="92"/>
      <c r="B13" s="92"/>
      <c r="C13" s="453" t="s">
        <v>812</v>
      </c>
      <c r="D13" s="92"/>
      <c r="E13" s="92"/>
      <c r="F13" s="92"/>
      <c r="G13" s="92"/>
    </row>
    <row r="14" spans="1:13">
      <c r="A14" s="92"/>
      <c r="B14" s="92"/>
      <c r="C14" s="92"/>
      <c r="D14" s="92"/>
      <c r="E14" s="92"/>
      <c r="F14" s="92"/>
      <c r="G14" s="92"/>
    </row>
    <row r="15" spans="1:13">
      <c r="A15" s="104">
        <v>1</v>
      </c>
      <c r="B15" s="444" t="s">
        <v>630</v>
      </c>
      <c r="C15" s="776" t="s">
        <v>1041</v>
      </c>
      <c r="D15" s="777">
        <f>[19]F.2.1!$D$16</f>
        <v>23111.41</v>
      </c>
      <c r="E15" s="444" t="s">
        <v>1068</v>
      </c>
      <c r="F15" s="467">
        <f>D15</f>
        <v>23111.41</v>
      </c>
      <c r="G15" s="80"/>
      <c r="H15" s="80"/>
      <c r="I15" s="80"/>
      <c r="J15" s="80"/>
      <c r="K15" s="80"/>
      <c r="L15" s="80"/>
      <c r="M15" s="80"/>
    </row>
    <row r="16" spans="1:13">
      <c r="A16" s="104">
        <f t="shared" ref="A16:A23" si="0">A15+1</f>
        <v>2</v>
      </c>
      <c r="B16" s="444" t="s">
        <v>630</v>
      </c>
      <c r="C16" s="776" t="s">
        <v>1042</v>
      </c>
      <c r="D16" s="777">
        <v>0</v>
      </c>
      <c r="E16" s="435"/>
      <c r="F16" s="443">
        <f t="shared" ref="F16:F24" si="1">D16</f>
        <v>0</v>
      </c>
      <c r="G16" s="80"/>
    </row>
    <row r="17" spans="1:13">
      <c r="A17" s="104">
        <f t="shared" si="0"/>
        <v>3</v>
      </c>
      <c r="B17" s="444" t="s">
        <v>630</v>
      </c>
      <c r="C17" s="776" t="s">
        <v>440</v>
      </c>
      <c r="D17" s="777">
        <f>[19]F.2.1!$D$17</f>
        <v>3000</v>
      </c>
      <c r="E17" s="435"/>
      <c r="F17" s="443">
        <f t="shared" si="1"/>
        <v>3000</v>
      </c>
      <c r="G17" s="80"/>
    </row>
    <row r="18" spans="1:13">
      <c r="A18" s="104">
        <f t="shared" si="0"/>
        <v>4</v>
      </c>
      <c r="B18" s="444" t="s">
        <v>630</v>
      </c>
      <c r="C18" s="776" t="s">
        <v>966</v>
      </c>
      <c r="D18" s="777">
        <f>[19]F.2.1!$D$18</f>
        <v>8850</v>
      </c>
      <c r="E18" s="435"/>
      <c r="F18" s="443">
        <f t="shared" si="1"/>
        <v>8850</v>
      </c>
      <c r="G18" s="80"/>
      <c r="H18" s="80"/>
      <c r="I18" s="80"/>
      <c r="J18" s="80"/>
      <c r="K18" s="80"/>
      <c r="L18" s="80"/>
      <c r="M18" s="80"/>
    </row>
    <row r="19" spans="1:13">
      <c r="A19" s="104">
        <f t="shared" si="0"/>
        <v>5</v>
      </c>
      <c r="B19" s="444" t="s">
        <v>630</v>
      </c>
      <c r="C19" s="776" t="s">
        <v>967</v>
      </c>
      <c r="D19" s="777">
        <f>[19]F.2.1!$D$20</f>
        <v>11175</v>
      </c>
      <c r="E19" s="435"/>
      <c r="F19" s="443">
        <f t="shared" si="1"/>
        <v>11175</v>
      </c>
      <c r="G19" s="80"/>
      <c r="H19" s="80"/>
      <c r="I19" s="80"/>
      <c r="J19" s="80"/>
      <c r="K19" s="80"/>
      <c r="L19" s="80"/>
      <c r="M19" s="80"/>
    </row>
    <row r="20" spans="1:13">
      <c r="A20" s="104">
        <f t="shared" si="0"/>
        <v>6</v>
      </c>
      <c r="B20" s="444" t="s">
        <v>630</v>
      </c>
      <c r="C20" s="776" t="s">
        <v>1043</v>
      </c>
      <c r="D20" s="777">
        <f>[19]F.2.1!$D$15</f>
        <v>70955</v>
      </c>
      <c r="E20" s="435"/>
      <c r="F20" s="443">
        <f t="shared" si="1"/>
        <v>70955</v>
      </c>
      <c r="G20" s="80"/>
      <c r="H20" s="80"/>
      <c r="I20" s="80"/>
      <c r="J20" s="80"/>
      <c r="K20" s="80"/>
      <c r="L20" s="80"/>
      <c r="M20" s="80"/>
    </row>
    <row r="21" spans="1:13">
      <c r="A21" s="104">
        <f t="shared" si="0"/>
        <v>7</v>
      </c>
      <c r="B21" s="444" t="s">
        <v>630</v>
      </c>
      <c r="C21" s="779" t="s">
        <v>815</v>
      </c>
      <c r="D21" s="777">
        <v>0</v>
      </c>
      <c r="E21" s="435"/>
      <c r="F21" s="443">
        <f t="shared" si="1"/>
        <v>0</v>
      </c>
      <c r="G21" s="80"/>
      <c r="H21" s="80"/>
      <c r="I21" s="80"/>
      <c r="J21" s="80"/>
      <c r="K21" s="80"/>
      <c r="L21" s="80"/>
      <c r="M21" s="80"/>
    </row>
    <row r="22" spans="1:13">
      <c r="A22" s="104">
        <f t="shared" si="0"/>
        <v>8</v>
      </c>
      <c r="B22" s="444" t="s">
        <v>630</v>
      </c>
      <c r="C22" s="779" t="s">
        <v>527</v>
      </c>
      <c r="D22" s="777">
        <f>[19]F.2.1!$D$19</f>
        <v>500</v>
      </c>
      <c r="E22" s="435"/>
      <c r="F22" s="443">
        <f t="shared" si="1"/>
        <v>500</v>
      </c>
      <c r="G22" s="80"/>
      <c r="H22" s="80"/>
      <c r="I22" s="80"/>
      <c r="J22" s="80"/>
      <c r="K22" s="80"/>
      <c r="L22" s="80"/>
      <c r="M22" s="80"/>
    </row>
    <row r="23" spans="1:13">
      <c r="A23" s="104">
        <f t="shared" si="0"/>
        <v>9</v>
      </c>
      <c r="B23" s="444" t="s">
        <v>630</v>
      </c>
      <c r="C23" s="779" t="s">
        <v>1274</v>
      </c>
      <c r="D23" s="777">
        <f>[19]F.2.1!$D$21</f>
        <v>178005</v>
      </c>
      <c r="E23" s="435"/>
      <c r="F23" s="443">
        <f t="shared" si="1"/>
        <v>178005</v>
      </c>
      <c r="G23" s="80"/>
      <c r="H23" s="80"/>
      <c r="I23" s="80"/>
      <c r="J23" s="80"/>
      <c r="K23" s="80"/>
      <c r="L23" s="80"/>
      <c r="M23" s="80"/>
    </row>
    <row r="24" spans="1:13">
      <c r="A24" s="92"/>
      <c r="B24" s="435"/>
      <c r="C24" s="444" t="s">
        <v>97</v>
      </c>
      <c r="D24" s="558">
        <f>SUM(D15:D23,0)</f>
        <v>295596.41000000003</v>
      </c>
      <c r="E24" s="435"/>
      <c r="F24" s="558">
        <f t="shared" si="1"/>
        <v>295596.41000000003</v>
      </c>
      <c r="G24" s="92"/>
      <c r="H24" s="80"/>
      <c r="I24" s="80"/>
      <c r="J24" s="80"/>
      <c r="K24" s="80"/>
      <c r="L24" s="80"/>
      <c r="M24" s="80"/>
    </row>
    <row r="25" spans="1:13">
      <c r="A25" s="92"/>
      <c r="B25" s="92"/>
      <c r="C25" s="92"/>
      <c r="D25" s="92"/>
      <c r="E25" s="92"/>
      <c r="F25" s="92"/>
      <c r="G25" s="92"/>
      <c r="H25" s="80"/>
      <c r="I25" s="80"/>
      <c r="J25" s="80"/>
      <c r="K25" s="80"/>
      <c r="L25" s="80"/>
      <c r="M25" s="80"/>
    </row>
    <row r="26" spans="1:13" ht="15.75">
      <c r="A26" s="92"/>
      <c r="B26" s="435"/>
      <c r="C26" s="453" t="s">
        <v>1396</v>
      </c>
      <c r="D26" s="462"/>
      <c r="E26" s="435"/>
      <c r="F26" s="462"/>
      <c r="G26" s="92"/>
      <c r="H26" s="80"/>
      <c r="I26" s="80"/>
      <c r="J26" s="80"/>
      <c r="K26" s="80"/>
      <c r="L26" s="80"/>
      <c r="M26" s="80"/>
    </row>
    <row r="27" spans="1:13">
      <c r="A27" s="92"/>
      <c r="B27" s="435"/>
      <c r="C27" s="444"/>
      <c r="D27" s="462"/>
      <c r="E27" s="435"/>
      <c r="F27" s="462"/>
      <c r="G27" s="92"/>
      <c r="H27" s="80"/>
      <c r="I27" s="80"/>
      <c r="J27" s="80"/>
      <c r="K27" s="80"/>
      <c r="L27" s="80"/>
      <c r="M27" s="80"/>
    </row>
    <row r="28" spans="1:13">
      <c r="A28" s="104">
        <v>1</v>
      </c>
      <c r="B28" s="444" t="s">
        <v>630</v>
      </c>
      <c r="C28" s="776" t="s">
        <v>1041</v>
      </c>
      <c r="D28" s="777">
        <f>[19]F.2.1!$D$16</f>
        <v>23111.41</v>
      </c>
      <c r="E28" s="444" t="s">
        <v>1068</v>
      </c>
      <c r="F28" s="467">
        <f t="shared" ref="F28:F37" si="2">D28</f>
        <v>23111.41</v>
      </c>
      <c r="G28" s="92"/>
      <c r="H28" s="80"/>
      <c r="I28" s="80"/>
      <c r="J28" s="80"/>
      <c r="K28" s="80"/>
      <c r="L28" s="80"/>
      <c r="M28" s="80"/>
    </row>
    <row r="29" spans="1:13">
      <c r="A29" s="104">
        <f t="shared" ref="A29:A36" si="3">A28+1</f>
        <v>2</v>
      </c>
      <c r="B29" s="444" t="s">
        <v>630</v>
      </c>
      <c r="C29" s="776" t="s">
        <v>1042</v>
      </c>
      <c r="D29" s="777">
        <v>0</v>
      </c>
      <c r="E29" s="435"/>
      <c r="F29" s="443">
        <f t="shared" si="2"/>
        <v>0</v>
      </c>
      <c r="G29" s="92"/>
      <c r="H29" s="80"/>
      <c r="I29" s="80"/>
      <c r="J29" s="80"/>
      <c r="K29" s="80"/>
      <c r="L29" s="80"/>
      <c r="M29" s="80"/>
    </row>
    <row r="30" spans="1:13">
      <c r="A30" s="104">
        <f t="shared" si="3"/>
        <v>3</v>
      </c>
      <c r="B30" s="444" t="s">
        <v>630</v>
      </c>
      <c r="C30" s="776" t="s">
        <v>440</v>
      </c>
      <c r="D30" s="777">
        <f>[19]F.2.1!$D$17</f>
        <v>3000</v>
      </c>
      <c r="E30" s="435"/>
      <c r="F30" s="443">
        <f t="shared" si="2"/>
        <v>3000</v>
      </c>
      <c r="G30" s="92"/>
      <c r="H30" s="80"/>
      <c r="I30" s="80"/>
      <c r="J30" s="80"/>
      <c r="K30" s="80"/>
      <c r="L30" s="80"/>
      <c r="M30" s="80"/>
    </row>
    <row r="31" spans="1:13">
      <c r="A31" s="104">
        <f t="shared" si="3"/>
        <v>4</v>
      </c>
      <c r="B31" s="444" t="s">
        <v>630</v>
      </c>
      <c r="C31" s="776" t="s">
        <v>966</v>
      </c>
      <c r="D31" s="777">
        <f>[19]F.2.1!$D$18</f>
        <v>8850</v>
      </c>
      <c r="E31" s="435"/>
      <c r="F31" s="443">
        <f t="shared" si="2"/>
        <v>8850</v>
      </c>
      <c r="G31" s="92"/>
      <c r="H31" s="80"/>
      <c r="I31" s="80"/>
      <c r="J31" s="80"/>
      <c r="K31" s="80"/>
      <c r="L31" s="80"/>
      <c r="M31" s="80"/>
    </row>
    <row r="32" spans="1:13">
      <c r="A32" s="104">
        <f t="shared" si="3"/>
        <v>5</v>
      </c>
      <c r="B32" s="444" t="s">
        <v>630</v>
      </c>
      <c r="C32" s="776" t="s">
        <v>967</v>
      </c>
      <c r="D32" s="777">
        <f>[19]F.2.1!$D$20</f>
        <v>11175</v>
      </c>
      <c r="E32" s="435"/>
      <c r="F32" s="443">
        <f t="shared" si="2"/>
        <v>11175</v>
      </c>
      <c r="G32" s="92"/>
      <c r="H32" s="80"/>
      <c r="I32" s="80"/>
      <c r="J32" s="80"/>
      <c r="K32" s="80"/>
      <c r="L32" s="80"/>
      <c r="M32" s="80"/>
    </row>
    <row r="33" spans="1:13">
      <c r="A33" s="104">
        <f t="shared" si="3"/>
        <v>6</v>
      </c>
      <c r="B33" s="444" t="s">
        <v>630</v>
      </c>
      <c r="C33" s="776" t="s">
        <v>1043</v>
      </c>
      <c r="D33" s="777">
        <f>[19]F.2.1!$D$15</f>
        <v>70955</v>
      </c>
      <c r="E33" s="435"/>
      <c r="F33" s="443">
        <f t="shared" si="2"/>
        <v>70955</v>
      </c>
      <c r="G33" s="92"/>
      <c r="H33" s="80"/>
      <c r="I33" s="80"/>
      <c r="J33" s="80"/>
      <c r="K33" s="80"/>
      <c r="L33" s="80"/>
      <c r="M33" s="80"/>
    </row>
    <row r="34" spans="1:13">
      <c r="A34" s="104">
        <f t="shared" si="3"/>
        <v>7</v>
      </c>
      <c r="B34" s="444" t="s">
        <v>630</v>
      </c>
      <c r="C34" s="779" t="s">
        <v>815</v>
      </c>
      <c r="D34" s="777">
        <v>0</v>
      </c>
      <c r="E34" s="435"/>
      <c r="F34" s="443">
        <f t="shared" si="2"/>
        <v>0</v>
      </c>
      <c r="G34" s="92"/>
      <c r="H34" s="80"/>
      <c r="I34" s="80"/>
      <c r="J34" s="80"/>
      <c r="K34" s="80"/>
      <c r="L34" s="80"/>
      <c r="M34" s="80"/>
    </row>
    <row r="35" spans="1:13">
      <c r="A35" s="104">
        <f t="shared" si="3"/>
        <v>8</v>
      </c>
      <c r="B35" s="444" t="s">
        <v>630</v>
      </c>
      <c r="C35" s="779" t="s">
        <v>527</v>
      </c>
      <c r="D35" s="777">
        <f>[19]F.2.1!$D$19</f>
        <v>500</v>
      </c>
      <c r="E35" s="435"/>
      <c r="F35" s="443">
        <f t="shared" si="2"/>
        <v>500</v>
      </c>
      <c r="G35" s="92"/>
      <c r="H35" s="80"/>
      <c r="I35" s="80"/>
      <c r="J35" s="80"/>
      <c r="K35" s="80"/>
      <c r="L35" s="80"/>
      <c r="M35" s="80"/>
    </row>
    <row r="36" spans="1:13">
      <c r="A36" s="104">
        <f t="shared" si="3"/>
        <v>9</v>
      </c>
      <c r="B36" s="444" t="s">
        <v>630</v>
      </c>
      <c r="C36" s="779" t="s">
        <v>1274</v>
      </c>
      <c r="D36" s="777">
        <f>[19]F.2.1!$D$21</f>
        <v>178005</v>
      </c>
      <c r="E36" s="435"/>
      <c r="F36" s="443">
        <f t="shared" si="2"/>
        <v>178005</v>
      </c>
      <c r="G36" s="92"/>
      <c r="H36" s="80"/>
      <c r="I36" s="80"/>
      <c r="J36" s="80"/>
      <c r="K36" s="80"/>
      <c r="L36" s="80"/>
      <c r="M36" s="80"/>
    </row>
    <row r="37" spans="1:13">
      <c r="A37" s="92"/>
      <c r="B37" s="435"/>
      <c r="C37" s="444" t="s">
        <v>97</v>
      </c>
      <c r="D37" s="558">
        <f>SUM(D28:D36,0)</f>
        <v>295596.41000000003</v>
      </c>
      <c r="E37" s="435"/>
      <c r="F37" s="558">
        <f t="shared" si="2"/>
        <v>295596.41000000003</v>
      </c>
      <c r="G37" s="92"/>
      <c r="H37" s="80"/>
      <c r="I37" s="80"/>
      <c r="J37" s="80"/>
      <c r="K37" s="80"/>
      <c r="L37" s="80"/>
      <c r="M37" s="80"/>
    </row>
    <row r="38" spans="1:13">
      <c r="A38" s="92"/>
      <c r="B38" s="92"/>
      <c r="C38" s="92"/>
      <c r="D38" s="92"/>
      <c r="E38" s="92"/>
      <c r="F38" s="92"/>
      <c r="G38" s="92"/>
      <c r="H38" s="80"/>
      <c r="I38" s="80"/>
      <c r="J38" s="80"/>
      <c r="K38" s="80"/>
      <c r="L38" s="80"/>
      <c r="M38" s="80"/>
    </row>
    <row r="39" spans="1:13" ht="15.75">
      <c r="A39" s="12"/>
      <c r="B39" s="92"/>
      <c r="C39" s="92"/>
      <c r="D39" s="92"/>
      <c r="E39" s="92"/>
      <c r="F39" s="92"/>
      <c r="G39" s="92"/>
      <c r="H39" s="80"/>
      <c r="I39" s="80"/>
      <c r="J39" s="80"/>
      <c r="K39" s="80"/>
      <c r="L39" s="80"/>
      <c r="M39" s="80"/>
    </row>
    <row r="40" spans="1:13">
      <c r="B40" s="96" t="s">
        <v>413</v>
      </c>
      <c r="G40" s="92"/>
      <c r="H40" s="80"/>
      <c r="I40" s="80"/>
      <c r="J40" s="80"/>
      <c r="K40" s="80"/>
      <c r="L40" s="80"/>
      <c r="M40" s="80"/>
    </row>
    <row r="41" spans="1:13">
      <c r="A41" s="92"/>
      <c r="B41" s="92"/>
      <c r="C41" s="92"/>
      <c r="D41" s="92"/>
      <c r="E41" s="92"/>
      <c r="F41" s="92"/>
      <c r="G41" s="92"/>
      <c r="H41" s="80"/>
      <c r="I41" s="80"/>
      <c r="J41" s="80"/>
      <c r="K41" s="80"/>
      <c r="L41" s="80"/>
      <c r="M41" s="80"/>
    </row>
    <row r="42" spans="1:13">
      <c r="H42" s="80"/>
      <c r="I42" s="80"/>
      <c r="J42" s="80"/>
      <c r="K42" s="80"/>
      <c r="L42" s="80"/>
      <c r="M42" s="80"/>
    </row>
    <row r="43" spans="1:13">
      <c r="B43" t="s">
        <v>523</v>
      </c>
      <c r="H43" s="80"/>
      <c r="I43" s="80"/>
      <c r="J43" s="80"/>
      <c r="K43" s="80"/>
      <c r="L43" s="80"/>
      <c r="M43" s="80"/>
    </row>
    <row r="44" spans="1:13">
      <c r="B44" t="s">
        <v>1505</v>
      </c>
      <c r="H44" s="80"/>
      <c r="I44" s="80"/>
      <c r="J44" s="80"/>
      <c r="K44" s="80"/>
      <c r="L44" s="80"/>
      <c r="M44" s="80"/>
    </row>
    <row r="45" spans="1:13">
      <c r="H45" s="80"/>
      <c r="I45" s="80"/>
      <c r="J45" s="80"/>
      <c r="K45" s="80"/>
      <c r="L45" s="80"/>
      <c r="M45" s="80"/>
    </row>
    <row r="46" spans="1:13">
      <c r="H46" s="80"/>
      <c r="I46" s="80"/>
      <c r="J46" s="80"/>
      <c r="K46" s="80"/>
      <c r="L46" s="80"/>
      <c r="M46" s="80"/>
    </row>
    <row r="47" spans="1:13">
      <c r="H47" s="80"/>
      <c r="I47" s="80"/>
      <c r="J47" s="80"/>
      <c r="K47" s="80"/>
      <c r="L47" s="80"/>
      <c r="M47" s="80"/>
    </row>
    <row r="48" spans="1:13">
      <c r="H48" s="80"/>
      <c r="I48" s="80"/>
      <c r="J48" s="80"/>
      <c r="K48" s="80"/>
      <c r="L48" s="80"/>
      <c r="M48" s="80"/>
    </row>
    <row r="49" spans="8:13">
      <c r="H49" s="80"/>
      <c r="I49" s="80"/>
      <c r="J49" s="80"/>
      <c r="K49" s="80"/>
      <c r="L49" s="80"/>
      <c r="M49" s="80"/>
    </row>
    <row r="50" spans="8:13">
      <c r="H50" s="80"/>
      <c r="I50" s="80"/>
      <c r="J50" s="80"/>
      <c r="K50" s="80"/>
      <c r="L50" s="80"/>
      <c r="M50" s="80"/>
    </row>
    <row r="51" spans="8:13">
      <c r="H51" s="80"/>
      <c r="I51" s="80"/>
      <c r="J51" s="80"/>
      <c r="K51" s="80"/>
      <c r="L51" s="80"/>
      <c r="M51" s="80"/>
    </row>
    <row r="52" spans="8:13">
      <c r="H52" s="80"/>
      <c r="I52" s="80"/>
      <c r="J52" s="80"/>
      <c r="K52" s="80"/>
      <c r="L52" s="80"/>
      <c r="M52" s="80"/>
    </row>
    <row r="53" spans="8:13">
      <c r="H53" s="80"/>
      <c r="I53" s="80"/>
      <c r="J53" s="80"/>
      <c r="K53" s="80"/>
      <c r="L53" s="80"/>
      <c r="M53" s="80"/>
    </row>
    <row r="54" spans="8:13">
      <c r="H54" s="80"/>
      <c r="I54" s="80"/>
      <c r="J54" s="80"/>
      <c r="K54" s="80"/>
      <c r="L54" s="80"/>
      <c r="M54" s="80"/>
    </row>
    <row r="55" spans="8:13">
      <c r="H55" s="80"/>
      <c r="I55" s="80"/>
      <c r="J55" s="80"/>
      <c r="K55" s="80"/>
      <c r="L55" s="80"/>
      <c r="M55" s="80"/>
    </row>
    <row r="56" spans="8:13">
      <c r="H56" s="80"/>
      <c r="I56" s="80"/>
      <c r="J56" s="80"/>
      <c r="K56" s="80"/>
      <c r="L56" s="80"/>
      <c r="M56" s="80"/>
    </row>
    <row r="57" spans="8:13">
      <c r="H57" s="80"/>
      <c r="I57" s="80"/>
      <c r="J57" s="80"/>
      <c r="K57" s="80"/>
      <c r="L57" s="80"/>
      <c r="M57" s="80"/>
    </row>
    <row r="58" spans="8:13">
      <c r="H58" s="80"/>
      <c r="I58" s="80"/>
      <c r="J58" s="80"/>
      <c r="K58" s="80"/>
      <c r="L58" s="80"/>
      <c r="M58" s="80"/>
    </row>
    <row r="59" spans="8:13">
      <c r="H59" s="80"/>
      <c r="I59" s="80"/>
      <c r="J59" s="80"/>
      <c r="K59" s="80"/>
      <c r="L59" s="80"/>
      <c r="M59" s="80"/>
    </row>
    <row r="60" spans="8:13">
      <c r="H60" s="80"/>
      <c r="I60" s="80"/>
      <c r="J60" s="80"/>
      <c r="K60" s="80"/>
      <c r="L60" s="80"/>
      <c r="M60" s="80"/>
    </row>
    <row r="61" spans="8:13">
      <c r="H61" s="80"/>
      <c r="I61" s="80"/>
      <c r="J61" s="80"/>
      <c r="K61" s="80"/>
      <c r="L61" s="80"/>
      <c r="M61" s="80"/>
    </row>
    <row r="62" spans="8:13">
      <c r="H62" s="80"/>
      <c r="I62" s="80"/>
      <c r="J62" s="80"/>
      <c r="K62" s="80"/>
      <c r="L62" s="80"/>
      <c r="M62" s="80"/>
    </row>
    <row r="63" spans="8:13">
      <c r="H63" s="80"/>
      <c r="I63" s="80"/>
      <c r="J63" s="80"/>
      <c r="K63" s="80"/>
      <c r="L63" s="80"/>
      <c r="M63" s="80"/>
    </row>
    <row r="64" spans="8:13">
      <c r="H64" s="80"/>
      <c r="I64" s="80"/>
      <c r="J64" s="80"/>
      <c r="K64" s="80"/>
      <c r="L64" s="80"/>
      <c r="M64" s="80"/>
    </row>
    <row r="65" spans="8:13">
      <c r="H65" s="80"/>
      <c r="I65" s="80"/>
      <c r="J65" s="80"/>
      <c r="K65" s="80"/>
      <c r="L65" s="80"/>
      <c r="M65" s="80"/>
    </row>
    <row r="66" spans="8:13">
      <c r="H66" s="80"/>
      <c r="I66" s="80"/>
      <c r="J66" s="80"/>
      <c r="K66" s="80"/>
      <c r="L66" s="80"/>
      <c r="M66" s="80"/>
    </row>
    <row r="67" spans="8:13">
      <c r="H67" s="80"/>
      <c r="I67" s="80"/>
      <c r="J67" s="80"/>
      <c r="K67" s="80"/>
      <c r="L67" s="80"/>
      <c r="M67" s="80"/>
    </row>
    <row r="68" spans="8:13">
      <c r="H68" s="80"/>
      <c r="I68" s="80"/>
      <c r="J68" s="80"/>
      <c r="K68" s="80"/>
      <c r="L68" s="80"/>
      <c r="M68" s="80"/>
    </row>
    <row r="69" spans="8:13">
      <c r="H69" s="80"/>
      <c r="I69" s="80"/>
      <c r="J69" s="80"/>
      <c r="K69" s="80"/>
      <c r="L69" s="80"/>
      <c r="M69" s="80"/>
    </row>
    <row r="70" spans="8:13">
      <c r="H70" s="80"/>
      <c r="I70" s="80"/>
      <c r="J70" s="80"/>
      <c r="K70" s="80"/>
      <c r="L70" s="80"/>
      <c r="M70" s="80"/>
    </row>
    <row r="71" spans="8:13">
      <c r="H71" s="80"/>
      <c r="I71" s="80"/>
      <c r="J71" s="80"/>
      <c r="K71" s="80"/>
      <c r="L71" s="80"/>
      <c r="M71" s="80"/>
    </row>
    <row r="72" spans="8:13">
      <c r="H72" s="80"/>
      <c r="I72" s="80"/>
      <c r="J72" s="80"/>
      <c r="K72" s="80"/>
      <c r="L72" s="80"/>
      <c r="M72" s="80"/>
    </row>
    <row r="73" spans="8:13">
      <c r="H73" s="80"/>
      <c r="I73" s="80"/>
      <c r="J73" s="80"/>
      <c r="K73" s="80"/>
      <c r="L73" s="80"/>
      <c r="M73" s="80"/>
    </row>
    <row r="74" spans="8:13">
      <c r="H74" s="80"/>
      <c r="I74" s="80"/>
      <c r="J74" s="80"/>
      <c r="K74" s="80"/>
      <c r="L74" s="80"/>
      <c r="M74" s="80"/>
    </row>
    <row r="75" spans="8:13">
      <c r="H75" s="80"/>
      <c r="I75" s="80"/>
      <c r="J75" s="80"/>
      <c r="K75" s="80"/>
      <c r="L75" s="80"/>
      <c r="M75" s="80"/>
    </row>
    <row r="76" spans="8:13">
      <c r="H76" s="80"/>
      <c r="I76" s="80"/>
      <c r="J76" s="80"/>
      <c r="K76" s="80"/>
      <c r="L76" s="80"/>
      <c r="M76" s="80"/>
    </row>
    <row r="77" spans="8:13">
      <c r="H77" s="80"/>
      <c r="I77" s="80"/>
      <c r="J77" s="80"/>
      <c r="K77" s="80"/>
      <c r="L77" s="80"/>
      <c r="M77" s="80"/>
    </row>
    <row r="78" spans="8:13">
      <c r="H78" s="80"/>
      <c r="I78" s="80"/>
      <c r="J78" s="80"/>
      <c r="K78" s="80"/>
      <c r="L78" s="80"/>
      <c r="M78" s="80"/>
    </row>
    <row r="79" spans="8:13">
      <c r="H79" s="80"/>
      <c r="I79" s="80"/>
      <c r="J79" s="80"/>
      <c r="K79" s="80"/>
      <c r="L79" s="80"/>
      <c r="M79" s="80"/>
    </row>
    <row r="80" spans="8:13">
      <c r="H80" s="80"/>
      <c r="I80" s="80"/>
      <c r="J80" s="80"/>
      <c r="K80" s="80"/>
      <c r="L80" s="80"/>
      <c r="M80" s="80"/>
    </row>
    <row r="81" spans="8:13">
      <c r="H81" s="80"/>
      <c r="I81" s="80"/>
      <c r="J81" s="80"/>
      <c r="K81" s="80"/>
      <c r="L81" s="80"/>
      <c r="M81" s="80"/>
    </row>
    <row r="82" spans="8:13">
      <c r="H82" s="80"/>
      <c r="I82" s="80"/>
      <c r="J82" s="80"/>
      <c r="K82" s="80"/>
      <c r="L82" s="80"/>
      <c r="M82" s="80"/>
    </row>
    <row r="83" spans="8:13">
      <c r="H83" s="80"/>
      <c r="I83" s="80"/>
      <c r="J83" s="80"/>
      <c r="K83" s="80"/>
      <c r="L83" s="80"/>
      <c r="M83" s="80"/>
    </row>
    <row r="84" spans="8:13">
      <c r="H84" s="80"/>
      <c r="I84" s="80"/>
      <c r="J84" s="80"/>
      <c r="K84" s="80"/>
      <c r="L84" s="80"/>
      <c r="M84" s="80"/>
    </row>
  </sheetData>
  <mergeCells count="5">
    <mergeCell ref="A5:F5"/>
    <mergeCell ref="A1:F1"/>
    <mergeCell ref="A2:F2"/>
    <mergeCell ref="A3:F3"/>
    <mergeCell ref="A4:F4"/>
  </mergeCells>
  <phoneticPr fontId="22" type="noConversion"/>
  <printOptions horizontalCentered="1"/>
  <pageMargins left="1" right="1" top="1" bottom="1" header="1" footer="0.5"/>
  <pageSetup scale="74" orientation="landscape" verticalDpi="300" r:id="rId1"/>
  <headerFooter alignWithMargins="0">
    <oddFooter>&amp;RSchedule &amp;A
Page &amp;P of &amp;N</oddFooter>
  </headerFooter>
  <rowBreaks count="3" manualBreakCount="3">
    <brk id="61" max="6" man="1"/>
    <brk id="103" max="6" man="1"/>
    <brk id="143" max="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N35"/>
  <sheetViews>
    <sheetView view="pageBreakPreview" zoomScale="60" zoomScaleNormal="90" workbookViewId="0">
      <selection activeCell="F45" sqref="F45"/>
    </sheetView>
  </sheetViews>
  <sheetFormatPr defaultRowHeight="15"/>
  <cols>
    <col min="1" max="1" width="5.5546875" customWidth="1"/>
    <col min="2" max="2" width="9.6640625" customWidth="1"/>
    <col min="3" max="3" width="23.77734375" customWidth="1"/>
    <col min="5" max="5" width="13.44140625" customWidth="1"/>
    <col min="7" max="7" width="3.88671875" customWidth="1"/>
    <col min="9" max="9" width="13.88671875" customWidth="1"/>
  </cols>
  <sheetData>
    <row r="1" spans="1:14" ht="15.75" customHeight="1">
      <c r="A1" s="1178" t="str">
        <f>'Table of Contents'!A1:C1</f>
        <v>Atmos Energy Corporation, Kentucky/Mid-States Division</v>
      </c>
      <c r="B1" s="1178"/>
      <c r="C1" s="1178"/>
      <c r="D1" s="1178"/>
      <c r="E1" s="1178"/>
      <c r="F1" s="1178"/>
      <c r="G1" s="1178"/>
      <c r="H1" s="1178"/>
      <c r="I1" s="1178"/>
      <c r="J1" s="1178"/>
    </row>
    <row r="2" spans="1:14" ht="15.75">
      <c r="A2" s="1178" t="str">
        <f>'Table of Contents'!A2:C2</f>
        <v>Kentucky Jurisdiction Case No. 2017-00349</v>
      </c>
      <c r="B2" s="1178"/>
      <c r="C2" s="1178"/>
      <c r="D2" s="1178"/>
      <c r="E2" s="1178"/>
      <c r="F2" s="1178"/>
      <c r="G2" s="1178"/>
      <c r="H2" s="1178"/>
      <c r="I2" s="1178"/>
      <c r="J2" s="1178"/>
    </row>
    <row r="3" spans="1:14" ht="15.75">
      <c r="A3" s="1178" t="s">
        <v>784</v>
      </c>
      <c r="B3" s="1178"/>
      <c r="C3" s="1178"/>
      <c r="D3" s="1178"/>
      <c r="E3" s="1178"/>
      <c r="F3" s="1178"/>
      <c r="G3" s="1178"/>
      <c r="H3" s="1178"/>
      <c r="I3" s="1178"/>
      <c r="J3" s="1178"/>
    </row>
    <row r="4" spans="1:14" ht="15.75">
      <c r="A4" s="1178" t="str">
        <f>'Table of Contents'!A3:C3</f>
        <v>Base Period: Twelve Months Ended December 31, 2017</v>
      </c>
      <c r="B4" s="1178"/>
      <c r="C4" s="1178"/>
      <c r="D4" s="1178"/>
      <c r="E4" s="1178"/>
      <c r="F4" s="1178"/>
      <c r="G4" s="1178"/>
      <c r="H4" s="1178"/>
      <c r="I4" s="1178"/>
      <c r="J4" s="1178"/>
    </row>
    <row r="5" spans="1:14" ht="15.75">
      <c r="A5" s="1178" t="str">
        <f>'Table of Contents'!A4:C4</f>
        <v>Forecasted Test Period: Twelve Months Ended March 31, 2019</v>
      </c>
      <c r="B5" s="1178"/>
      <c r="C5" s="1178"/>
      <c r="D5" s="1178"/>
      <c r="E5" s="1178"/>
      <c r="F5" s="1178"/>
      <c r="G5" s="1178"/>
      <c r="H5" s="1178"/>
      <c r="I5" s="1178"/>
      <c r="J5" s="1178"/>
    </row>
    <row r="6" spans="1:14" ht="15.75">
      <c r="A6" s="92"/>
      <c r="B6" s="12"/>
      <c r="C6" s="92"/>
      <c r="D6" s="92"/>
      <c r="E6" s="92"/>
      <c r="F6" s="92"/>
      <c r="G6" s="92"/>
      <c r="H6" s="92"/>
      <c r="I6" s="92"/>
      <c r="J6" s="92"/>
    </row>
    <row r="7" spans="1:14" ht="15.75">
      <c r="A7" s="92"/>
      <c r="B7" s="12"/>
      <c r="C7" s="12"/>
      <c r="D7" s="92"/>
      <c r="E7" s="92"/>
      <c r="F7" s="92"/>
      <c r="G7" s="92"/>
      <c r="H7" s="92"/>
      <c r="J7" s="92"/>
    </row>
    <row r="8" spans="1:14" ht="15.75">
      <c r="A8" s="66" t="s">
        <v>485</v>
      </c>
      <c r="B8" s="12"/>
      <c r="C8" s="92"/>
      <c r="D8" s="92"/>
      <c r="E8" s="92"/>
      <c r="F8" s="92"/>
      <c r="G8" s="92"/>
      <c r="H8" s="92"/>
      <c r="J8" s="375" t="s">
        <v>1434</v>
      </c>
    </row>
    <row r="9" spans="1:14" ht="15.75">
      <c r="A9" s="66" t="s">
        <v>1132</v>
      </c>
      <c r="B9" s="12"/>
      <c r="C9" s="92"/>
      <c r="D9" s="92"/>
      <c r="E9" s="92"/>
      <c r="F9" s="92"/>
      <c r="G9" s="92"/>
      <c r="H9" s="92"/>
      <c r="J9" s="559" t="s">
        <v>486</v>
      </c>
    </row>
    <row r="10" spans="1:14" ht="15.75">
      <c r="A10" s="66" t="s">
        <v>431</v>
      </c>
      <c r="B10" s="12"/>
      <c r="C10" s="92"/>
      <c r="D10" s="92"/>
      <c r="E10" s="92"/>
      <c r="F10" s="92"/>
      <c r="G10" s="92"/>
      <c r="H10" s="92"/>
      <c r="I10" s="57"/>
      <c r="J10" s="560" t="str">
        <f>F.1!F9</f>
        <v>Witness: Waller</v>
      </c>
    </row>
    <row r="11" spans="1:14" ht="15.75">
      <c r="A11" s="119"/>
      <c r="B11" s="119"/>
      <c r="C11" s="119"/>
      <c r="D11" s="563"/>
      <c r="E11" s="564" t="s">
        <v>328</v>
      </c>
      <c r="F11" s="565"/>
      <c r="G11" s="119"/>
      <c r="H11" s="563"/>
      <c r="I11" s="564" t="s">
        <v>329</v>
      </c>
      <c r="J11" s="565"/>
    </row>
    <row r="12" spans="1:14">
      <c r="A12" s="90" t="s">
        <v>94</v>
      </c>
      <c r="B12" s="92"/>
      <c r="C12" s="100" t="s">
        <v>487</v>
      </c>
      <c r="D12" s="100" t="s">
        <v>97</v>
      </c>
      <c r="E12" s="92"/>
      <c r="F12" s="92"/>
      <c r="G12" s="92"/>
      <c r="H12" s="100" t="s">
        <v>97</v>
      </c>
      <c r="I12" s="92"/>
      <c r="J12" s="92"/>
    </row>
    <row r="13" spans="1:14">
      <c r="A13" s="91" t="s">
        <v>100</v>
      </c>
      <c r="B13" s="101" t="s">
        <v>176</v>
      </c>
      <c r="C13" s="101" t="s">
        <v>295</v>
      </c>
      <c r="D13" s="101" t="s">
        <v>599</v>
      </c>
      <c r="E13" s="101" t="s">
        <v>178</v>
      </c>
      <c r="F13" s="101" t="s">
        <v>600</v>
      </c>
      <c r="G13" s="97"/>
      <c r="H13" s="101" t="s">
        <v>599</v>
      </c>
      <c r="I13" s="101" t="s">
        <v>178</v>
      </c>
      <c r="J13" s="91" t="s">
        <v>600</v>
      </c>
    </row>
    <row r="14" spans="1:14">
      <c r="A14" s="92"/>
      <c r="B14" s="92"/>
      <c r="C14" s="92"/>
      <c r="D14" s="92"/>
      <c r="E14" s="92"/>
      <c r="F14" s="92"/>
      <c r="G14" s="92"/>
      <c r="H14" s="92"/>
      <c r="I14" s="92"/>
      <c r="J14" s="92"/>
    </row>
    <row r="15" spans="1:14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80"/>
      <c r="L15" s="80"/>
      <c r="M15" s="80"/>
      <c r="N15" s="80"/>
    </row>
    <row r="16" spans="1:14">
      <c r="A16" s="90">
        <v>1</v>
      </c>
      <c r="B16" s="90" t="s">
        <v>630</v>
      </c>
      <c r="C16" s="783" t="s">
        <v>74</v>
      </c>
      <c r="D16" s="784">
        <v>0</v>
      </c>
      <c r="E16" s="2" t="s">
        <v>1068</v>
      </c>
      <c r="F16" s="561">
        <f>D16</f>
        <v>0</v>
      </c>
      <c r="G16" s="92"/>
      <c r="H16" s="561">
        <f>D16</f>
        <v>0</v>
      </c>
      <c r="I16" s="117" t="s">
        <v>1068</v>
      </c>
      <c r="J16" s="561">
        <f>H16</f>
        <v>0</v>
      </c>
      <c r="K16" s="80"/>
      <c r="L16" s="80"/>
      <c r="M16" s="80"/>
      <c r="N16" s="80"/>
    </row>
    <row r="17" spans="1:14">
      <c r="A17" s="92"/>
      <c r="B17" s="92"/>
      <c r="C17" s="92" t="s">
        <v>75</v>
      </c>
      <c r="D17" s="92"/>
      <c r="E17" s="92"/>
      <c r="F17" s="92"/>
      <c r="G17" s="92"/>
      <c r="H17" s="92"/>
      <c r="I17" s="92"/>
      <c r="J17" s="92"/>
      <c r="K17" s="80"/>
      <c r="L17" s="80"/>
      <c r="M17" s="80"/>
      <c r="N17" s="80"/>
    </row>
    <row r="18" spans="1:14">
      <c r="A18" s="122">
        <v>2</v>
      </c>
      <c r="B18" s="90" t="s">
        <v>630</v>
      </c>
      <c r="C18" s="783" t="s">
        <v>76</v>
      </c>
      <c r="D18" s="785">
        <v>0</v>
      </c>
      <c r="E18" s="92"/>
      <c r="F18" s="104">
        <f>D18</f>
        <v>0</v>
      </c>
      <c r="G18" s="92"/>
      <c r="H18" s="104">
        <v>0</v>
      </c>
      <c r="I18" s="92"/>
      <c r="J18" s="104">
        <f>H18</f>
        <v>0</v>
      </c>
      <c r="K18" s="80"/>
      <c r="L18" s="80"/>
      <c r="M18" s="80"/>
      <c r="N18" s="80"/>
    </row>
    <row r="19" spans="1:14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80"/>
      <c r="L19" s="80"/>
      <c r="M19" s="80"/>
      <c r="N19" s="80"/>
    </row>
    <row r="20" spans="1:14" ht="15.75" thickBot="1">
      <c r="A20" s="123">
        <v>3</v>
      </c>
      <c r="B20" s="92"/>
      <c r="C20" s="90" t="s">
        <v>401</v>
      </c>
      <c r="D20" s="562">
        <f>SUM(D16:D18)</f>
        <v>0</v>
      </c>
      <c r="E20" s="92"/>
      <c r="F20" s="562">
        <f>SUM(F16:F18)</f>
        <v>0</v>
      </c>
      <c r="G20" s="92"/>
      <c r="H20" s="562">
        <f>SUM(H16:H18)</f>
        <v>0</v>
      </c>
      <c r="I20" s="92"/>
      <c r="J20" s="562">
        <f>SUM(J16:J18)</f>
        <v>0</v>
      </c>
      <c r="K20" s="80"/>
      <c r="L20" s="80"/>
      <c r="M20" s="80"/>
      <c r="N20" s="80"/>
    </row>
    <row r="21" spans="1:14" ht="15.75" thickTop="1">
      <c r="A21" s="92"/>
      <c r="B21" s="92"/>
      <c r="C21" s="92"/>
      <c r="D21" s="92"/>
      <c r="E21" s="92"/>
      <c r="F21" s="92"/>
      <c r="G21" s="92"/>
      <c r="H21" s="92"/>
      <c r="I21" s="92"/>
      <c r="J21" s="92"/>
    </row>
    <row r="22" spans="1:14">
      <c r="A22" s="90" t="s">
        <v>327</v>
      </c>
      <c r="B22" s="92"/>
      <c r="C22" s="92"/>
      <c r="D22" s="92"/>
      <c r="E22" s="92"/>
      <c r="F22" s="92"/>
      <c r="G22" s="92"/>
      <c r="H22" s="92"/>
      <c r="I22" s="92"/>
      <c r="J22" s="92"/>
    </row>
    <row r="23" spans="1:14">
      <c r="A23" s="92"/>
      <c r="B23" s="92"/>
      <c r="C23" s="92"/>
      <c r="D23" s="92"/>
      <c r="E23" s="92"/>
      <c r="F23" s="92"/>
      <c r="G23" s="92"/>
      <c r="H23" s="92"/>
      <c r="I23" s="92"/>
      <c r="J23" s="92"/>
    </row>
    <row r="24" spans="1:14">
      <c r="A24" s="66" t="s">
        <v>1240</v>
      </c>
      <c r="B24" s="92"/>
      <c r="C24" s="92"/>
      <c r="D24" s="92"/>
      <c r="E24" s="92"/>
      <c r="F24" s="92"/>
      <c r="G24" s="92"/>
      <c r="H24" s="92"/>
      <c r="I24" s="92"/>
      <c r="J24" s="92"/>
    </row>
    <row r="25" spans="1:14">
      <c r="A25" s="66" t="s">
        <v>1556</v>
      </c>
      <c r="B25" s="92"/>
      <c r="C25" s="92"/>
      <c r="D25" s="92"/>
      <c r="E25" s="92"/>
      <c r="F25" s="92"/>
      <c r="G25" s="92"/>
      <c r="H25" s="92"/>
      <c r="I25" s="92"/>
      <c r="J25" s="92"/>
    </row>
    <row r="26" spans="1:14">
      <c r="A26" s="92"/>
      <c r="B26" s="92"/>
      <c r="C26" s="92"/>
      <c r="D26" s="92"/>
      <c r="E26" s="92"/>
      <c r="F26" s="92"/>
      <c r="G26" s="92"/>
      <c r="H26" s="92"/>
      <c r="I26" s="92"/>
      <c r="J26" s="92"/>
    </row>
    <row r="27" spans="1:14">
      <c r="A27" s="92"/>
      <c r="B27" s="92"/>
      <c r="C27" s="92"/>
      <c r="D27" s="92"/>
      <c r="E27" s="92"/>
      <c r="F27" s="92"/>
      <c r="G27" s="92"/>
      <c r="H27" s="92"/>
      <c r="I27" s="92"/>
      <c r="J27" s="92"/>
    </row>
    <row r="28" spans="1:14">
      <c r="A28" s="92"/>
      <c r="B28" s="92"/>
      <c r="C28" s="92"/>
      <c r="D28" s="92"/>
      <c r="E28" s="92"/>
      <c r="F28" s="92"/>
      <c r="G28" s="92"/>
      <c r="H28" s="92"/>
      <c r="I28" s="92"/>
      <c r="J28" s="92"/>
    </row>
    <row r="30" spans="1:14">
      <c r="B30" t="s">
        <v>523</v>
      </c>
    </row>
    <row r="31" spans="1:14">
      <c r="B31" t="s">
        <v>1507</v>
      </c>
    </row>
    <row r="35" spans="2:2">
      <c r="B35" s="591"/>
    </row>
  </sheetData>
  <mergeCells count="5">
    <mergeCell ref="A5:J5"/>
    <mergeCell ref="A1:J1"/>
    <mergeCell ref="A2:J2"/>
    <mergeCell ref="A3:J3"/>
    <mergeCell ref="A4:J4"/>
  </mergeCells>
  <phoneticPr fontId="22" type="noConversion"/>
  <pageMargins left="0.8" right="0.62" top="1" bottom="0.5" header="0.5" footer="0.5"/>
  <pageSetup scale="96" orientation="landscape" verticalDpi="300" r:id="rId1"/>
  <headerFooter alignWithMargins="0">
    <oddFooter>&amp;RSchedule &amp;A
Page &amp;P of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L40"/>
  <sheetViews>
    <sheetView view="pageBreakPreview" zoomScale="70" zoomScaleNormal="90" zoomScaleSheetLayoutView="70" workbookViewId="0">
      <selection activeCell="F45" sqref="F45"/>
    </sheetView>
  </sheetViews>
  <sheetFormatPr defaultRowHeight="15"/>
  <cols>
    <col min="1" max="1" width="4.44140625" style="80" customWidth="1"/>
    <col min="2" max="2" width="10.6640625" style="80" customWidth="1"/>
    <col min="3" max="3" width="35.77734375" style="80" customWidth="1"/>
    <col min="4" max="6" width="12" style="80" bestFit="1" customWidth="1"/>
    <col min="7" max="7" width="4.5546875" style="80" customWidth="1"/>
    <col min="8" max="8" width="11" style="80" bestFit="1" customWidth="1"/>
    <col min="9" max="9" width="11.6640625" style="80" customWidth="1"/>
    <col min="10" max="10" width="12" style="80" bestFit="1" customWidth="1"/>
    <col min="11" max="16384" width="8.88671875" style="80"/>
  </cols>
  <sheetData>
    <row r="1" spans="1:12" ht="15.75">
      <c r="A1" s="1178" t="str">
        <f>'Table of Contents'!A1:C1</f>
        <v>Atmos Energy Corporation, Kentucky/Mid-States Division</v>
      </c>
      <c r="B1" s="1178"/>
      <c r="C1" s="1178"/>
      <c r="D1" s="1178"/>
      <c r="E1" s="1178"/>
      <c r="F1" s="1178"/>
      <c r="G1" s="1178"/>
      <c r="H1" s="1178"/>
      <c r="I1" s="1178"/>
      <c r="J1" s="1178"/>
    </row>
    <row r="2" spans="1:12" ht="15.75">
      <c r="A2" s="1178" t="str">
        <f>'Table of Contents'!A2:C2</f>
        <v>Kentucky Jurisdiction Case No. 2017-00349</v>
      </c>
      <c r="B2" s="1178"/>
      <c r="C2" s="1178"/>
      <c r="D2" s="1178"/>
      <c r="E2" s="1178"/>
      <c r="F2" s="1178"/>
      <c r="G2" s="1178"/>
      <c r="H2" s="1178"/>
      <c r="I2" s="1178"/>
      <c r="J2" s="1178"/>
    </row>
    <row r="3" spans="1:12" ht="15.75">
      <c r="A3" s="1178" t="s">
        <v>616</v>
      </c>
      <c r="B3" s="1178"/>
      <c r="C3" s="1178"/>
      <c r="D3" s="1178"/>
      <c r="E3" s="1178"/>
      <c r="F3" s="1178"/>
      <c r="G3" s="1178"/>
      <c r="H3" s="1178"/>
      <c r="I3" s="1178"/>
      <c r="J3" s="1178"/>
    </row>
    <row r="4" spans="1:12" ht="15.75">
      <c r="A4" s="1178" t="str">
        <f>'Table of Contents'!A3:C3</f>
        <v>Base Period: Twelve Months Ended December 31, 2017</v>
      </c>
      <c r="B4" s="1178"/>
      <c r="C4" s="1178"/>
      <c r="D4" s="1178"/>
      <c r="E4" s="1178"/>
      <c r="F4" s="1178"/>
      <c r="G4" s="1178"/>
      <c r="H4" s="1178"/>
      <c r="I4" s="1178"/>
      <c r="J4" s="1178"/>
    </row>
    <row r="5" spans="1:12" ht="15.75">
      <c r="A5" s="1178" t="str">
        <f>'Table of Contents'!A4:C4</f>
        <v>Forecasted Test Period: Twelve Months Ended March 31, 2019</v>
      </c>
      <c r="B5" s="1178"/>
      <c r="C5" s="1178"/>
      <c r="D5" s="1178"/>
      <c r="E5" s="1178"/>
      <c r="F5" s="1178"/>
      <c r="G5" s="1178"/>
      <c r="H5" s="1178"/>
      <c r="I5" s="1178"/>
      <c r="J5" s="1178"/>
    </row>
    <row r="6" spans="1:12" ht="15.75">
      <c r="A6" s="103"/>
      <c r="B6" s="925"/>
      <c r="C6" s="103"/>
      <c r="D6" s="103"/>
      <c r="E6" s="103"/>
      <c r="F6" s="103"/>
      <c r="G6" s="103"/>
      <c r="H6" s="103"/>
      <c r="I6" s="103"/>
      <c r="J6" s="103"/>
    </row>
    <row r="7" spans="1:12" ht="15.75">
      <c r="A7" s="103"/>
      <c r="B7" s="925"/>
      <c r="C7" s="925"/>
      <c r="D7" s="103"/>
      <c r="E7" s="103"/>
      <c r="F7" s="103"/>
      <c r="G7" s="103"/>
      <c r="H7" s="103"/>
      <c r="J7" s="103"/>
    </row>
    <row r="8" spans="1:12" ht="15.75">
      <c r="A8" s="694" t="s">
        <v>488</v>
      </c>
      <c r="B8" s="925"/>
      <c r="C8" s="103"/>
      <c r="D8" s="103"/>
      <c r="E8" s="103"/>
      <c r="F8" s="103"/>
      <c r="G8" s="103"/>
      <c r="H8" s="103"/>
      <c r="J8" s="170" t="s">
        <v>1434</v>
      </c>
    </row>
    <row r="9" spans="1:12" ht="15.75">
      <c r="A9" s="694" t="s">
        <v>1135</v>
      </c>
      <c r="B9" s="925"/>
      <c r="C9" s="103"/>
      <c r="D9" s="103"/>
      <c r="E9" s="103"/>
      <c r="F9" s="103"/>
      <c r="G9" s="103"/>
      <c r="H9" s="103"/>
      <c r="J9" s="926" t="s">
        <v>489</v>
      </c>
    </row>
    <row r="10" spans="1:12" ht="15.75">
      <c r="A10" s="694" t="s">
        <v>369</v>
      </c>
      <c r="B10" s="925"/>
      <c r="C10" s="103"/>
      <c r="D10" s="103"/>
      <c r="E10" s="103"/>
      <c r="F10" s="103"/>
      <c r="G10" s="103"/>
      <c r="H10" s="103"/>
      <c r="I10" s="927"/>
      <c r="J10" s="928" t="str">
        <f>F.1!$F$9</f>
        <v>Witness: Waller</v>
      </c>
    </row>
    <row r="11" spans="1:12" ht="15.75">
      <c r="A11" s="929"/>
      <c r="B11" s="929"/>
      <c r="C11" s="929"/>
      <c r="D11" s="930"/>
      <c r="E11" s="931" t="s">
        <v>328</v>
      </c>
      <c r="F11" s="932"/>
      <c r="G11" s="929"/>
      <c r="H11" s="930"/>
      <c r="I11" s="931" t="s">
        <v>329</v>
      </c>
      <c r="J11" s="932"/>
    </row>
    <row r="12" spans="1:12">
      <c r="A12" s="121" t="s">
        <v>94</v>
      </c>
      <c r="B12" s="103"/>
      <c r="C12" s="121"/>
      <c r="D12" s="121" t="s">
        <v>97</v>
      </c>
      <c r="E12" s="851" t="s">
        <v>11</v>
      </c>
      <c r="F12" s="764" t="s">
        <v>12</v>
      </c>
      <c r="G12" s="103"/>
      <c r="H12" s="121" t="s">
        <v>97</v>
      </c>
      <c r="I12" s="851" t="s">
        <v>11</v>
      </c>
      <c r="J12" s="764" t="s">
        <v>12</v>
      </c>
    </row>
    <row r="13" spans="1:12">
      <c r="A13" s="648" t="s">
        <v>100</v>
      </c>
      <c r="B13" s="648" t="s">
        <v>176</v>
      </c>
      <c r="C13" s="648" t="s">
        <v>482</v>
      </c>
      <c r="D13" s="648" t="s">
        <v>599</v>
      </c>
      <c r="E13" s="933" t="s">
        <v>98</v>
      </c>
      <c r="F13" s="648" t="s">
        <v>105</v>
      </c>
      <c r="G13" s="934"/>
      <c r="H13" s="648" t="s">
        <v>599</v>
      </c>
      <c r="I13" s="933" t="s">
        <v>98</v>
      </c>
      <c r="J13" s="648" t="s">
        <v>105</v>
      </c>
    </row>
    <row r="14" spans="1:12">
      <c r="A14" s="103"/>
      <c r="B14" s="103"/>
      <c r="C14" s="103"/>
      <c r="D14" s="103"/>
      <c r="E14" s="103"/>
      <c r="F14" s="103"/>
      <c r="G14" s="103"/>
      <c r="H14" s="103"/>
      <c r="I14" s="103"/>
      <c r="J14" s="103"/>
    </row>
    <row r="15" spans="1:12" ht="15.75">
      <c r="A15" s="427">
        <v>1</v>
      </c>
      <c r="C15" s="935" t="s">
        <v>194</v>
      </c>
      <c r="D15" s="690"/>
      <c r="E15" s="427"/>
      <c r="F15" s="399"/>
      <c r="G15" s="804"/>
      <c r="H15" s="936"/>
      <c r="I15" s="427"/>
      <c r="J15" s="399"/>
    </row>
    <row r="16" spans="1:12">
      <c r="A16" s="937">
        <v>2</v>
      </c>
      <c r="B16" s="838" t="s">
        <v>630</v>
      </c>
      <c r="C16" s="938" t="s">
        <v>941</v>
      </c>
      <c r="D16" s="327">
        <v>0</v>
      </c>
      <c r="E16" s="615">
        <v>1</v>
      </c>
      <c r="F16" s="327">
        <f>D16*E16</f>
        <v>0</v>
      </c>
      <c r="G16" s="804"/>
      <c r="H16" s="327">
        <v>0</v>
      </c>
      <c r="I16" s="615">
        <f>E16</f>
        <v>1</v>
      </c>
      <c r="J16" s="327">
        <f>H16*I16</f>
        <v>0</v>
      </c>
      <c r="L16" s="939"/>
    </row>
    <row r="17" spans="1:12">
      <c r="A17" s="427">
        <v>3</v>
      </c>
      <c r="B17" s="838"/>
      <c r="C17" s="938"/>
      <c r="D17" s="418"/>
      <c r="E17" s="940"/>
      <c r="F17" s="418"/>
      <c r="G17" s="804"/>
      <c r="H17" s="418"/>
      <c r="I17" s="615"/>
      <c r="J17" s="418"/>
    </row>
    <row r="18" spans="1:12">
      <c r="A18" s="937">
        <v>4</v>
      </c>
      <c r="B18" s="838"/>
      <c r="C18" s="403" t="s">
        <v>97</v>
      </c>
      <c r="D18" s="327">
        <f>SUM(D16:D17)</f>
        <v>0</v>
      </c>
      <c r="E18" s="804"/>
      <c r="F18" s="327">
        <f>SUM(F16:F17)</f>
        <v>0</v>
      </c>
      <c r="G18" s="804"/>
      <c r="H18" s="327">
        <f>SUM(H16:H17)</f>
        <v>0</v>
      </c>
      <c r="I18" s="615"/>
      <c r="J18" s="327">
        <f>SUM(J16:J17)</f>
        <v>0</v>
      </c>
    </row>
    <row r="19" spans="1:12">
      <c r="A19" s="427">
        <v>5</v>
      </c>
      <c r="B19" s="804"/>
      <c r="C19" s="804"/>
      <c r="D19" s="380"/>
      <c r="E19" s="804"/>
      <c r="F19" s="380"/>
      <c r="G19" s="804"/>
      <c r="H19" s="380"/>
      <c r="I19" s="615"/>
      <c r="J19" s="380"/>
    </row>
    <row r="20" spans="1:12" ht="15.75">
      <c r="A20" s="937">
        <v>6</v>
      </c>
      <c r="C20" s="935" t="s">
        <v>79</v>
      </c>
      <c r="D20" s="941"/>
      <c r="E20" s="942"/>
      <c r="F20" s="943"/>
      <c r="G20" s="944"/>
      <c r="H20" s="941"/>
      <c r="I20" s="615"/>
      <c r="J20" s="943"/>
    </row>
    <row r="21" spans="1:12">
      <c r="A21" s="427">
        <v>7</v>
      </c>
      <c r="B21" s="838" t="s">
        <v>630</v>
      </c>
      <c r="C21" s="938" t="s">
        <v>941</v>
      </c>
      <c r="D21" s="327">
        <f>SUM('[13]Div 91 forecast'!$F$62:$Q$62)</f>
        <v>61361.547505051341</v>
      </c>
      <c r="E21" s="945">
        <f>Allocation!$I$17</f>
        <v>0.5025136071712456</v>
      </c>
      <c r="F21" s="327">
        <f>D21*E21</f>
        <v>30835.012578373095</v>
      </c>
      <c r="G21" s="804"/>
      <c r="H21" s="327">
        <f>SUM('[13]Div 91 forecast'!$U$62:$AF$62)</f>
        <v>54292.455972123556</v>
      </c>
      <c r="I21" s="945">
        <f>Allocation!$E$17</f>
        <v>0.5025136071712456</v>
      </c>
      <c r="J21" s="327">
        <f>H21*I21</f>
        <v>27282.697892737844</v>
      </c>
      <c r="L21" s="690"/>
    </row>
    <row r="22" spans="1:12">
      <c r="A22" s="937">
        <v>8</v>
      </c>
      <c r="B22" s="838"/>
      <c r="C22" s="938"/>
      <c r="D22" s="418"/>
      <c r="E22" s="323"/>
      <c r="F22" s="418"/>
      <c r="G22" s="103"/>
      <c r="H22" s="418"/>
      <c r="I22" s="945"/>
      <c r="J22" s="418"/>
    </row>
    <row r="23" spans="1:12">
      <c r="A23" s="427">
        <v>9</v>
      </c>
      <c r="B23" s="838"/>
      <c r="C23" s="403" t="s">
        <v>97</v>
      </c>
      <c r="D23" s="327">
        <f>SUM(D21:D22)</f>
        <v>61361.547505051341</v>
      </c>
      <c r="E23" s="103"/>
      <c r="F23" s="327">
        <f>SUM(F21:F22)</f>
        <v>30835.012578373095</v>
      </c>
      <c r="G23" s="103"/>
      <c r="H23" s="327">
        <f>SUM(H21:H22)</f>
        <v>54292.455972123556</v>
      </c>
      <c r="I23" s="945"/>
      <c r="J23" s="327">
        <f>SUM(J21:J22)</f>
        <v>27282.697892737844</v>
      </c>
    </row>
    <row r="24" spans="1:12">
      <c r="A24" s="937">
        <v>10</v>
      </c>
      <c r="B24" s="103"/>
      <c r="C24" s="103"/>
      <c r="D24" s="511"/>
      <c r="E24" s="103"/>
      <c r="F24" s="103"/>
      <c r="G24" s="103"/>
      <c r="H24" s="511"/>
      <c r="I24" s="945"/>
      <c r="J24" s="103"/>
    </row>
    <row r="25" spans="1:12" ht="15.75">
      <c r="A25" s="427">
        <v>11</v>
      </c>
      <c r="C25" s="935" t="s">
        <v>77</v>
      </c>
      <c r="D25" s="511"/>
      <c r="E25" s="103"/>
      <c r="F25" s="103"/>
      <c r="G25" s="103"/>
      <c r="H25" s="511"/>
      <c r="I25" s="945"/>
      <c r="J25" s="103"/>
    </row>
    <row r="26" spans="1:12">
      <c r="A26" s="937">
        <v>12</v>
      </c>
      <c r="B26" s="838" t="s">
        <v>630</v>
      </c>
      <c r="C26" s="938" t="s">
        <v>941</v>
      </c>
      <c r="D26" s="327">
        <f>SUM('[13]Div 2 forecast'!$F$64:$Q$65)</f>
        <v>61517.13539985237</v>
      </c>
      <c r="E26" s="945">
        <f>Allocation!$I$14</f>
        <v>5.2010158342223917E-2</v>
      </c>
      <c r="F26" s="327">
        <f>D26*E26</f>
        <v>3199.5159529063499</v>
      </c>
      <c r="H26" s="327">
        <f>SUM('[13]Div 2 forecast'!$U$64:$AF$65)</f>
        <v>58384.934759809359</v>
      </c>
      <c r="I26" s="945">
        <f>Allocation!$E$14</f>
        <v>5.2010158342223917E-2</v>
      </c>
      <c r="J26" s="327">
        <f>H26*I26</f>
        <v>3036.6097016580979</v>
      </c>
      <c r="L26" s="690"/>
    </row>
    <row r="27" spans="1:12">
      <c r="A27" s="427">
        <v>13</v>
      </c>
      <c r="B27" s="838"/>
      <c r="C27" s="938"/>
      <c r="D27" s="418"/>
      <c r="E27" s="323"/>
      <c r="F27" s="418"/>
      <c r="H27" s="418"/>
      <c r="I27" s="945"/>
      <c r="J27" s="418"/>
    </row>
    <row r="28" spans="1:12">
      <c r="A28" s="937">
        <v>14</v>
      </c>
      <c r="B28" s="838"/>
      <c r="C28" s="403" t="s">
        <v>97</v>
      </c>
      <c r="D28" s="327">
        <f>SUM(D26:D27)</f>
        <v>61517.13539985237</v>
      </c>
      <c r="E28" s="323"/>
      <c r="F28" s="327">
        <f>SUM(F26:F27)</f>
        <v>3199.5159529063499</v>
      </c>
      <c r="H28" s="327">
        <f>SUM(H26:H27)</f>
        <v>58384.934759809359</v>
      </c>
      <c r="I28" s="945"/>
      <c r="J28" s="327">
        <f>SUM(J26:J27)</f>
        <v>3036.6097016580979</v>
      </c>
    </row>
    <row r="29" spans="1:12">
      <c r="A29" s="427">
        <v>15</v>
      </c>
      <c r="D29" s="511"/>
      <c r="E29" s="323"/>
      <c r="H29" s="511"/>
      <c r="I29" s="945"/>
    </row>
    <row r="30" spans="1:12" ht="15.75">
      <c r="A30" s="937">
        <v>16</v>
      </c>
      <c r="C30" s="935" t="s">
        <v>78</v>
      </c>
      <c r="D30" s="511"/>
      <c r="E30" s="323"/>
      <c r="H30" s="511"/>
      <c r="I30" s="945"/>
    </row>
    <row r="31" spans="1:12">
      <c r="A31" s="427">
        <v>17</v>
      </c>
      <c r="B31" s="838" t="s">
        <v>630</v>
      </c>
      <c r="C31" s="938" t="s">
        <v>941</v>
      </c>
      <c r="D31" s="327">
        <f>SUM('[13]Div 12 forecast'!$F$34:$Q$34)</f>
        <v>29539.508937621013</v>
      </c>
      <c r="E31" s="945">
        <f>Allocation!$I$15</f>
        <v>5.67090596975168E-2</v>
      </c>
      <c r="F31" s="327">
        <f>D31*E31</f>
        <v>1675.1577757788812</v>
      </c>
      <c r="H31" s="327">
        <f>SUM('[13]Div 12 forecast'!$U$34:$AF$34)</f>
        <v>30343.188657937746</v>
      </c>
      <c r="I31" s="945">
        <f>Allocation!$E$15</f>
        <v>5.67090596975168E-2</v>
      </c>
      <c r="J31" s="327">
        <f>H31*I31</f>
        <v>1720.7336970160063</v>
      </c>
      <c r="L31" s="690"/>
    </row>
    <row r="32" spans="1:12">
      <c r="A32" s="937">
        <v>18</v>
      </c>
      <c r="B32" s="838"/>
      <c r="C32" s="938"/>
      <c r="D32" s="418"/>
      <c r="E32" s="323"/>
      <c r="F32" s="418"/>
      <c r="H32" s="418"/>
      <c r="I32" s="945"/>
      <c r="J32" s="418"/>
    </row>
    <row r="33" spans="1:10">
      <c r="A33" s="427">
        <v>19</v>
      </c>
      <c r="B33" s="838"/>
      <c r="C33" s="403" t="s">
        <v>97</v>
      </c>
      <c r="D33" s="327">
        <f>SUM(D31:D32)</f>
        <v>29539.508937621013</v>
      </c>
      <c r="F33" s="327">
        <f>SUM(F31:F32)</f>
        <v>1675.1577757788812</v>
      </c>
      <c r="H33" s="327">
        <f>SUM(H31:H32)</f>
        <v>30343.188657937746</v>
      </c>
      <c r="J33" s="327">
        <f>SUM(J31:J32)</f>
        <v>1720.7336970160063</v>
      </c>
    </row>
    <row r="34" spans="1:10">
      <c r="A34" s="937">
        <v>20</v>
      </c>
      <c r="D34" s="511"/>
    </row>
    <row r="35" spans="1:10" ht="16.5" thickBot="1">
      <c r="A35" s="427">
        <v>21</v>
      </c>
      <c r="C35" s="946" t="s">
        <v>942</v>
      </c>
      <c r="D35" s="510">
        <f>D33+D28+D23+D18</f>
        <v>152418.19184252471</v>
      </c>
      <c r="F35" s="510">
        <f>F33+F28+F23+F18</f>
        <v>35709.686307058328</v>
      </c>
      <c r="H35" s="510">
        <f>H33+H28+H23+H18</f>
        <v>143020.57938987066</v>
      </c>
      <c r="J35" s="510">
        <f>J33+J28+J23+J18</f>
        <v>32040.041291411948</v>
      </c>
    </row>
    <row r="36" spans="1:10" ht="16.5" thickTop="1">
      <c r="A36" s="427"/>
      <c r="C36" s="946"/>
      <c r="D36" s="321"/>
      <c r="F36" s="321"/>
      <c r="H36" s="321"/>
      <c r="J36" s="321"/>
    </row>
    <row r="37" spans="1:10" ht="15.75">
      <c r="C37" s="946"/>
    </row>
    <row r="39" spans="1:10">
      <c r="B39" s="80" t="s">
        <v>523</v>
      </c>
    </row>
    <row r="40" spans="1:10">
      <c r="B40" s="80" t="s">
        <v>1661</v>
      </c>
    </row>
  </sheetData>
  <mergeCells count="5">
    <mergeCell ref="A5:J5"/>
    <mergeCell ref="A1:J1"/>
    <mergeCell ref="A2:J2"/>
    <mergeCell ref="A3:J3"/>
    <mergeCell ref="A4:J4"/>
  </mergeCells>
  <phoneticPr fontId="22" type="noConversion"/>
  <pageMargins left="0.75" right="0.75" top="1" bottom="1" header="0.5" footer="0.5"/>
  <pageSetup scale="80" orientation="landscape" verticalDpi="300" r:id="rId1"/>
  <headerFooter alignWithMargins="0">
    <oddFooter>&amp;RSchedule &amp;A
Page &amp;P of 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N79"/>
  <sheetViews>
    <sheetView view="pageBreakPreview" zoomScale="70" zoomScaleNormal="90" zoomScaleSheetLayoutView="70" workbookViewId="0">
      <pane ySplit="13" topLeftCell="A26" activePane="bottomLeft" state="frozen"/>
      <selection activeCell="F45" sqref="F45"/>
      <selection pane="bottomLeft" activeCell="D60" sqref="D60"/>
    </sheetView>
  </sheetViews>
  <sheetFormatPr defaultRowHeight="15"/>
  <cols>
    <col min="1" max="1" width="4.109375" style="80" customWidth="1"/>
    <col min="2" max="2" width="8.88671875" style="80"/>
    <col min="3" max="3" width="50.6640625" style="80" customWidth="1"/>
    <col min="4" max="4" width="9.5546875" style="80" bestFit="1" customWidth="1"/>
    <col min="5" max="5" width="11.33203125" style="80" bestFit="1" customWidth="1"/>
    <col min="6" max="6" width="9.5546875" style="80" bestFit="1" customWidth="1"/>
    <col min="7" max="7" width="3.109375" style="80" customWidth="1"/>
    <col min="8" max="8" width="9.5546875" style="80" customWidth="1"/>
    <col min="9" max="9" width="11.21875" style="80" customWidth="1"/>
    <col min="10" max="10" width="9.5546875" style="80" customWidth="1"/>
    <col min="11" max="16384" width="8.88671875" style="80"/>
  </cols>
  <sheetData>
    <row r="1" spans="1:10" ht="15.75">
      <c r="A1" s="1198" t="str">
        <f>'Table of Contents'!A1:C1</f>
        <v>Atmos Energy Corporation, Kentucky/Mid-States Division</v>
      </c>
      <c r="B1" s="1198"/>
      <c r="C1" s="1198"/>
      <c r="D1" s="1198"/>
      <c r="E1" s="1198"/>
      <c r="F1" s="1198"/>
      <c r="G1" s="1198"/>
      <c r="H1" s="1198"/>
      <c r="I1" s="1198"/>
      <c r="J1" s="1198"/>
    </row>
    <row r="2" spans="1:10" ht="15.75">
      <c r="A2" s="1198" t="str">
        <f>'Table of Contents'!A2:C2</f>
        <v>Kentucky Jurisdiction Case No. 2017-00349</v>
      </c>
      <c r="B2" s="1198"/>
      <c r="C2" s="1198"/>
      <c r="D2" s="1198"/>
      <c r="E2" s="1198"/>
      <c r="F2" s="1198"/>
      <c r="G2" s="1198"/>
      <c r="H2" s="1198"/>
      <c r="I2" s="1198"/>
      <c r="J2" s="1198"/>
    </row>
    <row r="3" spans="1:10" ht="15.75">
      <c r="A3" s="1198" t="s">
        <v>1066</v>
      </c>
      <c r="B3" s="1198"/>
      <c r="C3" s="1198"/>
      <c r="D3" s="1198"/>
      <c r="E3" s="1198"/>
      <c r="F3" s="1198"/>
      <c r="G3" s="1198"/>
      <c r="H3" s="1198"/>
      <c r="I3" s="1198"/>
      <c r="J3" s="1198"/>
    </row>
    <row r="4" spans="1:10" ht="15.75">
      <c r="A4" s="1198" t="str">
        <f>'Table of Contents'!A3:C3</f>
        <v>Base Period: Twelve Months Ended December 31, 2017</v>
      </c>
      <c r="B4" s="1198"/>
      <c r="C4" s="1198"/>
      <c r="D4" s="1198"/>
      <c r="E4" s="1198"/>
      <c r="F4" s="1198"/>
      <c r="G4" s="1198"/>
      <c r="H4" s="1198"/>
      <c r="I4" s="1198"/>
      <c r="J4" s="1198"/>
    </row>
    <row r="5" spans="1:10" ht="15.75">
      <c r="A5" s="1198" t="str">
        <f>'Table of Contents'!A4:C4</f>
        <v>Forecasted Test Period: Twelve Months Ended March 31, 2019</v>
      </c>
      <c r="B5" s="1198"/>
      <c r="C5" s="1198"/>
      <c r="D5" s="1198"/>
      <c r="E5" s="1198"/>
      <c r="F5" s="1198"/>
      <c r="G5" s="1198"/>
      <c r="H5" s="1198"/>
      <c r="I5" s="1198"/>
      <c r="J5" s="1198"/>
    </row>
    <row r="6" spans="1:10" ht="15.75">
      <c r="A6" s="103"/>
      <c r="B6" s="925"/>
      <c r="C6" s="103"/>
      <c r="D6" s="1106"/>
      <c r="E6" s="103"/>
      <c r="F6" s="103"/>
      <c r="G6" s="103"/>
      <c r="H6" s="103"/>
      <c r="I6" s="103"/>
      <c r="J6" s="103"/>
    </row>
    <row r="7" spans="1:10" ht="15.75">
      <c r="A7" s="103"/>
      <c r="B7" s="925"/>
      <c r="C7" s="925"/>
      <c r="D7" s="103"/>
      <c r="E7" s="103"/>
      <c r="F7" s="103"/>
      <c r="G7" s="103"/>
      <c r="H7" s="103"/>
      <c r="J7" s="103"/>
    </row>
    <row r="8" spans="1:10" ht="15.75">
      <c r="A8" s="694" t="s">
        <v>137</v>
      </c>
      <c r="B8" s="925"/>
      <c r="C8" s="103"/>
      <c r="D8" s="103"/>
      <c r="E8" s="103"/>
      <c r="F8" s="103"/>
      <c r="G8" s="103"/>
      <c r="H8" s="103"/>
      <c r="J8" s="170" t="s">
        <v>1434</v>
      </c>
    </row>
    <row r="9" spans="1:10" ht="15.75">
      <c r="A9" s="694" t="s">
        <v>1134</v>
      </c>
      <c r="B9" s="925"/>
      <c r="C9" s="103"/>
      <c r="D9" s="103"/>
      <c r="E9" s="103"/>
      <c r="F9" s="103"/>
      <c r="G9" s="103"/>
      <c r="H9" s="103"/>
      <c r="J9" s="926" t="s">
        <v>138</v>
      </c>
    </row>
    <row r="10" spans="1:10" ht="15.75">
      <c r="A10" s="694" t="s">
        <v>369</v>
      </c>
      <c r="B10" s="925"/>
      <c r="C10" s="103"/>
      <c r="D10" s="103"/>
      <c r="E10" s="103"/>
      <c r="F10" s="103"/>
      <c r="G10" s="103"/>
      <c r="H10" s="103"/>
      <c r="J10" s="928" t="str">
        <f>F.1!$F$9</f>
        <v>Witness: Waller</v>
      </c>
    </row>
    <row r="11" spans="1:10" ht="15.75">
      <c r="A11" s="929"/>
      <c r="B11" s="929"/>
      <c r="C11" s="929"/>
      <c r="D11" s="930"/>
      <c r="E11" s="931" t="s">
        <v>328</v>
      </c>
      <c r="F11" s="932"/>
      <c r="G11" s="929"/>
      <c r="H11" s="930"/>
      <c r="I11" s="931" t="s">
        <v>329</v>
      </c>
      <c r="J11" s="932"/>
    </row>
    <row r="12" spans="1:10">
      <c r="A12" s="121" t="s">
        <v>94</v>
      </c>
      <c r="B12" s="121" t="s">
        <v>342</v>
      </c>
      <c r="C12" s="103"/>
      <c r="D12" s="121" t="s">
        <v>97</v>
      </c>
      <c r="E12" s="857" t="s">
        <v>11</v>
      </c>
      <c r="F12" s="960" t="s">
        <v>12</v>
      </c>
      <c r="G12" s="103"/>
      <c r="H12" s="121" t="s">
        <v>97</v>
      </c>
      <c r="I12" s="960" t="str">
        <f>E12</f>
        <v xml:space="preserve">Kentucky </v>
      </c>
      <c r="J12" s="960" t="s">
        <v>989</v>
      </c>
    </row>
    <row r="13" spans="1:10">
      <c r="A13" s="648" t="s">
        <v>100</v>
      </c>
      <c r="B13" s="648" t="s">
        <v>139</v>
      </c>
      <c r="C13" s="648" t="s">
        <v>482</v>
      </c>
      <c r="D13" s="648" t="s">
        <v>599</v>
      </c>
      <c r="E13" s="933" t="s">
        <v>98</v>
      </c>
      <c r="F13" s="648" t="s">
        <v>105</v>
      </c>
      <c r="G13" s="934"/>
      <c r="H13" s="648" t="s">
        <v>599</v>
      </c>
      <c r="I13" s="648" t="str">
        <f>E13</f>
        <v>Jurisdictional</v>
      </c>
      <c r="J13" s="648" t="s">
        <v>105</v>
      </c>
    </row>
    <row r="14" spans="1:10">
      <c r="A14" s="103"/>
      <c r="B14" s="103"/>
      <c r="C14" s="103"/>
      <c r="D14" s="103"/>
      <c r="E14" s="103"/>
      <c r="F14" s="103"/>
      <c r="G14" s="103"/>
      <c r="H14" s="103"/>
      <c r="I14" s="103"/>
      <c r="J14" s="103"/>
    </row>
    <row r="15" spans="1:10" ht="15.75">
      <c r="A15" s="583">
        <v>1</v>
      </c>
      <c r="B15" s="103"/>
      <c r="C15" s="1107" t="s">
        <v>574</v>
      </c>
      <c r="D15" s="103"/>
      <c r="E15" s="103"/>
      <c r="F15" s="103"/>
      <c r="G15" s="103"/>
      <c r="H15" s="103"/>
      <c r="I15" s="103"/>
      <c r="J15" s="103"/>
    </row>
    <row r="16" spans="1:10">
      <c r="A16" s="583">
        <v>2</v>
      </c>
      <c r="B16" s="103"/>
      <c r="D16" s="103"/>
      <c r="E16" s="1108"/>
      <c r="F16" s="103"/>
      <c r="G16" s="103"/>
      <c r="H16" s="103"/>
      <c r="I16" s="1108"/>
      <c r="J16" s="103"/>
    </row>
    <row r="17" spans="1:14" ht="15.75">
      <c r="A17" s="583">
        <v>3</v>
      </c>
      <c r="B17" s="103"/>
      <c r="C17" s="935" t="s">
        <v>194</v>
      </c>
      <c r="D17" s="103"/>
      <c r="E17" s="1108"/>
      <c r="F17" s="103"/>
      <c r="G17" s="103"/>
      <c r="H17" s="103"/>
      <c r="I17" s="1108"/>
      <c r="J17" s="103"/>
    </row>
    <row r="18" spans="1:14">
      <c r="A18" s="583">
        <v>4</v>
      </c>
      <c r="B18" s="121">
        <v>907</v>
      </c>
      <c r="C18" s="1109" t="s">
        <v>985</v>
      </c>
      <c r="D18" s="571">
        <v>0</v>
      </c>
      <c r="E18" s="1110">
        <v>1</v>
      </c>
      <c r="F18" s="571">
        <f>D18*E18</f>
        <v>0</v>
      </c>
      <c r="G18" s="103"/>
      <c r="H18" s="571">
        <v>0</v>
      </c>
      <c r="I18" s="1110">
        <f>E18</f>
        <v>1</v>
      </c>
      <c r="J18" s="571">
        <f>H18*I18</f>
        <v>0</v>
      </c>
    </row>
    <row r="19" spans="1:14">
      <c r="A19" s="583">
        <v>5</v>
      </c>
      <c r="B19" s="121">
        <v>908</v>
      </c>
      <c r="C19" s="1109" t="s">
        <v>484</v>
      </c>
      <c r="D19" s="627">
        <v>0</v>
      </c>
      <c r="E19" s="335">
        <f>$E$18</f>
        <v>1</v>
      </c>
      <c r="F19" s="627">
        <f>D19*E19</f>
        <v>0</v>
      </c>
      <c r="G19" s="103"/>
      <c r="H19" s="627">
        <v>0</v>
      </c>
      <c r="I19" s="1110">
        <f>E19</f>
        <v>1</v>
      </c>
      <c r="J19" s="627">
        <f>H19*I19</f>
        <v>0</v>
      </c>
    </row>
    <row r="20" spans="1:14">
      <c r="A20" s="583">
        <v>6</v>
      </c>
      <c r="B20" s="121">
        <v>909</v>
      </c>
      <c r="C20" s="1109" t="s">
        <v>986</v>
      </c>
      <c r="D20" s="627">
        <f>'C.2.2 B 09'!P93</f>
        <v>134412.29365729415</v>
      </c>
      <c r="E20" s="335">
        <f>$E$18</f>
        <v>1</v>
      </c>
      <c r="F20" s="627">
        <f>D20*E20</f>
        <v>134412.29365729415</v>
      </c>
      <c r="G20" s="103"/>
      <c r="H20" s="627">
        <f>'C.2.2-F 09'!P93</f>
        <v>133613.60616766004</v>
      </c>
      <c r="I20" s="1110">
        <f>E20</f>
        <v>1</v>
      </c>
      <c r="J20" s="627">
        <f>H20*I20</f>
        <v>133613.60616766004</v>
      </c>
    </row>
    <row r="21" spans="1:14">
      <c r="A21" s="583">
        <v>7</v>
      </c>
      <c r="B21" s="1111">
        <v>910</v>
      </c>
      <c r="C21" s="1109" t="s">
        <v>987</v>
      </c>
      <c r="D21" s="628">
        <v>0</v>
      </c>
      <c r="E21" s="335">
        <f>$E$18</f>
        <v>1</v>
      </c>
      <c r="F21" s="628">
        <f>D21*E21</f>
        <v>0</v>
      </c>
      <c r="G21" s="103"/>
      <c r="H21" s="628">
        <v>0</v>
      </c>
      <c r="I21" s="1110">
        <f>E21</f>
        <v>1</v>
      </c>
      <c r="J21" s="628">
        <f>H21*I21</f>
        <v>0</v>
      </c>
    </row>
    <row r="22" spans="1:14">
      <c r="A22" s="583">
        <v>8</v>
      </c>
      <c r="B22" s="960"/>
      <c r="C22" s="1112" t="s">
        <v>97</v>
      </c>
      <c r="D22" s="359">
        <f>SUM(D18:D21)</f>
        <v>134412.29365729415</v>
      </c>
      <c r="E22" s="1108"/>
      <c r="F22" s="359">
        <f>SUM(F18:F21)</f>
        <v>134412.29365729415</v>
      </c>
      <c r="G22" s="103"/>
      <c r="H22" s="359">
        <f>SUM(H18:H21)</f>
        <v>133613.60616766004</v>
      </c>
      <c r="I22" s="1108"/>
      <c r="J22" s="359">
        <f>SUM(J18:J21)</f>
        <v>133613.60616766004</v>
      </c>
    </row>
    <row r="23" spans="1:14">
      <c r="A23" s="583">
        <v>9</v>
      </c>
      <c r="B23" s="960"/>
      <c r="C23" s="1112"/>
      <c r="D23" s="616"/>
      <c r="E23" s="1108"/>
      <c r="F23" s="616"/>
      <c r="G23" s="103"/>
      <c r="H23" s="616"/>
      <c r="I23" s="1108"/>
      <c r="J23" s="616"/>
    </row>
    <row r="24" spans="1:14" ht="15.75">
      <c r="A24" s="583">
        <v>10</v>
      </c>
      <c r="B24" s="960"/>
      <c r="C24" s="935" t="s">
        <v>79</v>
      </c>
      <c r="D24" s="616"/>
      <c r="E24" s="1108"/>
      <c r="F24" s="616"/>
      <c r="G24" s="103"/>
      <c r="H24" s="616"/>
      <c r="I24" s="1108"/>
      <c r="J24" s="616"/>
    </row>
    <row r="25" spans="1:14">
      <c r="A25" s="583">
        <v>11</v>
      </c>
      <c r="B25" s="121">
        <v>907</v>
      </c>
      <c r="C25" s="1109" t="s">
        <v>985</v>
      </c>
      <c r="D25" s="571">
        <v>0</v>
      </c>
      <c r="E25" s="1113">
        <f>Allocation!$I$17</f>
        <v>0.5025136071712456</v>
      </c>
      <c r="F25" s="359">
        <f>D25*E25</f>
        <v>0</v>
      </c>
      <c r="G25" s="103"/>
      <c r="H25" s="571">
        <v>0</v>
      </c>
      <c r="I25" s="1113">
        <f>Allocation!$E$17</f>
        <v>0.5025136071712456</v>
      </c>
      <c r="J25" s="359">
        <f>H25*I25</f>
        <v>0</v>
      </c>
    </row>
    <row r="26" spans="1:14">
      <c r="A26" s="583">
        <v>12</v>
      </c>
      <c r="B26" s="121">
        <v>908</v>
      </c>
      <c r="C26" s="1109" t="s">
        <v>484</v>
      </c>
      <c r="D26" s="627">
        <v>0</v>
      </c>
      <c r="E26" s="323">
        <f>$E$25</f>
        <v>0.5025136071712456</v>
      </c>
      <c r="F26" s="616">
        <f>D26*E26</f>
        <v>0</v>
      </c>
      <c r="H26" s="627">
        <v>0</v>
      </c>
      <c r="I26" s="1113">
        <f>I25</f>
        <v>0.5025136071712456</v>
      </c>
      <c r="J26" s="616">
        <f>H26*I26</f>
        <v>0</v>
      </c>
      <c r="N26" s="889"/>
    </row>
    <row r="27" spans="1:14">
      <c r="A27" s="583">
        <v>13</v>
      </c>
      <c r="B27" s="121">
        <v>909</v>
      </c>
      <c r="C27" s="1109" t="s">
        <v>986</v>
      </c>
      <c r="D27" s="627">
        <v>0</v>
      </c>
      <c r="E27" s="323">
        <f>$E$25</f>
        <v>0.5025136071712456</v>
      </c>
      <c r="F27" s="616">
        <f>D27*E27</f>
        <v>0</v>
      </c>
      <c r="H27" s="627">
        <v>0</v>
      </c>
      <c r="I27" s="1113">
        <f>I25</f>
        <v>0.5025136071712456</v>
      </c>
      <c r="J27" s="616">
        <f>H27*I27</f>
        <v>0</v>
      </c>
    </row>
    <row r="28" spans="1:14">
      <c r="A28" s="583">
        <v>14</v>
      </c>
      <c r="B28" s="1111">
        <v>910</v>
      </c>
      <c r="C28" s="1109" t="s">
        <v>987</v>
      </c>
      <c r="D28" s="628">
        <f>'C.2.2 B 91'!P38</f>
        <v>1294.6239273160379</v>
      </c>
      <c r="E28" s="323">
        <f>$E$25</f>
        <v>0.5025136071712456</v>
      </c>
      <c r="F28" s="1052">
        <f>D28*E28</f>
        <v>650.56613964578673</v>
      </c>
      <c r="H28" s="628">
        <f>'C.2.2-F 91'!P36</f>
        <v>1397.7575417448802</v>
      </c>
      <c r="I28" s="1113">
        <f>I25</f>
        <v>0.5025136071712456</v>
      </c>
      <c r="J28" s="1052">
        <f>H28*I28</f>
        <v>702.39218425303261</v>
      </c>
    </row>
    <row r="29" spans="1:14">
      <c r="A29" s="583">
        <v>15</v>
      </c>
      <c r="B29" s="857"/>
      <c r="C29" s="1112" t="s">
        <v>97</v>
      </c>
      <c r="D29" s="359">
        <f>SUM(D25:D28)</f>
        <v>1294.6239273160379</v>
      </c>
      <c r="E29" s="1108"/>
      <c r="F29" s="359">
        <f>SUM(F25:F28)</f>
        <v>650.56613964578673</v>
      </c>
      <c r="G29" s="103"/>
      <c r="H29" s="359">
        <f>SUM(H25:H28)</f>
        <v>1397.7575417448802</v>
      </c>
      <c r="I29" s="1108"/>
      <c r="J29" s="359">
        <f>SUM(J25:J28)</f>
        <v>702.39218425303261</v>
      </c>
    </row>
    <row r="30" spans="1:14">
      <c r="A30" s="583">
        <v>16</v>
      </c>
      <c r="B30" s="857"/>
      <c r="C30" s="1112"/>
      <c r="D30" s="616"/>
      <c r="E30" s="1108"/>
      <c r="F30" s="616"/>
      <c r="G30" s="103"/>
      <c r="H30" s="616"/>
      <c r="I30" s="1108"/>
      <c r="J30" s="616"/>
    </row>
    <row r="31" spans="1:14" ht="15.75">
      <c r="A31" s="583">
        <v>17</v>
      </c>
      <c r="B31" s="960"/>
      <c r="C31" s="935" t="s">
        <v>77</v>
      </c>
      <c r="D31" s="616"/>
      <c r="F31" s="616"/>
      <c r="H31" s="616"/>
      <c r="I31" s="1113"/>
      <c r="J31" s="616"/>
    </row>
    <row r="32" spans="1:14">
      <c r="A32" s="583">
        <v>18</v>
      </c>
      <c r="B32" s="121">
        <v>907</v>
      </c>
      <c r="C32" s="1109" t="s">
        <v>985</v>
      </c>
      <c r="D32" s="571">
        <v>0</v>
      </c>
      <c r="E32" s="323">
        <f>Allocation!$I$14</f>
        <v>5.2010158342223917E-2</v>
      </c>
      <c r="F32" s="359">
        <f>D32*E32</f>
        <v>0</v>
      </c>
      <c r="H32" s="571">
        <v>0</v>
      </c>
      <c r="I32" s="323">
        <f>Allocation!$E$14</f>
        <v>5.2010158342223917E-2</v>
      </c>
      <c r="J32" s="359">
        <f>H32*I32</f>
        <v>0</v>
      </c>
    </row>
    <row r="33" spans="1:10">
      <c r="A33" s="583">
        <v>19</v>
      </c>
      <c r="B33" s="121">
        <v>908</v>
      </c>
      <c r="C33" s="1109" t="s">
        <v>484</v>
      </c>
      <c r="D33" s="627">
        <v>0</v>
      </c>
      <c r="E33" s="323">
        <f>$E$32</f>
        <v>5.2010158342223917E-2</v>
      </c>
      <c r="F33" s="616">
        <f>D33*E33</f>
        <v>0</v>
      </c>
      <c r="H33" s="627">
        <v>0</v>
      </c>
      <c r="I33" s="1113">
        <f>I32</f>
        <v>5.2010158342223917E-2</v>
      </c>
      <c r="J33" s="616">
        <f>H33*I33</f>
        <v>0</v>
      </c>
    </row>
    <row r="34" spans="1:10">
      <c r="A34" s="583">
        <v>20</v>
      </c>
      <c r="B34" s="121">
        <v>909</v>
      </c>
      <c r="C34" s="1109" t="s">
        <v>986</v>
      </c>
      <c r="D34" s="627">
        <v>0</v>
      </c>
      <c r="E34" s="323">
        <f>$E$32</f>
        <v>5.2010158342223917E-2</v>
      </c>
      <c r="F34" s="616">
        <f>D34*E34</f>
        <v>0</v>
      </c>
      <c r="H34" s="627">
        <v>0</v>
      </c>
      <c r="I34" s="1113">
        <f>I32</f>
        <v>5.2010158342223917E-2</v>
      </c>
      <c r="J34" s="616">
        <f>H34*I34</f>
        <v>0</v>
      </c>
    </row>
    <row r="35" spans="1:10">
      <c r="A35" s="583">
        <v>21</v>
      </c>
      <c r="B35" s="1111">
        <v>910</v>
      </c>
      <c r="C35" s="1109" t="s">
        <v>987</v>
      </c>
      <c r="D35" s="628">
        <f>'C.2.2 B 02'!P25</f>
        <v>47978.388933279522</v>
      </c>
      <c r="E35" s="323">
        <f>$E$32</f>
        <v>5.2010158342223917E-2</v>
      </c>
      <c r="F35" s="1052">
        <f>D35*E35</f>
        <v>2495.3636054246717</v>
      </c>
      <c r="G35" s="103"/>
      <c r="H35" s="628">
        <f>'C.2.2-F 02'!P23:P23</f>
        <v>26162.177131694138</v>
      </c>
      <c r="I35" s="1113">
        <f>I32</f>
        <v>5.2010158342223917E-2</v>
      </c>
      <c r="J35" s="1052">
        <f>H35*I35</f>
        <v>1360.6989751967217</v>
      </c>
    </row>
    <row r="36" spans="1:10">
      <c r="A36" s="583">
        <v>22</v>
      </c>
      <c r="B36" s="121"/>
      <c r="C36" s="1112" t="s">
        <v>97</v>
      </c>
      <c r="D36" s="359">
        <f>SUM(D32:D35)</f>
        <v>47978.388933279522</v>
      </c>
      <c r="E36" s="1108"/>
      <c r="F36" s="359">
        <f>SUM(F32:F35)</f>
        <v>2495.3636054246717</v>
      </c>
      <c r="G36" s="103"/>
      <c r="H36" s="359">
        <f>SUM(H32:H35)</f>
        <v>26162.177131694138</v>
      </c>
      <c r="I36" s="1108"/>
      <c r="J36" s="359">
        <f>SUM(J32:J35)</f>
        <v>1360.6989751967217</v>
      </c>
    </row>
    <row r="37" spans="1:10">
      <c r="A37" s="583">
        <v>23</v>
      </c>
      <c r="B37" s="121"/>
      <c r="C37" s="1112"/>
      <c r="D37" s="616"/>
      <c r="E37" s="1108"/>
      <c r="F37" s="616"/>
      <c r="G37" s="103"/>
      <c r="H37" s="616"/>
      <c r="I37" s="1108"/>
      <c r="J37" s="616"/>
    </row>
    <row r="38" spans="1:10" ht="15.75">
      <c r="A38" s="583">
        <v>24</v>
      </c>
      <c r="B38" s="960"/>
      <c r="C38" s="935" t="s">
        <v>78</v>
      </c>
      <c r="D38" s="616"/>
      <c r="E38" s="103"/>
      <c r="F38" s="616"/>
      <c r="G38" s="103"/>
      <c r="H38" s="616"/>
      <c r="I38" s="1113"/>
      <c r="J38" s="616"/>
    </row>
    <row r="39" spans="1:10">
      <c r="A39" s="583">
        <v>25</v>
      </c>
      <c r="B39" s="121">
        <v>907</v>
      </c>
      <c r="C39" s="1109" t="s">
        <v>985</v>
      </c>
      <c r="D39" s="571">
        <v>0</v>
      </c>
      <c r="E39" s="323">
        <f>Allocation!$I$15</f>
        <v>5.67090596975168E-2</v>
      </c>
      <c r="F39" s="359">
        <f>D39*E39</f>
        <v>0</v>
      </c>
      <c r="G39" s="103"/>
      <c r="H39" s="571">
        <v>0</v>
      </c>
      <c r="I39" s="323">
        <f>Allocation!$E$15</f>
        <v>5.67090596975168E-2</v>
      </c>
      <c r="J39" s="359">
        <f>H39*I39</f>
        <v>0</v>
      </c>
    </row>
    <row r="40" spans="1:10">
      <c r="A40" s="583">
        <v>26</v>
      </c>
      <c r="B40" s="121">
        <v>908</v>
      </c>
      <c r="C40" s="1109" t="s">
        <v>484</v>
      </c>
      <c r="D40" s="627">
        <v>0</v>
      </c>
      <c r="E40" s="323">
        <f>$E$39</f>
        <v>5.67090596975168E-2</v>
      </c>
      <c r="F40" s="616">
        <f>D40*E40</f>
        <v>0</v>
      </c>
      <c r="G40" s="103"/>
      <c r="H40" s="627">
        <v>0</v>
      </c>
      <c r="I40" s="1113">
        <f>I39</f>
        <v>5.67090596975168E-2</v>
      </c>
      <c r="J40" s="616">
        <f>H40*I40</f>
        <v>0</v>
      </c>
    </row>
    <row r="41" spans="1:10">
      <c r="A41" s="583">
        <v>27</v>
      </c>
      <c r="B41" s="121">
        <v>909</v>
      </c>
      <c r="C41" s="1109" t="s">
        <v>986</v>
      </c>
      <c r="D41" s="627">
        <v>0</v>
      </c>
      <c r="E41" s="323">
        <f>$E$39</f>
        <v>5.67090596975168E-2</v>
      </c>
      <c r="F41" s="616">
        <f>D41*E41</f>
        <v>0</v>
      </c>
      <c r="G41" s="103"/>
      <c r="H41" s="627">
        <v>0</v>
      </c>
      <c r="I41" s="1113">
        <f>I39</f>
        <v>5.67090596975168E-2</v>
      </c>
      <c r="J41" s="616">
        <f>H41*I41</f>
        <v>0</v>
      </c>
    </row>
    <row r="42" spans="1:10">
      <c r="A42" s="583">
        <v>28</v>
      </c>
      <c r="B42" s="1111">
        <v>910</v>
      </c>
      <c r="C42" s="1109" t="s">
        <v>987</v>
      </c>
      <c r="D42" s="627">
        <v>0</v>
      </c>
      <c r="E42" s="323">
        <f>$E$39</f>
        <v>5.67090596975168E-2</v>
      </c>
      <c r="F42" s="1052">
        <f>D42*E42</f>
        <v>0</v>
      </c>
      <c r="G42" s="103"/>
      <c r="H42" s="627">
        <v>0</v>
      </c>
      <c r="I42" s="1113">
        <f>I39</f>
        <v>5.67090596975168E-2</v>
      </c>
      <c r="J42" s="1052">
        <f>H42*I42</f>
        <v>0</v>
      </c>
    </row>
    <row r="43" spans="1:10">
      <c r="A43" s="583">
        <v>29</v>
      </c>
      <c r="B43" s="121"/>
      <c r="C43" s="1112" t="s">
        <v>97</v>
      </c>
      <c r="D43" s="359">
        <f>SUM(D39:D42)</f>
        <v>0</v>
      </c>
      <c r="E43" s="1108"/>
      <c r="F43" s="359">
        <f>SUM(F39:F42)</f>
        <v>0</v>
      </c>
      <c r="G43" s="103"/>
      <c r="H43" s="359">
        <f>SUM(H39:H42)</f>
        <v>0</v>
      </c>
      <c r="I43" s="1108"/>
      <c r="J43" s="359">
        <f>SUM(J39:J42)</f>
        <v>0</v>
      </c>
    </row>
    <row r="44" spans="1:10">
      <c r="A44" s="583">
        <v>30</v>
      </c>
      <c r="B44" s="121"/>
      <c r="C44" s="1112"/>
      <c r="D44" s="616"/>
      <c r="E44" s="1108"/>
      <c r="F44" s="616"/>
      <c r="G44" s="103"/>
      <c r="H44" s="616"/>
      <c r="I44" s="1108"/>
      <c r="J44" s="616"/>
    </row>
    <row r="45" spans="1:10" ht="15.75">
      <c r="A45" s="583">
        <v>31</v>
      </c>
      <c r="B45" s="121"/>
      <c r="C45" s="1107" t="s">
        <v>499</v>
      </c>
      <c r="D45" s="616"/>
      <c r="E45" s="1108"/>
      <c r="F45" s="616"/>
      <c r="G45" s="103"/>
      <c r="H45" s="616"/>
      <c r="I45" s="1108"/>
      <c r="J45" s="616"/>
    </row>
    <row r="46" spans="1:10">
      <c r="A46" s="583">
        <v>32</v>
      </c>
      <c r="B46" s="960"/>
      <c r="D46" s="616"/>
      <c r="E46" s="103"/>
      <c r="F46" s="616" t="s">
        <v>327</v>
      </c>
      <c r="G46" s="103"/>
      <c r="H46" s="616"/>
      <c r="I46" s="103"/>
      <c r="J46" s="616" t="s">
        <v>327</v>
      </c>
    </row>
    <row r="47" spans="1:10" ht="15.75">
      <c r="A47" s="583">
        <v>33</v>
      </c>
      <c r="B47" s="960"/>
      <c r="C47" s="935" t="s">
        <v>194</v>
      </c>
      <c r="D47" s="616"/>
      <c r="E47" s="103"/>
      <c r="F47" s="616"/>
      <c r="G47" s="103"/>
      <c r="H47" s="616"/>
      <c r="I47" s="103"/>
      <c r="J47" s="616"/>
    </row>
    <row r="48" spans="1:10">
      <c r="A48" s="583">
        <v>34</v>
      </c>
      <c r="B48" s="121">
        <v>911</v>
      </c>
      <c r="C48" s="1109" t="s">
        <v>483</v>
      </c>
      <c r="D48" s="571">
        <f>'C.2.2 B 09'!P95</f>
        <v>255129.29012212393</v>
      </c>
      <c r="E48" s="335">
        <f>E18</f>
        <v>1</v>
      </c>
      <c r="F48" s="571">
        <f>D48*E48</f>
        <v>255129.29012212393</v>
      </c>
      <c r="G48" s="103"/>
      <c r="H48" s="571">
        <f>'C.2.2-F 09'!P95</f>
        <v>266961.66291167575</v>
      </c>
      <c r="I48" s="335">
        <f>I18</f>
        <v>1</v>
      </c>
      <c r="J48" s="571">
        <f>H48</f>
        <v>266961.66291167575</v>
      </c>
    </row>
    <row r="49" spans="1:10">
      <c r="A49" s="583">
        <v>35</v>
      </c>
      <c r="B49" s="121">
        <v>912</v>
      </c>
      <c r="C49" s="1109" t="s">
        <v>988</v>
      </c>
      <c r="D49" s="627">
        <f>'C.2.2 B 09'!P96</f>
        <v>117086.30179510081</v>
      </c>
      <c r="E49" s="335">
        <f t="shared" ref="E49:E72" si="0">E19</f>
        <v>1</v>
      </c>
      <c r="F49" s="627">
        <f>D49*E49</f>
        <v>117086.30179510081</v>
      </c>
      <c r="G49" s="103"/>
      <c r="H49" s="627">
        <f>'C.2.2-F 09'!P96</f>
        <v>131289.94335798768</v>
      </c>
      <c r="I49" s="335">
        <f t="shared" ref="I49:I72" si="1">I19</f>
        <v>1</v>
      </c>
      <c r="J49" s="627">
        <f>H49</f>
        <v>131289.94335798768</v>
      </c>
    </row>
    <row r="50" spans="1:10">
      <c r="A50" s="583">
        <v>36</v>
      </c>
      <c r="B50" s="121">
        <v>913</v>
      </c>
      <c r="C50" s="1109" t="s">
        <v>962</v>
      </c>
      <c r="D50" s="627">
        <f>'C.2.2 B 09'!P97</f>
        <v>38737.06849407807</v>
      </c>
      <c r="E50" s="335">
        <f t="shared" si="0"/>
        <v>1</v>
      </c>
      <c r="F50" s="627">
        <f>D50*E50</f>
        <v>38737.06849407807</v>
      </c>
      <c r="G50" s="103"/>
      <c r="H50" s="627">
        <f>'C.2.2-F 09'!P97</f>
        <v>45483.023228428916</v>
      </c>
      <c r="I50" s="335">
        <f t="shared" si="1"/>
        <v>1</v>
      </c>
      <c r="J50" s="627">
        <f>H50</f>
        <v>45483.023228428916</v>
      </c>
    </row>
    <row r="51" spans="1:10">
      <c r="A51" s="583">
        <v>37</v>
      </c>
      <c r="B51" s="1111">
        <v>916</v>
      </c>
      <c r="C51" s="1109" t="s">
        <v>963</v>
      </c>
      <c r="D51" s="628">
        <v>0</v>
      </c>
      <c r="E51" s="335">
        <f t="shared" si="0"/>
        <v>1</v>
      </c>
      <c r="F51" s="628">
        <f>D51*E51</f>
        <v>0</v>
      </c>
      <c r="G51" s="103"/>
      <c r="H51" s="628">
        <v>0</v>
      </c>
      <c r="I51" s="335">
        <f t="shared" si="1"/>
        <v>1</v>
      </c>
      <c r="J51" s="628">
        <f>H51</f>
        <v>0</v>
      </c>
    </row>
    <row r="52" spans="1:10">
      <c r="A52" s="583">
        <v>38</v>
      </c>
      <c r="B52" s="960"/>
      <c r="C52" s="1114" t="s">
        <v>97</v>
      </c>
      <c r="D52" s="359">
        <f>SUM(D48:D51)</f>
        <v>410952.66041130282</v>
      </c>
      <c r="E52" s="335"/>
      <c r="F52" s="359">
        <f>SUM(F48:F51)</f>
        <v>410952.66041130282</v>
      </c>
      <c r="G52" s="103"/>
      <c r="H52" s="359">
        <f>SUM(H48:H51)</f>
        <v>443734.62949809234</v>
      </c>
      <c r="I52" s="335"/>
      <c r="J52" s="359">
        <f>SUM(J48:J51)</f>
        <v>443734.62949809234</v>
      </c>
    </row>
    <row r="53" spans="1:10">
      <c r="A53" s="583">
        <v>39</v>
      </c>
      <c r="B53" s="960"/>
      <c r="C53" s="103"/>
      <c r="D53" s="103"/>
      <c r="E53" s="335"/>
      <c r="F53" s="103"/>
      <c r="G53" s="103"/>
      <c r="H53" s="103"/>
      <c r="I53" s="335"/>
      <c r="J53" s="103"/>
    </row>
    <row r="54" spans="1:10" ht="15.75">
      <c r="A54" s="583">
        <v>40</v>
      </c>
      <c r="B54" s="960"/>
      <c r="C54" s="935" t="s">
        <v>79</v>
      </c>
      <c r="D54" s="103"/>
      <c r="E54" s="335"/>
      <c r="F54" s="103"/>
      <c r="G54" s="103"/>
      <c r="H54" s="103"/>
      <c r="I54" s="335"/>
      <c r="J54" s="103"/>
    </row>
    <row r="55" spans="1:10">
      <c r="A55" s="583">
        <v>41</v>
      </c>
      <c r="B55" s="121">
        <v>911</v>
      </c>
      <c r="C55" s="1109" t="s">
        <v>483</v>
      </c>
      <c r="D55" s="359">
        <f>'C.2.2 B 91'!P39</f>
        <v>127103.19527818738</v>
      </c>
      <c r="E55" s="323">
        <f t="shared" si="0"/>
        <v>0.5025136071712456</v>
      </c>
      <c r="F55" s="359">
        <f>D55*E55</f>
        <v>63871.085142233176</v>
      </c>
      <c r="G55" s="103"/>
      <c r="H55" s="359">
        <f>'C.2.2-F 91'!P37</f>
        <v>123574.67864290622</v>
      </c>
      <c r="I55" s="323">
        <f t="shared" si="1"/>
        <v>0.5025136071712456</v>
      </c>
      <c r="J55" s="359">
        <f>H55*I55</f>
        <v>62097.95751987429</v>
      </c>
    </row>
    <row r="56" spans="1:10">
      <c r="A56" s="583">
        <v>42</v>
      </c>
      <c r="B56" s="121">
        <v>912</v>
      </c>
      <c r="C56" s="1109" t="s">
        <v>988</v>
      </c>
      <c r="D56" s="103">
        <f>'C.2.2 B 91'!P40</f>
        <v>846.63573664316004</v>
      </c>
      <c r="E56" s="323">
        <f t="shared" si="0"/>
        <v>0.5025136071712456</v>
      </c>
      <c r="F56" s="103">
        <f>D56*E56</f>
        <v>425.4459779806391</v>
      </c>
      <c r="G56" s="103"/>
      <c r="H56" s="103">
        <f>'C.2.2-F 91'!P38</f>
        <v>914.08127181541306</v>
      </c>
      <c r="I56" s="323">
        <f t="shared" si="1"/>
        <v>0.5025136071712456</v>
      </c>
      <c r="J56" s="103">
        <f>H56*I56</f>
        <v>459.33827714764305</v>
      </c>
    </row>
    <row r="57" spans="1:10">
      <c r="A57" s="583">
        <v>43</v>
      </c>
      <c r="B57" s="121">
        <v>913</v>
      </c>
      <c r="C57" s="1109" t="s">
        <v>962</v>
      </c>
      <c r="D57" s="103">
        <f>'C.2.2 B 91'!P41</f>
        <v>640.52816085681491</v>
      </c>
      <c r="E57" s="323">
        <f t="shared" si="0"/>
        <v>0.5025136071712456</v>
      </c>
      <c r="F57" s="103">
        <f>D57*E57</f>
        <v>321.87411660692192</v>
      </c>
      <c r="G57" s="103"/>
      <c r="H57" s="103">
        <f>'C.2.2-F 91'!P39</f>
        <v>691.55455004890632</v>
      </c>
      <c r="I57" s="323">
        <f t="shared" si="1"/>
        <v>0.5025136071712456</v>
      </c>
      <c r="J57" s="103">
        <f>H57*I57</f>
        <v>347.5155715007636</v>
      </c>
    </row>
    <row r="58" spans="1:10">
      <c r="A58" s="583">
        <v>44</v>
      </c>
      <c r="B58" s="1111">
        <v>916</v>
      </c>
      <c r="C58" s="1109" t="s">
        <v>963</v>
      </c>
      <c r="D58" s="962">
        <v>0</v>
      </c>
      <c r="E58" s="323">
        <f t="shared" si="0"/>
        <v>0.5025136071712456</v>
      </c>
      <c r="F58" s="962">
        <f>D58*E58</f>
        <v>0</v>
      </c>
      <c r="G58" s="103"/>
      <c r="H58" s="962">
        <v>0</v>
      </c>
      <c r="I58" s="323">
        <f t="shared" si="1"/>
        <v>0.5025136071712456</v>
      </c>
      <c r="J58" s="962">
        <f>H58*I58</f>
        <v>0</v>
      </c>
    </row>
    <row r="59" spans="1:10">
      <c r="A59" s="583">
        <v>45</v>
      </c>
      <c r="B59" s="960"/>
      <c r="C59" s="1114" t="s">
        <v>97</v>
      </c>
      <c r="D59" s="359">
        <f>SUM(D55:D58)</f>
        <v>128590.35917568736</v>
      </c>
      <c r="E59" s="335"/>
      <c r="F59" s="359">
        <f>SUM(F55:F58)</f>
        <v>64618.405236820741</v>
      </c>
      <c r="G59" s="103"/>
      <c r="H59" s="359">
        <f>SUM(H55:H58)</f>
        <v>125180.31446477055</v>
      </c>
      <c r="I59" s="323"/>
      <c r="J59" s="359">
        <f>SUM(J55:J58)</f>
        <v>62904.8113685227</v>
      </c>
    </row>
    <row r="60" spans="1:10">
      <c r="A60" s="583">
        <v>46</v>
      </c>
      <c r="B60" s="1115"/>
      <c r="C60" s="103"/>
      <c r="D60" s="103"/>
      <c r="E60" s="323"/>
      <c r="F60" s="103"/>
      <c r="G60" s="103"/>
      <c r="H60" s="103"/>
      <c r="I60" s="323"/>
      <c r="J60" s="103"/>
    </row>
    <row r="61" spans="1:10" ht="15.75">
      <c r="A61" s="583">
        <v>47</v>
      </c>
      <c r="B61" s="960"/>
      <c r="C61" s="935" t="s">
        <v>77</v>
      </c>
      <c r="D61" s="103"/>
      <c r="E61" s="323"/>
      <c r="F61" s="103"/>
      <c r="G61" s="103"/>
      <c r="H61" s="103"/>
      <c r="I61" s="323"/>
      <c r="J61" s="103"/>
    </row>
    <row r="62" spans="1:10">
      <c r="A62" s="583">
        <v>48</v>
      </c>
      <c r="B62" s="121">
        <v>911</v>
      </c>
      <c r="C62" s="1109" t="s">
        <v>483</v>
      </c>
      <c r="D62" s="359">
        <v>0</v>
      </c>
      <c r="E62" s="323">
        <f t="shared" si="0"/>
        <v>5.2010158342223917E-2</v>
      </c>
      <c r="F62" s="359">
        <f>D62*E62</f>
        <v>0</v>
      </c>
      <c r="G62" s="103"/>
      <c r="H62" s="359">
        <v>0</v>
      </c>
      <c r="I62" s="323">
        <f t="shared" si="1"/>
        <v>5.2010158342223917E-2</v>
      </c>
      <c r="J62" s="359">
        <f>H62*I62</f>
        <v>0</v>
      </c>
    </row>
    <row r="63" spans="1:10">
      <c r="A63" s="583">
        <v>49</v>
      </c>
      <c r="B63" s="121">
        <v>912</v>
      </c>
      <c r="C63" s="1109" t="s">
        <v>988</v>
      </c>
      <c r="D63" s="616">
        <f>'C.2.2 B 02'!P26</f>
        <v>1882.4733916985756</v>
      </c>
      <c r="E63" s="323">
        <f t="shared" si="0"/>
        <v>5.2010158342223917E-2</v>
      </c>
      <c r="F63" s="616">
        <f>D63*E63</f>
        <v>97.907739177266222</v>
      </c>
      <c r="G63" s="103"/>
      <c r="H63" s="616">
        <f>'C.2.2-F 02'!P24</f>
        <v>2309.470137691681</v>
      </c>
      <c r="I63" s="323">
        <f t="shared" si="1"/>
        <v>5.2010158342223917E-2</v>
      </c>
      <c r="J63" s="616">
        <f>H63*I63</f>
        <v>120.115907547982</v>
      </c>
    </row>
    <row r="64" spans="1:10">
      <c r="A64" s="583">
        <v>50</v>
      </c>
      <c r="B64" s="121">
        <v>913</v>
      </c>
      <c r="C64" s="1109" t="s">
        <v>962</v>
      </c>
      <c r="D64" s="616">
        <v>0</v>
      </c>
      <c r="E64" s="323">
        <f t="shared" si="0"/>
        <v>5.2010158342223917E-2</v>
      </c>
      <c r="F64" s="616">
        <f>D64*E64</f>
        <v>0</v>
      </c>
      <c r="G64" s="103"/>
      <c r="H64" s="616">
        <v>0</v>
      </c>
      <c r="I64" s="323">
        <f t="shared" si="1"/>
        <v>5.2010158342223917E-2</v>
      </c>
      <c r="J64" s="616">
        <f>H64*I64</f>
        <v>0</v>
      </c>
    </row>
    <row r="65" spans="1:10">
      <c r="A65" s="583">
        <v>51</v>
      </c>
      <c r="B65" s="1111">
        <v>916</v>
      </c>
      <c r="C65" s="1109" t="s">
        <v>963</v>
      </c>
      <c r="D65" s="1052">
        <v>0</v>
      </c>
      <c r="E65" s="323">
        <f t="shared" si="0"/>
        <v>5.2010158342223917E-2</v>
      </c>
      <c r="F65" s="1052">
        <f>D65*E65</f>
        <v>0</v>
      </c>
      <c r="G65" s="103"/>
      <c r="H65" s="1052">
        <v>0</v>
      </c>
      <c r="I65" s="323">
        <f t="shared" si="1"/>
        <v>5.2010158342223917E-2</v>
      </c>
      <c r="J65" s="1052">
        <f>H65*I65</f>
        <v>0</v>
      </c>
    </row>
    <row r="66" spans="1:10">
      <c r="A66" s="583">
        <v>52</v>
      </c>
      <c r="B66" s="960"/>
      <c r="C66" s="1114" t="s">
        <v>97</v>
      </c>
      <c r="D66" s="359">
        <f>SUM(D62:D65)</f>
        <v>1882.4733916985756</v>
      </c>
      <c r="E66" s="335"/>
      <c r="F66" s="359">
        <f>SUM(F62:F65)</f>
        <v>97.907739177266222</v>
      </c>
      <c r="G66" s="103"/>
      <c r="H66" s="359">
        <f>SUM(H62:H65)</f>
        <v>2309.470137691681</v>
      </c>
      <c r="I66" s="323"/>
      <c r="J66" s="359">
        <f>SUM(J62:J65)</f>
        <v>120.115907547982</v>
      </c>
    </row>
    <row r="67" spans="1:10">
      <c r="A67" s="583">
        <v>53</v>
      </c>
      <c r="B67" s="1115"/>
      <c r="C67" s="103"/>
      <c r="D67" s="103"/>
      <c r="E67" s="323"/>
      <c r="F67" s="103"/>
      <c r="G67" s="103"/>
      <c r="H67" s="103"/>
      <c r="I67" s="323"/>
      <c r="J67" s="103"/>
    </row>
    <row r="68" spans="1:10" ht="15.75">
      <c r="A68" s="583">
        <v>54</v>
      </c>
      <c r="B68" s="960"/>
      <c r="C68" s="935" t="s">
        <v>78</v>
      </c>
      <c r="D68" s="103"/>
      <c r="E68" s="323"/>
      <c r="F68" s="103"/>
      <c r="G68" s="103"/>
      <c r="H68" s="103"/>
      <c r="I68" s="323"/>
      <c r="J68" s="103"/>
    </row>
    <row r="69" spans="1:10">
      <c r="A69" s="583">
        <v>55</v>
      </c>
      <c r="B69" s="121">
        <v>911</v>
      </c>
      <c r="C69" s="1109" t="s">
        <v>483</v>
      </c>
      <c r="D69" s="359">
        <v>0</v>
      </c>
      <c r="E69" s="323">
        <f t="shared" si="0"/>
        <v>5.67090596975168E-2</v>
      </c>
      <c r="F69" s="359">
        <f>D69*E69</f>
        <v>0</v>
      </c>
      <c r="G69" s="103"/>
      <c r="H69" s="359">
        <v>0</v>
      </c>
      <c r="I69" s="323">
        <f t="shared" si="1"/>
        <v>5.67090596975168E-2</v>
      </c>
      <c r="J69" s="359">
        <f>H69*I69</f>
        <v>0</v>
      </c>
    </row>
    <row r="70" spans="1:10">
      <c r="A70" s="583">
        <v>56</v>
      </c>
      <c r="B70" s="121">
        <v>912</v>
      </c>
      <c r="C70" s="1109" t="s">
        <v>988</v>
      </c>
      <c r="D70" s="616">
        <v>0</v>
      </c>
      <c r="E70" s="323">
        <f t="shared" si="0"/>
        <v>5.67090596975168E-2</v>
      </c>
      <c r="F70" s="616">
        <f>D70*E70</f>
        <v>0</v>
      </c>
      <c r="G70" s="103"/>
      <c r="H70" s="616">
        <v>0</v>
      </c>
      <c r="I70" s="323">
        <f t="shared" si="1"/>
        <v>5.67090596975168E-2</v>
      </c>
      <c r="J70" s="616">
        <f>H70*I70</f>
        <v>0</v>
      </c>
    </row>
    <row r="71" spans="1:10">
      <c r="A71" s="583">
        <v>57</v>
      </c>
      <c r="B71" s="121">
        <v>913</v>
      </c>
      <c r="C71" s="1109" t="s">
        <v>962</v>
      </c>
      <c r="D71" s="616">
        <v>0</v>
      </c>
      <c r="E71" s="323">
        <f t="shared" si="0"/>
        <v>5.67090596975168E-2</v>
      </c>
      <c r="F71" s="616">
        <f>D71*E71</f>
        <v>0</v>
      </c>
      <c r="G71" s="103"/>
      <c r="H71" s="616">
        <v>0</v>
      </c>
      <c r="I71" s="323">
        <f t="shared" si="1"/>
        <v>5.67090596975168E-2</v>
      </c>
      <c r="J71" s="616">
        <f>H71*I71</f>
        <v>0</v>
      </c>
    </row>
    <row r="72" spans="1:10">
      <c r="A72" s="583">
        <v>58</v>
      </c>
      <c r="B72" s="1111">
        <v>916</v>
      </c>
      <c r="C72" s="1109" t="s">
        <v>963</v>
      </c>
      <c r="D72" s="1052">
        <v>0</v>
      </c>
      <c r="E72" s="323">
        <f t="shared" si="0"/>
        <v>5.67090596975168E-2</v>
      </c>
      <c r="F72" s="1052">
        <f>D72*E72</f>
        <v>0</v>
      </c>
      <c r="G72" s="103"/>
      <c r="H72" s="1052">
        <v>0</v>
      </c>
      <c r="I72" s="323">
        <f t="shared" si="1"/>
        <v>5.67090596975168E-2</v>
      </c>
      <c r="J72" s="1052">
        <f>H72*I72</f>
        <v>0</v>
      </c>
    </row>
    <row r="73" spans="1:10">
      <c r="A73" s="583">
        <v>59</v>
      </c>
      <c r="B73" s="103"/>
      <c r="C73" s="1114" t="s">
        <v>97</v>
      </c>
      <c r="D73" s="359">
        <f>SUM(D69:D72)</f>
        <v>0</v>
      </c>
      <c r="E73" s="335"/>
      <c r="F73" s="359">
        <f>SUM(F69:F72)</f>
        <v>0</v>
      </c>
      <c r="G73" s="103"/>
      <c r="H73" s="359">
        <f>SUM(H69:H72)</f>
        <v>0</v>
      </c>
      <c r="I73" s="335"/>
      <c r="J73" s="359">
        <f>SUM(J69:J72)</f>
        <v>0</v>
      </c>
    </row>
    <row r="76" spans="1:10">
      <c r="B76" s="631" t="s">
        <v>1094</v>
      </c>
    </row>
    <row r="77" spans="1:10">
      <c r="B77" s="631" t="s">
        <v>1237</v>
      </c>
    </row>
    <row r="79" spans="1:10">
      <c r="C79" s="670"/>
    </row>
  </sheetData>
  <mergeCells count="5">
    <mergeCell ref="A5:J5"/>
    <mergeCell ref="A1:J1"/>
    <mergeCell ref="A2:J2"/>
    <mergeCell ref="A3:J3"/>
    <mergeCell ref="A4:J4"/>
  </mergeCells>
  <phoneticPr fontId="22" type="noConversion"/>
  <pageMargins left="0.75" right="0.67" top="0.76" bottom="0.82" header="0.5" footer="0.33"/>
  <pageSetup scale="58" orientation="portrait" verticalDpi="300" r:id="rId1"/>
  <headerFooter alignWithMargins="0">
    <oddFooter>&amp;RSchedule &amp;A
Page &amp;P of 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L41"/>
  <sheetViews>
    <sheetView view="pageBreakPreview" zoomScale="70" zoomScaleNormal="90" zoomScaleSheetLayoutView="70" workbookViewId="0">
      <selection activeCell="F52" sqref="F52"/>
    </sheetView>
  </sheetViews>
  <sheetFormatPr defaultRowHeight="15"/>
  <cols>
    <col min="1" max="1" width="4.109375" style="80" customWidth="1"/>
    <col min="2" max="2" width="38.33203125" style="80" customWidth="1"/>
    <col min="3" max="6" width="11.6640625" style="80" customWidth="1"/>
    <col min="7" max="7" width="10.109375" style="80" customWidth="1"/>
    <col min="8" max="8" width="4.109375" style="80" customWidth="1"/>
    <col min="9" max="9" width="11.33203125" style="80" customWidth="1"/>
    <col min="10" max="10" width="10.77734375" style="80" customWidth="1"/>
    <col min="11" max="11" width="12.44140625" style="80" bestFit="1" customWidth="1"/>
    <col min="12" max="16384" width="8.88671875" style="80"/>
  </cols>
  <sheetData>
    <row r="1" spans="1:12" ht="15.75">
      <c r="A1" s="1198" t="str">
        <f>'Table of Contents'!A1:C1</f>
        <v>Atmos Energy Corporation, Kentucky/Mid-States Division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03"/>
    </row>
    <row r="2" spans="1:12" ht="15.75">
      <c r="A2" s="1198" t="str">
        <f>'Table of Contents'!A2:C2</f>
        <v>Kentucky Jurisdiction Case No. 2017-00349</v>
      </c>
      <c r="B2" s="1198"/>
      <c r="C2" s="1198"/>
      <c r="D2" s="1198"/>
      <c r="E2" s="1198"/>
      <c r="F2" s="1198"/>
      <c r="G2" s="1198"/>
      <c r="H2" s="1198"/>
      <c r="I2" s="1198"/>
      <c r="J2" s="1198"/>
      <c r="K2" s="1198"/>
      <c r="L2" s="103"/>
    </row>
    <row r="3" spans="1:12" ht="15.75">
      <c r="A3" s="1198" t="s">
        <v>1238</v>
      </c>
      <c r="B3" s="1198"/>
      <c r="C3" s="1198"/>
      <c r="D3" s="1198"/>
      <c r="E3" s="1198"/>
      <c r="F3" s="1198"/>
      <c r="G3" s="1198"/>
      <c r="H3" s="1198"/>
      <c r="I3" s="1198"/>
      <c r="J3" s="1198"/>
      <c r="K3" s="1198"/>
      <c r="L3" s="670"/>
    </row>
    <row r="4" spans="1:12" ht="15.75">
      <c r="A4" s="1198" t="str">
        <f>'Table of Contents'!A4:C4</f>
        <v>Forecasted Test Period: Twelve Months Ended March 31, 2019</v>
      </c>
      <c r="B4" s="1198"/>
      <c r="C4" s="1198"/>
      <c r="D4" s="1198"/>
      <c r="E4" s="1198"/>
      <c r="F4" s="1198"/>
      <c r="G4" s="1198"/>
      <c r="H4" s="1198"/>
      <c r="I4" s="1198"/>
      <c r="J4" s="1198"/>
      <c r="K4" s="1198"/>
      <c r="L4" s="670"/>
    </row>
    <row r="5" spans="1:12" ht="15.75">
      <c r="A5" s="1198"/>
      <c r="B5" s="1198"/>
      <c r="C5" s="1198"/>
      <c r="D5" s="1198"/>
      <c r="E5" s="1198"/>
      <c r="F5" s="1198"/>
      <c r="G5" s="1198"/>
      <c r="H5" s="1198"/>
      <c r="I5" s="1198"/>
      <c r="J5" s="1198"/>
      <c r="K5" s="1198"/>
      <c r="L5" s="103"/>
    </row>
    <row r="6" spans="1:12" ht="15.75">
      <c r="A6" s="925"/>
      <c r="B6" s="925"/>
      <c r="C6" s="103"/>
      <c r="D6" s="103"/>
      <c r="E6" s="906"/>
      <c r="F6" s="103"/>
      <c r="G6" s="103"/>
      <c r="H6" s="103"/>
      <c r="I6" s="103"/>
      <c r="J6" s="103"/>
      <c r="K6" s="103"/>
      <c r="L6" s="103"/>
    </row>
    <row r="7" spans="1:12" ht="15.75">
      <c r="A7" s="925"/>
      <c r="B7" s="925"/>
      <c r="C7" s="103"/>
      <c r="D7" s="103"/>
      <c r="E7" s="103"/>
      <c r="F7" s="103"/>
      <c r="G7" s="103"/>
      <c r="H7" s="103"/>
      <c r="I7" s="103"/>
      <c r="K7" s="103"/>
      <c r="L7" s="103"/>
    </row>
    <row r="8" spans="1:12">
      <c r="A8" s="694" t="s">
        <v>137</v>
      </c>
      <c r="B8" s="103"/>
      <c r="C8" s="103"/>
      <c r="D8" s="103"/>
      <c r="E8" s="103"/>
      <c r="F8" s="103"/>
      <c r="G8" s="103"/>
      <c r="H8" s="103"/>
      <c r="I8" s="103"/>
      <c r="K8" s="170" t="s">
        <v>1434</v>
      </c>
      <c r="L8" s="103"/>
    </row>
    <row r="9" spans="1:12">
      <c r="A9" s="694" t="s">
        <v>1132</v>
      </c>
      <c r="B9" s="103"/>
      <c r="C9" s="103"/>
      <c r="D9" s="103"/>
      <c r="E9" s="103"/>
      <c r="F9" s="103"/>
      <c r="G9" s="103"/>
      <c r="H9" s="103"/>
      <c r="I9" s="103"/>
      <c r="K9" s="926" t="s">
        <v>1316</v>
      </c>
      <c r="L9" s="103"/>
    </row>
    <row r="10" spans="1:12">
      <c r="A10" s="694" t="s">
        <v>431</v>
      </c>
      <c r="B10" s="103"/>
      <c r="C10" s="103"/>
      <c r="D10" s="103"/>
      <c r="E10" s="103"/>
      <c r="F10" s="103"/>
      <c r="G10" s="103"/>
      <c r="H10" s="103"/>
      <c r="I10" s="103"/>
      <c r="J10" s="809"/>
      <c r="K10" s="928" t="str">
        <f>F.1!$F$9</f>
        <v>Witness: Waller</v>
      </c>
      <c r="L10" s="103"/>
    </row>
    <row r="11" spans="1:12" ht="15.75">
      <c r="A11" s="929"/>
      <c r="B11" s="929"/>
      <c r="C11" s="1199" t="s">
        <v>328</v>
      </c>
      <c r="D11" s="1200"/>
      <c r="E11" s="1200"/>
      <c r="F11" s="1200"/>
      <c r="G11" s="1201"/>
      <c r="H11" s="929"/>
      <c r="I11" s="930"/>
      <c r="J11" s="931" t="s">
        <v>329</v>
      </c>
      <c r="K11" s="932"/>
      <c r="L11" s="103"/>
    </row>
    <row r="12" spans="1:12" ht="15.75">
      <c r="A12" s="804"/>
      <c r="B12" s="804"/>
      <c r="C12" s="427" t="s">
        <v>21</v>
      </c>
      <c r="D12" s="427" t="s">
        <v>1185</v>
      </c>
      <c r="E12" s="804"/>
      <c r="F12" s="1116"/>
      <c r="G12" s="804"/>
      <c r="H12" s="804"/>
      <c r="I12" s="427" t="s">
        <v>21</v>
      </c>
      <c r="J12" s="1116"/>
      <c r="K12" s="804"/>
      <c r="L12" s="103"/>
    </row>
    <row r="13" spans="1:12">
      <c r="A13" s="121" t="s">
        <v>94</v>
      </c>
      <c r="B13" s="121" t="s">
        <v>577</v>
      </c>
      <c r="C13" s="121" t="s">
        <v>613</v>
      </c>
      <c r="D13" s="121" t="s">
        <v>1186</v>
      </c>
      <c r="E13" s="121" t="s">
        <v>97</v>
      </c>
      <c r="F13" s="857" t="s">
        <v>11</v>
      </c>
      <c r="G13" s="960" t="s">
        <v>12</v>
      </c>
      <c r="H13" s="960"/>
      <c r="I13" s="121" t="s">
        <v>613</v>
      </c>
      <c r="J13" s="960" t="str">
        <f>F13</f>
        <v xml:space="preserve">Kentucky </v>
      </c>
      <c r="K13" s="960" t="s">
        <v>989</v>
      </c>
      <c r="L13" s="103"/>
    </row>
    <row r="14" spans="1:12">
      <c r="A14" s="648" t="s">
        <v>100</v>
      </c>
      <c r="B14" s="648" t="s">
        <v>1090</v>
      </c>
      <c r="C14" s="432" t="s">
        <v>962</v>
      </c>
      <c r="D14" s="432" t="s">
        <v>962</v>
      </c>
      <c r="E14" s="648" t="s">
        <v>599</v>
      </c>
      <c r="F14" s="933" t="s">
        <v>98</v>
      </c>
      <c r="G14" s="648" t="s">
        <v>105</v>
      </c>
      <c r="H14" s="648"/>
      <c r="I14" s="432" t="s">
        <v>962</v>
      </c>
      <c r="J14" s="648" t="str">
        <f>F14</f>
        <v>Jurisdictional</v>
      </c>
      <c r="K14" s="648" t="s">
        <v>105</v>
      </c>
      <c r="L14" s="103"/>
    </row>
    <row r="15" spans="1:12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</row>
    <row r="16" spans="1:12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810"/>
    </row>
    <row r="17" spans="1:12" ht="15.75">
      <c r="A17" s="583">
        <v>1</v>
      </c>
      <c r="B17" s="1117" t="s">
        <v>194</v>
      </c>
      <c r="C17" s="376"/>
      <c r="D17" s="376"/>
      <c r="E17" s="376"/>
      <c r="F17" s="74"/>
      <c r="G17" s="380"/>
      <c r="H17" s="74"/>
      <c r="I17" s="376"/>
      <c r="J17" s="74"/>
      <c r="K17" s="380"/>
      <c r="L17" s="1074"/>
    </row>
    <row r="18" spans="1:12">
      <c r="A18" s="583">
        <v>2</v>
      </c>
      <c r="B18" s="416" t="s">
        <v>808</v>
      </c>
      <c r="C18" s="327">
        <f>'[20]advert summary'!$P$26</f>
        <v>76811.703345893111</v>
      </c>
      <c r="D18" s="327">
        <f>'[20]advert summary'!$P$12</f>
        <v>9019.9736701316433</v>
      </c>
      <c r="E18" s="327">
        <f>SUM(C18:D18)</f>
        <v>85831.677016024754</v>
      </c>
      <c r="F18" s="420">
        <v>1</v>
      </c>
      <c r="G18" s="327">
        <f>E18*F18</f>
        <v>85831.677016024754</v>
      </c>
      <c r="H18" s="74"/>
      <c r="I18" s="327">
        <f>C18</f>
        <v>76811.703345893111</v>
      </c>
      <c r="J18" s="420">
        <f>F18</f>
        <v>1</v>
      </c>
      <c r="K18" s="327">
        <f>I18*J18</f>
        <v>76811.703345893111</v>
      </c>
      <c r="L18" s="1074"/>
    </row>
    <row r="19" spans="1:12">
      <c r="A19" s="583">
        <v>3</v>
      </c>
      <c r="C19" s="376"/>
      <c r="D19" s="376"/>
      <c r="E19" s="376"/>
      <c r="F19" s="74"/>
      <c r="G19" s="380"/>
      <c r="H19" s="74"/>
      <c r="I19" s="376"/>
      <c r="J19" s="74"/>
      <c r="K19" s="380"/>
      <c r="L19" s="810"/>
    </row>
    <row r="20" spans="1:12" ht="15.75">
      <c r="A20" s="583">
        <v>4</v>
      </c>
      <c r="B20" s="1117" t="s">
        <v>79</v>
      </c>
      <c r="C20" s="380"/>
      <c r="D20" s="380"/>
      <c r="E20" s="380"/>
      <c r="F20" s="74"/>
      <c r="G20" s="380"/>
      <c r="H20" s="74"/>
      <c r="I20" s="380"/>
      <c r="J20" s="74"/>
      <c r="K20" s="380"/>
      <c r="L20" s="1074"/>
    </row>
    <row r="21" spans="1:12">
      <c r="A21" s="583">
        <v>5</v>
      </c>
      <c r="B21" s="416" t="s">
        <v>808</v>
      </c>
      <c r="C21" s="380">
        <f>'[20]advert summary'!$P$42</f>
        <v>8016.6241776154129</v>
      </c>
      <c r="D21" s="380">
        <f>'[20]advert summary'!$P$32</f>
        <v>299672.27034322079</v>
      </c>
      <c r="E21" s="380">
        <f>SUM(C21:D21)</f>
        <v>307688.89452083618</v>
      </c>
      <c r="F21" s="465">
        <f>Allocation!$I$17</f>
        <v>0.5025136071712456</v>
      </c>
      <c r="G21" s="380">
        <f>E21*F21</f>
        <v>154617.85627219829</v>
      </c>
      <c r="H21" s="74"/>
      <c r="I21" s="380">
        <f>C21</f>
        <v>8016.6241776154129</v>
      </c>
      <c r="J21" s="465">
        <f>Allocation!$E$17</f>
        <v>0.5025136071712456</v>
      </c>
      <c r="K21" s="380">
        <f>I21*J21</f>
        <v>4028.4627328297415</v>
      </c>
      <c r="L21" s="1074"/>
    </row>
    <row r="22" spans="1:12">
      <c r="A22" s="583">
        <v>6</v>
      </c>
      <c r="B22" s="1074"/>
      <c r="C22" s="616"/>
      <c r="D22" s="616"/>
      <c r="E22" s="616"/>
      <c r="F22" s="103"/>
      <c r="G22" s="616"/>
      <c r="H22" s="103"/>
      <c r="I22" s="616"/>
      <c r="J22" s="103"/>
      <c r="K22" s="103"/>
      <c r="L22" s="1074"/>
    </row>
    <row r="23" spans="1:12" ht="15.75">
      <c r="A23" s="583">
        <v>7</v>
      </c>
      <c r="B23" s="1117" t="s">
        <v>77</v>
      </c>
      <c r="C23" s="616"/>
      <c r="D23" s="616"/>
      <c r="E23" s="616"/>
      <c r="F23" s="103"/>
      <c r="G23" s="616"/>
      <c r="H23" s="103"/>
      <c r="I23" s="616"/>
      <c r="J23" s="103"/>
      <c r="K23" s="103"/>
      <c r="L23" s="1118"/>
    </row>
    <row r="24" spans="1:12">
      <c r="A24" s="583">
        <v>8</v>
      </c>
      <c r="B24" s="416" t="s">
        <v>808</v>
      </c>
      <c r="C24" s="380">
        <f>'[20]advert summary'!$P$53</f>
        <v>111115.88966338914</v>
      </c>
      <c r="D24" s="380">
        <v>0</v>
      </c>
      <c r="E24" s="380">
        <f>SUM(C24:D24)</f>
        <v>111115.88966338914</v>
      </c>
      <c r="F24" s="465">
        <f>Allocation!$I$14</f>
        <v>5.2010158342223917E-2</v>
      </c>
      <c r="G24" s="380">
        <f>E24*F24</f>
        <v>5779.1550157299507</v>
      </c>
      <c r="H24" s="103"/>
      <c r="I24" s="380">
        <f>C24</f>
        <v>111115.88966338914</v>
      </c>
      <c r="J24" s="465">
        <f>Allocation!$E$14</f>
        <v>5.2010158342223917E-2</v>
      </c>
      <c r="K24" s="380">
        <f>I24*J24</f>
        <v>5779.1550157299507</v>
      </c>
      <c r="L24" s="1119"/>
    </row>
    <row r="25" spans="1:12">
      <c r="A25" s="583">
        <v>9</v>
      </c>
      <c r="B25" s="1118"/>
      <c r="C25" s="616"/>
      <c r="D25" s="616"/>
      <c r="E25" s="616"/>
      <c r="F25" s="103"/>
      <c r="G25" s="616"/>
      <c r="H25" s="103"/>
      <c r="I25" s="616"/>
      <c r="J25" s="103"/>
      <c r="K25" s="103"/>
      <c r="L25" s="103"/>
    </row>
    <row r="26" spans="1:12" ht="15.75">
      <c r="A26" s="583">
        <v>10</v>
      </c>
      <c r="B26" s="1117" t="s">
        <v>78</v>
      </c>
      <c r="C26" s="616"/>
      <c r="D26" s="616"/>
      <c r="E26" s="616"/>
      <c r="F26" s="103"/>
      <c r="G26" s="616"/>
      <c r="H26" s="103"/>
      <c r="I26" s="616"/>
      <c r="J26" s="103"/>
      <c r="K26" s="103"/>
      <c r="L26" s="103"/>
    </row>
    <row r="27" spans="1:12">
      <c r="A27" s="583">
        <v>11</v>
      </c>
      <c r="B27" s="416" t="s">
        <v>808</v>
      </c>
      <c r="C27" s="380">
        <f>'[20]advert summary'!$P$59</f>
        <v>812.33999999999992</v>
      </c>
      <c r="D27" s="380">
        <v>0</v>
      </c>
      <c r="E27" s="380">
        <f>SUM(C27:D27)</f>
        <v>812.33999999999992</v>
      </c>
      <c r="F27" s="465">
        <f>Allocation!$I$15</f>
        <v>5.67090596975168E-2</v>
      </c>
      <c r="G27" s="380">
        <f>E27*F27</f>
        <v>46.067037554680795</v>
      </c>
      <c r="H27" s="103"/>
      <c r="I27" s="380">
        <f>C27</f>
        <v>812.33999999999992</v>
      </c>
      <c r="J27" s="465">
        <f>Allocation!$E$15</f>
        <v>5.67090596975168E-2</v>
      </c>
      <c r="K27" s="380">
        <f>I27*J27</f>
        <v>46.067037554680795</v>
      </c>
      <c r="L27" s="103"/>
    </row>
    <row r="28" spans="1:12">
      <c r="A28" s="583">
        <v>12</v>
      </c>
      <c r="G28" s="616"/>
    </row>
    <row r="29" spans="1:12" ht="16.5" thickBot="1">
      <c r="A29" s="583">
        <v>13</v>
      </c>
      <c r="B29" s="419" t="s">
        <v>942</v>
      </c>
      <c r="C29" s="328">
        <f>SUM(C18:C27)</f>
        <v>196756.55718689764</v>
      </c>
      <c r="D29" s="328">
        <f>SUM(D18:D27)</f>
        <v>308692.24401335244</v>
      </c>
      <c r="E29" s="328">
        <f>SUM(E18:E27)</f>
        <v>505448.80120025011</v>
      </c>
      <c r="G29" s="328">
        <f>SUM(G18:G27)</f>
        <v>246274.75534150767</v>
      </c>
      <c r="I29" s="328">
        <f>SUM(I18:I27)</f>
        <v>196756.55718689764</v>
      </c>
      <c r="K29" s="328">
        <f>SUM(K18:K27)</f>
        <v>86665.388132007472</v>
      </c>
    </row>
    <row r="30" spans="1:12" ht="15.75" thickTop="1"/>
    <row r="32" spans="1:12">
      <c r="B32" s="1120"/>
    </row>
    <row r="33" spans="2:2">
      <c r="B33" s="1120"/>
    </row>
    <row r="34" spans="2:2">
      <c r="B34" s="80" t="s">
        <v>523</v>
      </c>
    </row>
    <row r="35" spans="2:2">
      <c r="B35" s="80" t="s">
        <v>1662</v>
      </c>
    </row>
    <row r="36" spans="2:2">
      <c r="B36" s="80" t="s">
        <v>1646</v>
      </c>
    </row>
    <row r="39" spans="2:2">
      <c r="B39" s="670"/>
    </row>
    <row r="40" spans="2:2">
      <c r="B40" s="670"/>
    </row>
    <row r="41" spans="2:2">
      <c r="B41" s="670"/>
    </row>
  </sheetData>
  <mergeCells count="6">
    <mergeCell ref="C11:G11"/>
    <mergeCell ref="A5:K5"/>
    <mergeCell ref="A1:K1"/>
    <mergeCell ref="A2:K2"/>
    <mergeCell ref="A3:K3"/>
    <mergeCell ref="A4:K4"/>
  </mergeCells>
  <phoneticPr fontId="22" type="noConversion"/>
  <printOptions horizontalCentered="1"/>
  <pageMargins left="0.83" right="0.73" top="0.81" bottom="0.5" header="0.5" footer="0.5"/>
  <pageSetup scale="73" orientation="landscape" verticalDpi="300" r:id="rId1"/>
  <headerFooter alignWithMargins="0">
    <oddFooter>&amp;RSchedule &amp;A
Page &amp;P of 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L43"/>
  <sheetViews>
    <sheetView view="pageBreakPreview" zoomScale="70" zoomScaleNormal="90" zoomScaleSheetLayoutView="70" workbookViewId="0">
      <selection activeCell="H49" sqref="H49"/>
    </sheetView>
  </sheetViews>
  <sheetFormatPr defaultRowHeight="15"/>
  <cols>
    <col min="1" max="1" width="5.88671875" style="80" customWidth="1"/>
    <col min="2" max="2" width="34.6640625" style="80" customWidth="1"/>
    <col min="3" max="3" width="13.5546875" style="80" bestFit="1" customWidth="1"/>
    <col min="4" max="4" width="11.109375" style="80" customWidth="1"/>
    <col min="5" max="5" width="10.88671875" style="80" customWidth="1"/>
    <col min="6" max="6" width="4.21875" style="80" customWidth="1"/>
    <col min="7" max="7" width="12" style="80" bestFit="1" customWidth="1"/>
    <col min="8" max="8" width="12" style="80" customWidth="1"/>
    <col min="9" max="9" width="9.88671875" style="80" customWidth="1"/>
    <col min="10" max="16384" width="8.88671875" style="80"/>
  </cols>
  <sheetData>
    <row r="1" spans="1:12" ht="15.75">
      <c r="A1" s="1178" t="str">
        <f>'Table of Contents'!A1:C1</f>
        <v>Atmos Energy Corporation, Kentucky/Mid-States Division</v>
      </c>
      <c r="B1" s="1178"/>
      <c r="C1" s="1178"/>
      <c r="D1" s="1178"/>
      <c r="E1" s="1178"/>
      <c r="F1" s="1178"/>
      <c r="G1" s="1178"/>
      <c r="H1" s="1178"/>
      <c r="I1" s="1178"/>
    </row>
    <row r="2" spans="1:12" ht="15.75">
      <c r="A2" s="1178" t="str">
        <f>'Table of Contents'!A2:C2</f>
        <v>Kentucky Jurisdiction Case No. 2017-00349</v>
      </c>
      <c r="B2" s="1178" t="s">
        <v>327</v>
      </c>
      <c r="C2" s="1178"/>
      <c r="D2" s="1178"/>
      <c r="E2" s="1178"/>
      <c r="F2" s="1178"/>
      <c r="G2" s="1178"/>
      <c r="H2" s="1178"/>
      <c r="I2" s="1178"/>
      <c r="J2" s="103"/>
    </row>
    <row r="3" spans="1:12" ht="15.75">
      <c r="A3" s="1178" t="s">
        <v>425</v>
      </c>
      <c r="B3" s="1178"/>
      <c r="C3" s="1178"/>
      <c r="D3" s="1178"/>
      <c r="E3" s="1178"/>
      <c r="F3" s="1178"/>
      <c r="G3" s="1178"/>
      <c r="H3" s="1178"/>
      <c r="I3" s="1178"/>
      <c r="J3" s="103"/>
    </row>
    <row r="4" spans="1:12" ht="15.75">
      <c r="A4" s="1178" t="str">
        <f>'Table of Contents'!A3:C3</f>
        <v>Base Period: Twelve Months Ended December 31, 2017</v>
      </c>
      <c r="B4" s="1178"/>
      <c r="C4" s="1178"/>
      <c r="D4" s="1178"/>
      <c r="E4" s="1178"/>
      <c r="F4" s="1178"/>
      <c r="G4" s="1178"/>
      <c r="H4" s="1178"/>
      <c r="I4" s="1178"/>
      <c r="J4" s="103"/>
    </row>
    <row r="5" spans="1:12" ht="15.75">
      <c r="A5" s="1178" t="str">
        <f>'Table of Contents'!A4:C4</f>
        <v>Forecasted Test Period: Twelve Months Ended March 31, 2019</v>
      </c>
      <c r="B5" s="1178"/>
      <c r="C5" s="1178"/>
      <c r="D5" s="1178"/>
      <c r="E5" s="1178"/>
      <c r="F5" s="1178"/>
      <c r="G5" s="1178"/>
      <c r="H5" s="1178"/>
      <c r="I5" s="1178"/>
      <c r="J5" s="103"/>
    </row>
    <row r="6" spans="1:12" ht="15.75">
      <c r="A6" s="103"/>
      <c r="B6" s="925"/>
      <c r="C6" s="925"/>
      <c r="D6" s="103"/>
      <c r="E6" s="103"/>
      <c r="F6" s="103"/>
      <c r="G6" s="103"/>
      <c r="H6" s="103"/>
      <c r="I6" s="103"/>
      <c r="J6" s="103"/>
    </row>
    <row r="7" spans="1:12" ht="15.75">
      <c r="A7" s="694" t="s">
        <v>137</v>
      </c>
      <c r="B7" s="103"/>
      <c r="C7" s="925"/>
      <c r="D7" s="103"/>
      <c r="E7" s="103"/>
      <c r="F7" s="103"/>
      <c r="G7" s="103"/>
      <c r="I7" s="170" t="s">
        <v>1434</v>
      </c>
      <c r="J7" s="103"/>
    </row>
    <row r="8" spans="1:12" ht="15.75">
      <c r="A8" s="694" t="s">
        <v>1133</v>
      </c>
      <c r="B8" s="103"/>
      <c r="C8" s="925"/>
      <c r="D8" s="103"/>
      <c r="E8" s="103"/>
      <c r="F8" s="103"/>
      <c r="G8" s="103"/>
      <c r="I8" s="926" t="s">
        <v>578</v>
      </c>
      <c r="J8" s="103"/>
    </row>
    <row r="9" spans="1:12" ht="15.75">
      <c r="A9" s="694" t="s">
        <v>369</v>
      </c>
      <c r="B9" s="103"/>
      <c r="C9" s="925"/>
      <c r="D9" s="103"/>
      <c r="E9" s="103"/>
      <c r="F9" s="103"/>
      <c r="G9" s="103"/>
      <c r="I9" s="928" t="str">
        <f>F.1!$F$9</f>
        <v>Witness: Waller</v>
      </c>
      <c r="J9" s="103"/>
    </row>
    <row r="10" spans="1:12" ht="15.75">
      <c r="A10" s="929"/>
      <c r="B10" s="929"/>
      <c r="C10" s="930"/>
      <c r="D10" s="931" t="s">
        <v>328</v>
      </c>
      <c r="E10" s="932"/>
      <c r="F10" s="929"/>
      <c r="G10" s="930"/>
      <c r="H10" s="931" t="s">
        <v>329</v>
      </c>
      <c r="I10" s="932"/>
      <c r="J10" s="103"/>
    </row>
    <row r="11" spans="1:12">
      <c r="A11" s="121" t="s">
        <v>94</v>
      </c>
      <c r="B11" s="103"/>
      <c r="C11" s="121" t="s">
        <v>97</v>
      </c>
      <c r="D11" s="857" t="s">
        <v>11</v>
      </c>
      <c r="E11" s="960" t="s">
        <v>12</v>
      </c>
      <c r="F11" s="103"/>
      <c r="G11" s="121" t="s">
        <v>97</v>
      </c>
      <c r="H11" s="960" t="str">
        <f>D11</f>
        <v xml:space="preserve">Kentucky </v>
      </c>
      <c r="I11" s="960" t="s">
        <v>989</v>
      </c>
      <c r="J11" s="103"/>
    </row>
    <row r="12" spans="1:12">
      <c r="A12" s="648" t="s">
        <v>100</v>
      </c>
      <c r="B12" s="648" t="s">
        <v>993</v>
      </c>
      <c r="C12" s="648" t="s">
        <v>599</v>
      </c>
      <c r="D12" s="933" t="s">
        <v>98</v>
      </c>
      <c r="E12" s="648" t="s">
        <v>105</v>
      </c>
      <c r="F12" s="934"/>
      <c r="G12" s="648" t="s">
        <v>599</v>
      </c>
      <c r="H12" s="648" t="str">
        <f>D12</f>
        <v>Jurisdictional</v>
      </c>
      <c r="I12" s="648" t="s">
        <v>105</v>
      </c>
      <c r="J12" s="103"/>
    </row>
    <row r="13" spans="1:12">
      <c r="A13" s="103"/>
      <c r="B13" s="103"/>
      <c r="C13" s="103"/>
      <c r="D13" s="103"/>
      <c r="E13" s="103"/>
      <c r="F13" s="103"/>
      <c r="G13" s="103"/>
      <c r="H13" s="103"/>
      <c r="I13" s="103"/>
      <c r="J13" s="103"/>
    </row>
    <row r="14" spans="1:12" ht="15.75">
      <c r="A14" s="960"/>
      <c r="B14" s="974" t="s">
        <v>1245</v>
      </c>
      <c r="C14" s="906"/>
      <c r="D14" s="103"/>
      <c r="E14" s="103"/>
      <c r="F14" s="103"/>
      <c r="G14" s="103"/>
      <c r="H14" s="103"/>
      <c r="I14" s="103"/>
      <c r="J14" s="103"/>
    </row>
    <row r="15" spans="1:12" ht="15.75">
      <c r="A15" s="121">
        <v>1</v>
      </c>
      <c r="B15" s="583"/>
      <c r="C15" s="1121"/>
      <c r="D15" s="583"/>
      <c r="E15" s="583"/>
      <c r="F15" s="583"/>
      <c r="G15" s="103"/>
      <c r="H15" s="958"/>
      <c r="I15" s="583"/>
      <c r="J15" s="103"/>
    </row>
    <row r="16" spans="1:12">
      <c r="A16" s="960">
        <f>A15+1</f>
        <v>2</v>
      </c>
      <c r="B16" s="810" t="s">
        <v>194</v>
      </c>
      <c r="D16" s="940"/>
      <c r="F16" s="399"/>
      <c r="G16" s="427"/>
      <c r="H16" s="399"/>
      <c r="I16" s="399"/>
      <c r="L16" s="670"/>
    </row>
    <row r="17" spans="1:10">
      <c r="A17" s="960">
        <f t="shared" ref="A17:A34" si="0">A16+1</f>
        <v>3</v>
      </c>
      <c r="B17" s="1074" t="s">
        <v>990</v>
      </c>
      <c r="C17" s="1122">
        <f>SUM('[13]Div 9 forecast'!$F$475:$Q$475)</f>
        <v>0</v>
      </c>
      <c r="D17" s="940">
        <v>1</v>
      </c>
      <c r="E17" s="1122">
        <f>C17*D17</f>
        <v>0</v>
      </c>
      <c r="F17" s="399"/>
      <c r="G17" s="1122">
        <f>SUM('[13]Div 9 forecast'!$U$475:$AF$475)</f>
        <v>0</v>
      </c>
      <c r="H17" s="940">
        <f>D17</f>
        <v>1</v>
      </c>
      <c r="I17" s="1122">
        <f>G17*H17</f>
        <v>0</v>
      </c>
    </row>
    <row r="18" spans="1:10">
      <c r="A18" s="960">
        <f t="shared" si="0"/>
        <v>4</v>
      </c>
      <c r="B18" s="1074" t="s">
        <v>991</v>
      </c>
      <c r="C18" s="1122">
        <f>SUM('[13]Div 9 forecast'!$F$480:$Q$480)</f>
        <v>64810.557379835765</v>
      </c>
      <c r="D18" s="940">
        <f>D17</f>
        <v>1</v>
      </c>
      <c r="E18" s="1123">
        <f>C18*D18</f>
        <v>64810.557379835765</v>
      </c>
      <c r="F18" s="399"/>
      <c r="G18" s="1122">
        <f>SUM('[13]Div 9 forecast'!$T$480:$AF$480)</f>
        <v>74067.321039683389</v>
      </c>
      <c r="H18" s="940">
        <f>D18</f>
        <v>1</v>
      </c>
      <c r="I18" s="1123">
        <f>G18*H18</f>
        <v>74067.321039683389</v>
      </c>
    </row>
    <row r="19" spans="1:10">
      <c r="A19" s="960">
        <f t="shared" si="0"/>
        <v>5</v>
      </c>
      <c r="B19" s="1118" t="s">
        <v>493</v>
      </c>
      <c r="C19" s="1124">
        <f>SUM(C16:C18)</f>
        <v>64810.557379835765</v>
      </c>
      <c r="D19" s="940"/>
      <c r="E19" s="1122">
        <f>SUM(E16:E18)</f>
        <v>64810.557379835765</v>
      </c>
      <c r="F19" s="399"/>
      <c r="G19" s="1124">
        <f>SUM(G16:G18)</f>
        <v>74067.321039683389</v>
      </c>
      <c r="H19" s="399"/>
      <c r="I19" s="1122">
        <f>SUM(I16:I18)</f>
        <v>74067.321039683389</v>
      </c>
    </row>
    <row r="20" spans="1:10">
      <c r="A20" s="960">
        <f t="shared" si="0"/>
        <v>6</v>
      </c>
      <c r="B20" s="1119"/>
      <c r="C20" s="1125"/>
      <c r="D20" s="615"/>
      <c r="E20" s="1125"/>
      <c r="F20" s="804"/>
      <c r="G20" s="1125"/>
      <c r="H20" s="804"/>
      <c r="I20" s="1125"/>
      <c r="J20" s="103"/>
    </row>
    <row r="21" spans="1:10">
      <c r="A21" s="960">
        <f t="shared" si="0"/>
        <v>7</v>
      </c>
      <c r="B21" s="810" t="s">
        <v>79</v>
      </c>
      <c r="C21" s="381"/>
      <c r="D21" s="1126"/>
      <c r="E21" s="381"/>
      <c r="F21" s="943"/>
      <c r="G21" s="381"/>
      <c r="H21" s="943"/>
      <c r="I21" s="381"/>
      <c r="J21" s="103"/>
    </row>
    <row r="22" spans="1:10">
      <c r="A22" s="960">
        <f t="shared" si="0"/>
        <v>8</v>
      </c>
      <c r="B22" s="1074" t="s">
        <v>990</v>
      </c>
      <c r="C22" s="1122">
        <f>SUM('[13]Div 91 forecast'!$F$249:$Q$249)</f>
        <v>48298.90437693573</v>
      </c>
      <c r="D22" s="1126">
        <f>Allocation!$I$17</f>
        <v>0.5025136071712456</v>
      </c>
      <c r="E22" s="1127">
        <f>C22*D22</f>
        <v>24270.856660873036</v>
      </c>
      <c r="F22" s="943"/>
      <c r="G22" s="1122">
        <f>SUM('[13]Div 91 forecast'!$U$249:$AF$249)</f>
        <v>86408.704127760546</v>
      </c>
      <c r="H22" s="1126">
        <f>Allocation!$E$17</f>
        <v>0.5025136071712456</v>
      </c>
      <c r="I22" s="1127">
        <f>G22*H22</f>
        <v>43421.549602233848</v>
      </c>
      <c r="J22" s="103"/>
    </row>
    <row r="23" spans="1:10">
      <c r="A23" s="960">
        <f t="shared" si="0"/>
        <v>9</v>
      </c>
      <c r="B23" s="1074" t="s">
        <v>991</v>
      </c>
      <c r="C23" s="1122">
        <f>SUM('[13]Div 91 forecast'!$F$256:$Q$256)</f>
        <v>216209.03474369436</v>
      </c>
      <c r="D23" s="1126">
        <f>D22</f>
        <v>0.5025136071712456</v>
      </c>
      <c r="E23" s="1128">
        <f>C23*D23</f>
        <v>108647.98195206701</v>
      </c>
      <c r="F23" s="943"/>
      <c r="G23" s="1122">
        <f>SUM('[13]Div 91 forecast'!$U$256:$AF$256)</f>
        <v>386806.75584512844</v>
      </c>
      <c r="H23" s="1129">
        <f>H22</f>
        <v>0.5025136071712456</v>
      </c>
      <c r="I23" s="1128">
        <f>G23*H23</f>
        <v>194375.65815794279</v>
      </c>
      <c r="J23" s="103"/>
    </row>
    <row r="24" spans="1:10">
      <c r="A24" s="960">
        <f t="shared" si="0"/>
        <v>10</v>
      </c>
      <c r="B24" s="1118" t="s">
        <v>493</v>
      </c>
      <c r="C24" s="1124">
        <f>SUM(C22:C23)</f>
        <v>264507.93912063009</v>
      </c>
      <c r="D24" s="1126"/>
      <c r="E24" s="1122">
        <f>SUM(E22:E23)</f>
        <v>132918.83861294005</v>
      </c>
      <c r="F24" s="943"/>
      <c r="G24" s="1124">
        <f>SUM(G22:G23)</f>
        <v>473215.45997288899</v>
      </c>
      <c r="H24" s="1130"/>
      <c r="I24" s="1122">
        <f>SUM(I22:I23)</f>
        <v>237797.20776017662</v>
      </c>
      <c r="J24" s="103"/>
    </row>
    <row r="25" spans="1:10">
      <c r="A25" s="960">
        <f t="shared" si="0"/>
        <v>11</v>
      </c>
      <c r="B25" s="1119"/>
      <c r="C25" s="1125"/>
      <c r="D25" s="945"/>
      <c r="E25" s="1125"/>
      <c r="F25" s="804"/>
      <c r="G25" s="1125"/>
      <c r="H25" s="1131"/>
      <c r="I25" s="1125"/>
      <c r="J25" s="103"/>
    </row>
    <row r="26" spans="1:10">
      <c r="A26" s="960">
        <f t="shared" si="0"/>
        <v>12</v>
      </c>
      <c r="B26" s="1119" t="s">
        <v>77</v>
      </c>
      <c r="C26" s="1125"/>
      <c r="D26" s="323"/>
      <c r="E26" s="1125"/>
      <c r="F26" s="103"/>
      <c r="G26" s="1125"/>
      <c r="H26" s="1008"/>
      <c r="I26" s="1125"/>
      <c r="J26" s="103"/>
    </row>
    <row r="27" spans="1:10">
      <c r="A27" s="960">
        <f t="shared" si="0"/>
        <v>13</v>
      </c>
      <c r="B27" s="1074" t="s">
        <v>990</v>
      </c>
      <c r="C27" s="1122">
        <f>SUM('[13]Div 2 forecast'!$F$265:$Q$265)</f>
        <v>19328966.550662015</v>
      </c>
      <c r="D27" s="323">
        <f>Allocation!$I$14</f>
        <v>5.2010158342223917E-2</v>
      </c>
      <c r="E27" s="1127">
        <f>C27*D27</f>
        <v>1005302.610891481</v>
      </c>
      <c r="F27" s="103"/>
      <c r="G27" s="1122">
        <f>SUM('[13]Div 2 forecast'!$U$265:$AF$265)</f>
        <v>10420381.385702325</v>
      </c>
      <c r="H27" s="323">
        <f>Allocation!$E$14</f>
        <v>5.2010158342223917E-2</v>
      </c>
      <c r="I27" s="1127">
        <f>G27*H27</f>
        <v>541965.68585674057</v>
      </c>
      <c r="J27" s="103"/>
    </row>
    <row r="28" spans="1:10">
      <c r="A28" s="960">
        <f t="shared" si="0"/>
        <v>14</v>
      </c>
      <c r="B28" s="1074" t="s">
        <v>991</v>
      </c>
      <c r="C28" s="1122">
        <f>SUM('[13]Div 2 forecast'!$F$271:$Q$271)</f>
        <v>207346.06836133715</v>
      </c>
      <c r="D28" s="945">
        <f>D27</f>
        <v>5.2010158342223917E-2</v>
      </c>
      <c r="E28" s="1132">
        <f>C28*D28</f>
        <v>10784.101847110729</v>
      </c>
      <c r="F28" s="103"/>
      <c r="G28" s="1122">
        <f>SUM('[13]Div 2 forecast'!$U$271:$AF$271)</f>
        <v>111781.71918751852</v>
      </c>
      <c r="H28" s="1129">
        <f>H27</f>
        <v>5.2010158342223917E-2</v>
      </c>
      <c r="I28" s="1132">
        <f>G28*H28</f>
        <v>5813.7849147088482</v>
      </c>
      <c r="J28" s="103"/>
    </row>
    <row r="29" spans="1:10">
      <c r="A29" s="960">
        <f t="shared" si="0"/>
        <v>15</v>
      </c>
      <c r="B29" s="1118" t="s">
        <v>493</v>
      </c>
      <c r="C29" s="1124">
        <f>SUM(C27:C28)</f>
        <v>19536312.619023353</v>
      </c>
      <c r="D29" s="323"/>
      <c r="E29" s="1122">
        <f>SUM(E27:E28)</f>
        <v>1016086.7127385918</v>
      </c>
      <c r="F29" s="103"/>
      <c r="G29" s="1124">
        <f>SUM(G27:G28)</f>
        <v>10532163.104889844</v>
      </c>
      <c r="H29" s="1008"/>
      <c r="I29" s="1122">
        <f>SUM(I27:I28)</f>
        <v>547779.47077144939</v>
      </c>
      <c r="J29" s="103"/>
    </row>
    <row r="30" spans="1:10">
      <c r="A30" s="960">
        <f t="shared" si="0"/>
        <v>16</v>
      </c>
      <c r="B30" s="1119"/>
      <c r="C30" s="1125"/>
      <c r="D30" s="323"/>
      <c r="E30" s="1125"/>
      <c r="F30" s="103"/>
      <c r="G30" s="1125"/>
      <c r="H30" s="1008"/>
      <c r="I30" s="1125"/>
      <c r="J30" s="103"/>
    </row>
    <row r="31" spans="1:10">
      <c r="A31" s="960">
        <f t="shared" si="0"/>
        <v>17</v>
      </c>
      <c r="B31" s="1119" t="s">
        <v>78</v>
      </c>
      <c r="C31" s="1125"/>
      <c r="D31" s="323"/>
      <c r="E31" s="1125"/>
      <c r="G31" s="1125"/>
      <c r="H31" s="1133"/>
      <c r="I31" s="1125"/>
    </row>
    <row r="32" spans="1:10">
      <c r="A32" s="960">
        <f t="shared" si="0"/>
        <v>18</v>
      </c>
      <c r="B32" s="1074" t="s">
        <v>990</v>
      </c>
      <c r="C32" s="359">
        <f>SUM('[13]Div 12 forecast'!$F$153:$Q$153)</f>
        <v>606158.8810323131</v>
      </c>
      <c r="D32" s="323">
        <f>Allocation!$I$15</f>
        <v>5.67090596975168E-2</v>
      </c>
      <c r="E32" s="359">
        <f>C32*D32</f>
        <v>34374.70017064143</v>
      </c>
      <c r="G32" s="359">
        <f>SUM('[13]Div 12 forecast'!$U$153:$AF$153)</f>
        <v>470991.48580155807</v>
      </c>
      <c r="H32" s="323">
        <f>Allocation!$E$15</f>
        <v>5.67090596975168E-2</v>
      </c>
      <c r="I32" s="359">
        <f>G32*H32</f>
        <v>26709.484285342693</v>
      </c>
    </row>
    <row r="33" spans="1:11">
      <c r="A33" s="960">
        <f t="shared" si="0"/>
        <v>19</v>
      </c>
      <c r="B33" s="1074" t="s">
        <v>991</v>
      </c>
      <c r="C33" s="359">
        <v>0</v>
      </c>
      <c r="D33" s="323">
        <f>D32</f>
        <v>5.67090596975168E-2</v>
      </c>
      <c r="E33" s="1134">
        <f>C33*D33</f>
        <v>0</v>
      </c>
      <c r="G33" s="359">
        <v>0</v>
      </c>
      <c r="H33" s="1129">
        <f>H32</f>
        <v>5.67090596975168E-2</v>
      </c>
      <c r="I33" s="1134">
        <f>G33*H33</f>
        <v>0</v>
      </c>
      <c r="K33" s="690"/>
    </row>
    <row r="34" spans="1:11">
      <c r="A34" s="960">
        <f t="shared" si="0"/>
        <v>20</v>
      </c>
      <c r="B34" s="1118" t="s">
        <v>493</v>
      </c>
      <c r="C34" s="723">
        <f>SUM(C32:C33)</f>
        <v>606158.8810323131</v>
      </c>
      <c r="E34" s="359">
        <f>SUM(E32:E33)</f>
        <v>34374.70017064143</v>
      </c>
      <c r="G34" s="723">
        <f>SUM(G32:G33)</f>
        <v>470991.48580155807</v>
      </c>
      <c r="H34" s="1133"/>
      <c r="I34" s="359">
        <f>SUM(I32:I33)</f>
        <v>26709.484285342693</v>
      </c>
    </row>
    <row r="37" spans="1:11">
      <c r="A37" s="96" t="s">
        <v>409</v>
      </c>
    </row>
    <row r="40" spans="1:11" ht="15.75">
      <c r="C40" s="906"/>
    </row>
    <row r="42" spans="1:11">
      <c r="B42" s="80" t="s">
        <v>523</v>
      </c>
      <c r="D42" s="80" t="s">
        <v>327</v>
      </c>
    </row>
    <row r="43" spans="1:11">
      <c r="B43" s="80" t="s">
        <v>1646</v>
      </c>
    </row>
  </sheetData>
  <mergeCells count="5">
    <mergeCell ref="A5:I5"/>
    <mergeCell ref="A1:I1"/>
    <mergeCell ref="A2:I2"/>
    <mergeCell ref="A3:I3"/>
    <mergeCell ref="A4:I4"/>
  </mergeCells>
  <phoneticPr fontId="22" type="noConversion"/>
  <pageMargins left="0.89" right="0.71" top="0.76" bottom="0.5" header="0.57999999999999996" footer="0.5"/>
  <pageSetup scale="88" orientation="landscape" verticalDpi="300" r:id="rId1"/>
  <headerFooter alignWithMargins="0">
    <oddFooter>&amp;RSchedule &amp;A
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31"/>
  <sheetViews>
    <sheetView view="pageBreakPreview" zoomScale="60" zoomScaleNormal="100" workbookViewId="0">
      <selection activeCell="C69" sqref="C69"/>
    </sheetView>
  </sheetViews>
  <sheetFormatPr defaultColWidth="8" defaultRowHeight="15"/>
  <cols>
    <col min="1" max="1" width="7.21875" style="1" customWidth="1"/>
    <col min="2" max="2" width="45.88671875" style="1" customWidth="1"/>
    <col min="3" max="3" width="14.33203125" style="1" customWidth="1"/>
    <col min="4" max="4" width="14.44140625" style="1" customWidth="1"/>
    <col min="5" max="5" width="3.88671875" style="1" customWidth="1"/>
    <col min="6" max="6" width="15.5546875" style="1" customWidth="1"/>
    <col min="7" max="7" width="4.21875" style="1" customWidth="1"/>
    <col min="8" max="8" width="3.77734375" style="1" customWidth="1"/>
    <col min="9" max="9" width="13.109375" style="1" bestFit="1" customWidth="1"/>
    <col min="10" max="10" width="2.77734375" style="1" customWidth="1"/>
    <col min="11" max="11" width="13.109375" style="1" bestFit="1" customWidth="1"/>
    <col min="12" max="12" width="4.33203125" style="1" customWidth="1"/>
    <col min="13" max="13" width="12" style="1" bestFit="1" customWidth="1"/>
    <col min="14" max="14" width="2.109375" style="1" customWidth="1"/>
    <col min="15" max="15" width="12" style="1" bestFit="1" customWidth="1"/>
    <col min="16" max="16384" width="8" style="1"/>
  </cols>
  <sheetData>
    <row r="1" spans="1:15">
      <c r="A1" s="167" t="str">
        <f>'Table of Contents'!A1:C1</f>
        <v>Atmos Energy Corporation, Kentucky/Mid-States Division</v>
      </c>
      <c r="B1" s="30"/>
      <c r="C1" s="30"/>
      <c r="D1" s="30"/>
      <c r="E1" s="30"/>
      <c r="F1" s="30"/>
    </row>
    <row r="2" spans="1:15">
      <c r="A2" s="167" t="str">
        <f>'Table of Contents'!A2:C2</f>
        <v>Kentucky Jurisdiction Case No. 2017-00349</v>
      </c>
      <c r="B2" s="30"/>
      <c r="C2" s="30"/>
      <c r="D2" s="30"/>
      <c r="E2" s="30"/>
      <c r="F2" s="30"/>
    </row>
    <row r="3" spans="1:15">
      <c r="A3" s="31" t="s">
        <v>1120</v>
      </c>
      <c r="B3" s="30"/>
      <c r="C3" s="30"/>
      <c r="D3" s="30"/>
      <c r="E3" s="30"/>
      <c r="F3" s="30"/>
    </row>
    <row r="4" spans="1:15">
      <c r="A4" s="31" t="s">
        <v>1529</v>
      </c>
      <c r="B4" s="30"/>
      <c r="C4" s="30"/>
      <c r="D4" s="30"/>
      <c r="E4" s="30"/>
      <c r="F4" s="30"/>
    </row>
    <row r="6" spans="1:15">
      <c r="A6" s="4" t="s">
        <v>383</v>
      </c>
      <c r="F6" s="1" t="s">
        <v>1441</v>
      </c>
    </row>
    <row r="7" spans="1:15">
      <c r="A7" s="4" t="str">
        <f>A.1!A8</f>
        <v>Type of Filing:___X____Original________Updated ________Revised</v>
      </c>
      <c r="F7" s="4" t="s">
        <v>753</v>
      </c>
    </row>
    <row r="8" spans="1:15">
      <c r="A8" s="5" t="s">
        <v>431</v>
      </c>
      <c r="B8" s="6"/>
      <c r="C8" s="6"/>
      <c r="D8" s="6"/>
      <c r="E8" s="33"/>
      <c r="F8" s="431" t="s">
        <v>1205</v>
      </c>
    </row>
    <row r="9" spans="1:15">
      <c r="F9" s="2"/>
    </row>
    <row r="10" spans="1:15">
      <c r="C10" s="2" t="s">
        <v>1195</v>
      </c>
      <c r="D10" s="2" t="s">
        <v>45</v>
      </c>
      <c r="F10" s="2" t="s">
        <v>45</v>
      </c>
      <c r="I10" s="726"/>
      <c r="J10" s="665"/>
      <c r="K10" s="665"/>
      <c r="L10" s="665"/>
      <c r="M10" s="734"/>
      <c r="N10" s="665"/>
      <c r="O10" s="665"/>
    </row>
    <row r="11" spans="1:15">
      <c r="A11" s="2" t="s">
        <v>94</v>
      </c>
      <c r="C11" s="2" t="s">
        <v>59</v>
      </c>
      <c r="D11" s="34" t="s">
        <v>543</v>
      </c>
      <c r="F11" s="2" t="s">
        <v>543</v>
      </c>
      <c r="I11" s="665"/>
      <c r="J11" s="665"/>
      <c r="K11" s="665"/>
      <c r="L11" s="665"/>
      <c r="M11" s="665"/>
      <c r="N11" s="665"/>
      <c r="O11" s="665"/>
    </row>
    <row r="12" spans="1:15">
      <c r="A12" s="9" t="s">
        <v>100</v>
      </c>
      <c r="B12" s="5" t="s">
        <v>1198</v>
      </c>
      <c r="C12" s="9" t="s">
        <v>102</v>
      </c>
      <c r="D12" s="9" t="s">
        <v>321</v>
      </c>
      <c r="E12" s="6"/>
      <c r="F12" s="9" t="s">
        <v>517</v>
      </c>
      <c r="I12" s="726"/>
      <c r="J12" s="665"/>
      <c r="K12" s="665"/>
      <c r="L12" s="665"/>
      <c r="M12" s="665"/>
      <c r="N12" s="665"/>
      <c r="O12" s="665"/>
    </row>
    <row r="13" spans="1:15">
      <c r="D13" s="2"/>
      <c r="F13" s="2"/>
      <c r="I13" s="726"/>
      <c r="J13" s="665"/>
      <c r="K13" s="665"/>
      <c r="L13" s="665"/>
      <c r="M13" s="665"/>
      <c r="N13" s="665"/>
      <c r="O13" s="665"/>
    </row>
    <row r="14" spans="1:15">
      <c r="I14" s="726"/>
      <c r="J14" s="665"/>
      <c r="K14" s="665"/>
      <c r="L14" s="665"/>
      <c r="M14" s="665"/>
      <c r="N14" s="665"/>
      <c r="O14" s="665"/>
    </row>
    <row r="15" spans="1:15">
      <c r="A15" s="2">
        <v>1</v>
      </c>
      <c r="B15" s="4" t="s">
        <v>168</v>
      </c>
      <c r="C15" s="2" t="s">
        <v>693</v>
      </c>
      <c r="D15" s="305">
        <f>'B.2 B'!I263</f>
        <v>609603941.57196522</v>
      </c>
      <c r="E15" s="73"/>
      <c r="F15" s="305">
        <f>'B.2 B'!N263</f>
        <v>580489690.6128484</v>
      </c>
      <c r="G15" s="81"/>
      <c r="H15" s="81"/>
      <c r="I15" s="726"/>
      <c r="J15" s="665"/>
      <c r="K15" s="665"/>
      <c r="L15" s="665"/>
      <c r="M15" s="665"/>
      <c r="N15" s="665"/>
      <c r="O15" s="665"/>
    </row>
    <row r="16" spans="1:15">
      <c r="A16" s="2">
        <f>A15+1</f>
        <v>2</v>
      </c>
      <c r="B16" s="4" t="s">
        <v>496</v>
      </c>
      <c r="C16" s="2" t="s">
        <v>693</v>
      </c>
      <c r="D16" s="355">
        <f>'B.2 B'!I265</f>
        <v>27493203.263484463</v>
      </c>
      <c r="E16" s="73"/>
      <c r="F16" s="73">
        <f>'B.2 B'!N265</f>
        <v>22166216.509146169</v>
      </c>
      <c r="G16" s="81"/>
      <c r="H16" s="81"/>
      <c r="I16" s="726"/>
      <c r="J16" s="665"/>
      <c r="K16" s="665"/>
      <c r="L16" s="665"/>
      <c r="M16" s="665"/>
      <c r="N16" s="665"/>
      <c r="O16" s="665"/>
    </row>
    <row r="17" spans="1:15">
      <c r="A17" s="2">
        <f>A16+1</f>
        <v>3</v>
      </c>
      <c r="B17" s="4" t="s">
        <v>534</v>
      </c>
      <c r="C17" s="2" t="s">
        <v>694</v>
      </c>
      <c r="D17" s="85">
        <f>-'B.3 B'!I261</f>
        <v>-191190490.8893806</v>
      </c>
      <c r="E17" s="73"/>
      <c r="F17" s="85">
        <f>-'B.3 B'!N261</f>
        <v>-185290733.75958094</v>
      </c>
      <c r="G17" s="81"/>
      <c r="H17" s="81"/>
      <c r="I17" s="726"/>
      <c r="J17" s="665"/>
      <c r="K17" s="665"/>
      <c r="L17" s="665"/>
      <c r="M17" s="665"/>
      <c r="N17" s="665"/>
      <c r="O17" s="665"/>
    </row>
    <row r="18" spans="1:15">
      <c r="A18" s="721"/>
      <c r="B18" s="4"/>
      <c r="C18" s="721"/>
      <c r="D18" s="77"/>
      <c r="E18" s="73"/>
      <c r="F18" s="77"/>
      <c r="G18" s="81"/>
      <c r="H18" s="81"/>
      <c r="I18" s="726"/>
      <c r="J18" s="665"/>
      <c r="K18" s="665"/>
      <c r="L18" s="665"/>
      <c r="M18" s="665"/>
      <c r="N18" s="665"/>
      <c r="O18" s="665"/>
    </row>
    <row r="19" spans="1:15">
      <c r="A19" s="2">
        <f>+A17+1</f>
        <v>4</v>
      </c>
      <c r="B19" s="4" t="s">
        <v>157</v>
      </c>
      <c r="D19" s="305">
        <f>SUM(D15:D17)</f>
        <v>445906653.94606912</v>
      </c>
      <c r="E19" s="73"/>
      <c r="F19" s="305">
        <f>SUM(F15:F17)</f>
        <v>417365173.36241364</v>
      </c>
      <c r="G19" s="81"/>
      <c r="H19" s="81"/>
      <c r="I19" s="726"/>
      <c r="J19" s="665"/>
      <c r="K19" s="665"/>
      <c r="L19" s="665"/>
      <c r="M19" s="665"/>
      <c r="N19" s="665"/>
      <c r="O19" s="665"/>
    </row>
    <row r="20" spans="1:15">
      <c r="A20" s="2"/>
      <c r="B20" s="4"/>
      <c r="D20" s="73"/>
      <c r="E20" s="73"/>
      <c r="F20" s="73"/>
      <c r="G20" s="81"/>
      <c r="H20" s="81"/>
      <c r="I20" s="726"/>
      <c r="J20" s="665"/>
      <c r="K20" s="665"/>
      <c r="L20" s="665"/>
      <c r="M20" s="665"/>
      <c r="N20" s="665"/>
      <c r="O20" s="665"/>
    </row>
    <row r="21" spans="1:15">
      <c r="A21" s="2">
        <f>A19+1</f>
        <v>5</v>
      </c>
      <c r="B21" s="4" t="s">
        <v>793</v>
      </c>
      <c r="C21" s="2" t="s">
        <v>695</v>
      </c>
      <c r="D21" s="305">
        <f>+'B.4 B'!E14</f>
        <v>3370236.4230493945</v>
      </c>
      <c r="E21" s="73"/>
      <c r="F21" s="305">
        <f>+D21</f>
        <v>3370236.4230493945</v>
      </c>
      <c r="G21" s="670"/>
      <c r="H21" s="670"/>
      <c r="I21" s="726"/>
      <c r="J21" s="665"/>
      <c r="K21" s="665"/>
      <c r="L21" s="665"/>
      <c r="M21" s="665"/>
      <c r="N21" s="665"/>
      <c r="O21" s="665"/>
    </row>
    <row r="22" spans="1:15">
      <c r="A22" s="2">
        <f>+A21+1</f>
        <v>6</v>
      </c>
      <c r="B22" s="4" t="s">
        <v>1067</v>
      </c>
      <c r="C22" s="2" t="s">
        <v>696</v>
      </c>
      <c r="D22" s="355">
        <f>+'B.4.1 B'!F37</f>
        <v>12546882.7438289</v>
      </c>
      <c r="E22" s="73"/>
      <c r="F22" s="355">
        <f>+'B.4.1 B'!K37</f>
        <v>8822366.8355098721</v>
      </c>
      <c r="G22" s="81"/>
      <c r="H22" s="81"/>
      <c r="I22" s="726"/>
      <c r="J22" s="665"/>
      <c r="K22" s="665"/>
      <c r="L22" s="665"/>
      <c r="M22" s="665"/>
      <c r="N22" s="665"/>
      <c r="O22" s="665"/>
    </row>
    <row r="23" spans="1:15">
      <c r="A23" s="2">
        <f>+A22+1</f>
        <v>7</v>
      </c>
      <c r="B23" s="4" t="s">
        <v>639</v>
      </c>
      <c r="C23" s="2" t="s">
        <v>697</v>
      </c>
      <c r="D23" s="73">
        <f>'B.6 B'!G24</f>
        <v>-1437536.5350000001</v>
      </c>
      <c r="E23" s="81"/>
      <c r="F23" s="73">
        <f>'B.6 B'!L24</f>
        <v>-1455773.1853846153</v>
      </c>
      <c r="G23" s="81"/>
      <c r="H23" s="81"/>
      <c r="I23" s="726"/>
      <c r="J23" s="665"/>
      <c r="K23" s="665"/>
      <c r="L23" s="665"/>
      <c r="M23" s="665"/>
      <c r="N23" s="665"/>
      <c r="O23" s="665"/>
    </row>
    <row r="24" spans="1:15">
      <c r="A24" s="805">
        <f t="shared" ref="A24:A25" si="0">+A23+1</f>
        <v>8</v>
      </c>
      <c r="B24" s="4" t="s">
        <v>1696</v>
      </c>
      <c r="C24" s="805" t="s">
        <v>1694</v>
      </c>
      <c r="D24" s="355">
        <f>F24</f>
        <v>-35309596.780000001</v>
      </c>
      <c r="E24" s="622"/>
      <c r="F24" s="355">
        <f>0+'WP B.5 F1'!C10</f>
        <v>-35309596.780000001</v>
      </c>
      <c r="G24" s="81"/>
      <c r="H24" s="81"/>
      <c r="I24" s="726"/>
      <c r="J24" s="665"/>
      <c r="K24" s="665"/>
      <c r="L24" s="665"/>
      <c r="M24" s="665"/>
      <c r="N24" s="665"/>
      <c r="O24" s="665"/>
    </row>
    <row r="25" spans="1:15">
      <c r="A25" s="805">
        <f t="shared" si="0"/>
        <v>9</v>
      </c>
      <c r="B25" s="88" t="s">
        <v>1142</v>
      </c>
      <c r="C25" s="117" t="s">
        <v>698</v>
      </c>
      <c r="D25" s="83">
        <f>'B.5 B'!G49</f>
        <v>-33892218.460192323</v>
      </c>
      <c r="E25" s="81"/>
      <c r="F25" s="83">
        <f>D25</f>
        <v>-33892218.460192323</v>
      </c>
      <c r="G25" s="81"/>
      <c r="H25" s="81"/>
      <c r="I25" s="726"/>
      <c r="J25" s="665"/>
      <c r="K25" s="665"/>
      <c r="L25" s="665"/>
      <c r="M25" s="665"/>
      <c r="N25" s="665"/>
      <c r="O25" s="665"/>
    </row>
    <row r="26" spans="1:15">
      <c r="A26" s="805"/>
      <c r="E26" s="81"/>
      <c r="G26" s="81"/>
      <c r="H26" s="81"/>
      <c r="I26" s="726"/>
      <c r="J26" s="665"/>
      <c r="K26" s="665"/>
      <c r="L26" s="665"/>
      <c r="M26" s="665"/>
      <c r="N26" s="665"/>
      <c r="O26" s="665"/>
    </row>
    <row r="27" spans="1:15" ht="15.75" thickBot="1">
      <c r="A27" s="805">
        <f>+A25+1</f>
        <v>10</v>
      </c>
      <c r="B27" s="4" t="s">
        <v>158</v>
      </c>
      <c r="D27" s="307">
        <f>SUM(D19:D25)</f>
        <v>391184421.33775508</v>
      </c>
      <c r="E27" s="10"/>
      <c r="F27" s="307">
        <f>SUM(F19:F25)</f>
        <v>358900188.19539595</v>
      </c>
      <c r="G27" s="81"/>
      <c r="H27" s="81"/>
      <c r="I27" s="726"/>
      <c r="J27" s="665"/>
      <c r="K27" s="665"/>
      <c r="L27" s="665"/>
      <c r="M27" s="665"/>
      <c r="N27" s="665"/>
      <c r="O27" s="665"/>
    </row>
    <row r="28" spans="1:15" ht="15.75" thickTop="1">
      <c r="A28" s="2"/>
      <c r="D28" s="10"/>
      <c r="E28" s="10"/>
      <c r="F28" s="10"/>
      <c r="G28" s="81"/>
      <c r="H28" s="81"/>
    </row>
    <row r="29" spans="1:15">
      <c r="B29" s="90" t="s">
        <v>1697</v>
      </c>
      <c r="D29" s="81"/>
      <c r="E29" s="81"/>
      <c r="F29" s="81"/>
      <c r="G29" s="81"/>
      <c r="H29" s="81"/>
    </row>
    <row r="30" spans="1:15">
      <c r="D30" s="73"/>
      <c r="E30" s="81"/>
      <c r="F30" s="73"/>
      <c r="G30" s="81"/>
      <c r="H30" s="81"/>
    </row>
    <row r="31" spans="1:15">
      <c r="D31" s="73"/>
      <c r="E31" s="73"/>
      <c r="F31" s="73"/>
      <c r="G31" s="81"/>
      <c r="H31" s="81"/>
    </row>
  </sheetData>
  <phoneticPr fontId="22" type="noConversion"/>
  <printOptions horizontalCentered="1"/>
  <pageMargins left="0.5" right="0.5" top="0.79" bottom="0.5" header="0.5" footer="0.5"/>
  <pageSetup scale="86" orientation="landscape" verticalDpi="300" r:id="rId1"/>
  <headerFooter alignWithMargins="0">
    <oddFooter>&amp;RSchedule &amp;A
Page &amp;P of &amp;N</oddFooter>
  </headerFooter>
  <colBreaks count="1" manualBreakCount="1">
    <brk id="6" max="54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J51"/>
  <sheetViews>
    <sheetView view="pageBreakPreview" zoomScale="60" zoomScaleNormal="90" workbookViewId="0">
      <selection activeCell="J58" sqref="J58"/>
    </sheetView>
  </sheetViews>
  <sheetFormatPr defaultRowHeight="15"/>
  <cols>
    <col min="1" max="1" width="6.33203125" customWidth="1"/>
    <col min="2" max="2" width="44.21875" customWidth="1"/>
    <col min="3" max="3" width="6.77734375" customWidth="1"/>
    <col min="4" max="4" width="11.6640625" customWidth="1"/>
    <col min="5" max="5" width="12.44140625" bestFit="1" customWidth="1"/>
    <col min="7" max="7" width="9.6640625" customWidth="1"/>
    <col min="8" max="8" width="9" customWidth="1"/>
    <col min="9" max="9" width="20.33203125" customWidth="1"/>
    <col min="10" max="10" width="20.21875" customWidth="1"/>
    <col min="12" max="12" width="13.33203125" customWidth="1"/>
    <col min="13" max="13" width="23.109375" customWidth="1"/>
    <col min="14" max="14" width="23.33203125" customWidth="1"/>
  </cols>
  <sheetData>
    <row r="1" spans="1:10" ht="15.75">
      <c r="A1" s="1198" t="str">
        <f>'Table of Contents'!A1:C1</f>
        <v>Atmos Energy Corporation, Kentucky/Mid-States Division</v>
      </c>
      <c r="B1" s="1198"/>
      <c r="C1" s="1198"/>
      <c r="D1" s="1198"/>
      <c r="E1" s="1198"/>
      <c r="F1" s="698"/>
      <c r="G1" s="1"/>
      <c r="H1" s="1"/>
      <c r="I1" s="1"/>
      <c r="J1" s="1"/>
    </row>
    <row r="2" spans="1:10" ht="15.75">
      <c r="A2" s="1198" t="str">
        <f>'Table of Contents'!A2:C2</f>
        <v>Kentucky Jurisdiction Case No. 2017-00349</v>
      </c>
      <c r="B2" s="1198"/>
      <c r="C2" s="1198"/>
      <c r="D2" s="1198"/>
      <c r="E2" s="1198"/>
      <c r="F2" s="755"/>
      <c r="G2" s="81"/>
      <c r="H2" s="81"/>
      <c r="I2" s="81"/>
      <c r="J2" s="1"/>
    </row>
    <row r="3" spans="1:10" ht="15.75">
      <c r="A3" s="1198" t="s">
        <v>221</v>
      </c>
      <c r="B3" s="1198"/>
      <c r="C3" s="1198"/>
      <c r="D3" s="1198"/>
      <c r="E3" s="1198"/>
      <c r="F3" s="698"/>
      <c r="G3" s="757"/>
      <c r="H3" s="81"/>
      <c r="I3" s="81"/>
      <c r="J3" s="1"/>
    </row>
    <row r="4" spans="1:10" ht="15.75">
      <c r="A4" s="12"/>
      <c r="B4" s="1"/>
      <c r="C4" s="1"/>
      <c r="D4" s="1"/>
      <c r="E4" s="1"/>
      <c r="F4" s="81"/>
      <c r="G4" s="670"/>
      <c r="H4" s="670"/>
      <c r="I4" s="670"/>
      <c r="J4" s="1"/>
    </row>
    <row r="5" spans="1:10" ht="15.75">
      <c r="A5" s="12"/>
      <c r="B5" s="1"/>
      <c r="C5" s="1"/>
      <c r="D5" s="1"/>
      <c r="E5" s="1"/>
      <c r="F5" s="81"/>
      <c r="G5" s="670"/>
      <c r="H5" s="670"/>
      <c r="I5" s="670"/>
    </row>
    <row r="6" spans="1:10" ht="15.75">
      <c r="A6" s="12"/>
      <c r="B6" s="1"/>
      <c r="C6" s="1"/>
      <c r="D6" s="1"/>
      <c r="F6" s="81"/>
      <c r="G6" s="670"/>
      <c r="H6" s="670"/>
      <c r="I6" s="670"/>
    </row>
    <row r="7" spans="1:10">
      <c r="A7" s="66" t="s">
        <v>571</v>
      </c>
      <c r="C7" s="1"/>
      <c r="D7" s="1"/>
      <c r="E7" s="566" t="s">
        <v>1434</v>
      </c>
      <c r="F7" s="1"/>
      <c r="G7" s="591"/>
      <c r="H7" s="591"/>
      <c r="I7" s="591"/>
    </row>
    <row r="8" spans="1:10">
      <c r="A8" s="66" t="s">
        <v>621</v>
      </c>
      <c r="C8" s="1"/>
      <c r="D8" s="1"/>
      <c r="E8" s="487" t="s">
        <v>73</v>
      </c>
      <c r="F8" s="1"/>
      <c r="G8" s="756"/>
      <c r="H8" s="591"/>
      <c r="I8" s="591"/>
    </row>
    <row r="9" spans="1:10">
      <c r="A9" s="567" t="s">
        <v>431</v>
      </c>
      <c r="B9" s="52"/>
      <c r="C9" s="33"/>
      <c r="D9" s="33"/>
      <c r="E9" s="605" t="str">
        <f>F.1!$F$9</f>
        <v>Witness: Waller</v>
      </c>
      <c r="F9" s="1"/>
      <c r="G9" s="591"/>
      <c r="H9" s="591"/>
      <c r="I9" s="591"/>
      <c r="J9" s="1"/>
    </row>
    <row r="10" spans="1:10" ht="15.75">
      <c r="B10" s="27"/>
      <c r="C10" s="1"/>
      <c r="D10" s="1"/>
      <c r="E10" s="126"/>
      <c r="F10" s="1"/>
      <c r="H10" s="1"/>
      <c r="I10" s="1"/>
      <c r="J10" s="1"/>
    </row>
    <row r="11" spans="1:10">
      <c r="A11" s="100" t="s">
        <v>94</v>
      </c>
      <c r="B11" s="92"/>
      <c r="C11" s="1"/>
      <c r="D11" s="1"/>
      <c r="E11" s="126"/>
      <c r="F11" s="1"/>
      <c r="G11" s="591"/>
      <c r="J11" s="1"/>
    </row>
    <row r="12" spans="1:10" ht="15.75">
      <c r="A12" s="101" t="s">
        <v>100</v>
      </c>
      <c r="B12" s="101" t="s">
        <v>993</v>
      </c>
      <c r="C12" s="33"/>
      <c r="D12" s="33"/>
      <c r="E12" s="402" t="s">
        <v>105</v>
      </c>
      <c r="F12" s="1"/>
      <c r="H12" s="102" t="s">
        <v>1469</v>
      </c>
      <c r="I12" s="795"/>
      <c r="J12" s="1"/>
    </row>
    <row r="13" spans="1:10">
      <c r="A13" s="398"/>
      <c r="B13" s="398"/>
      <c r="C13" s="1"/>
      <c r="D13" s="1"/>
      <c r="E13" s="1"/>
      <c r="F13" s="1"/>
      <c r="H13" s="795"/>
      <c r="I13" s="806" t="s">
        <v>1467</v>
      </c>
      <c r="J13" s="807" t="s">
        <v>1468</v>
      </c>
    </row>
    <row r="14" spans="1:10" ht="15.75">
      <c r="A14" s="53">
        <v>1</v>
      </c>
      <c r="B14" s="147" t="s">
        <v>222</v>
      </c>
      <c r="H14" s="850">
        <v>43190</v>
      </c>
      <c r="I14" s="795">
        <f>E29</f>
        <v>313884.08</v>
      </c>
      <c r="J14" s="1">
        <f>0</f>
        <v>0</v>
      </c>
    </row>
    <row r="15" spans="1:10">
      <c r="A15" s="53">
        <f t="shared" ref="A15:A31" si="0">A14+1</f>
        <v>2</v>
      </c>
      <c r="B15" s="315" t="s">
        <v>943</v>
      </c>
      <c r="D15" s="144">
        <f>[21]F.6!$D$15</f>
        <v>16997</v>
      </c>
      <c r="E15" s="141"/>
      <c r="F15" s="137"/>
      <c r="H15" s="850">
        <v>43220</v>
      </c>
      <c r="I15" s="795">
        <f>I14-J15</f>
        <v>300805.57666666666</v>
      </c>
      <c r="J15" s="1">
        <f>$I$14/24</f>
        <v>13078.503333333334</v>
      </c>
    </row>
    <row r="16" spans="1:10">
      <c r="A16" s="656">
        <f t="shared" si="0"/>
        <v>3</v>
      </c>
      <c r="B16" s="758" t="s">
        <v>944</v>
      </c>
      <c r="D16" s="142">
        <f>[21]F.6!$D$16</f>
        <v>30058.260000000002</v>
      </c>
      <c r="E16" s="141"/>
      <c r="F16" s="137"/>
      <c r="G16" s="92"/>
      <c r="H16" s="850">
        <v>43221</v>
      </c>
      <c r="I16" s="795">
        <f t="shared" ref="I16:I26" si="1">I15-J16</f>
        <v>287727.0733333333</v>
      </c>
      <c r="J16" s="1">
        <f t="shared" ref="J16:J26" si="2">$I$14/24</f>
        <v>13078.503333333334</v>
      </c>
    </row>
    <row r="17" spans="1:10">
      <c r="A17" s="656">
        <f t="shared" si="0"/>
        <v>4</v>
      </c>
      <c r="B17" s="315" t="s">
        <v>1275</v>
      </c>
      <c r="D17" s="145">
        <v>0</v>
      </c>
      <c r="E17" s="141"/>
      <c r="F17" s="136"/>
      <c r="H17" s="850">
        <v>43252</v>
      </c>
      <c r="I17" s="795">
        <f t="shared" si="1"/>
        <v>274648.56999999995</v>
      </c>
      <c r="J17" s="1">
        <f t="shared" si="2"/>
        <v>13078.503333333334</v>
      </c>
    </row>
    <row r="18" spans="1:10">
      <c r="A18" s="656">
        <f t="shared" si="0"/>
        <v>5</v>
      </c>
      <c r="B18" s="148" t="s">
        <v>405</v>
      </c>
      <c r="D18" s="141"/>
      <c r="E18" s="144">
        <f>SUM(D15:D17)</f>
        <v>47055.26</v>
      </c>
      <c r="G18" s="137"/>
      <c r="H18" s="850">
        <v>43282</v>
      </c>
      <c r="I18" s="795">
        <f t="shared" si="1"/>
        <v>261570.06666666662</v>
      </c>
      <c r="J18" s="1">
        <f t="shared" si="2"/>
        <v>13078.503333333334</v>
      </c>
    </row>
    <row r="19" spans="1:10">
      <c r="A19" s="656">
        <f t="shared" si="0"/>
        <v>6</v>
      </c>
      <c r="B19" s="148"/>
      <c r="D19" s="141"/>
      <c r="E19" s="141"/>
      <c r="H19" s="850">
        <v>43313</v>
      </c>
      <c r="I19" s="795">
        <f t="shared" si="1"/>
        <v>248491.5633333333</v>
      </c>
      <c r="J19" s="1">
        <f t="shared" si="2"/>
        <v>13078.503333333334</v>
      </c>
    </row>
    <row r="20" spans="1:10" ht="15.75">
      <c r="A20" s="656">
        <f t="shared" si="0"/>
        <v>7</v>
      </c>
      <c r="B20" s="147" t="s">
        <v>406</v>
      </c>
      <c r="D20" s="141"/>
      <c r="G20" s="136"/>
      <c r="H20" s="850">
        <v>43344</v>
      </c>
      <c r="I20" s="795">
        <f t="shared" si="1"/>
        <v>235413.05999999997</v>
      </c>
      <c r="J20" s="1">
        <f t="shared" si="2"/>
        <v>13078.503333333334</v>
      </c>
    </row>
    <row r="21" spans="1:10">
      <c r="A21" s="656">
        <f t="shared" si="0"/>
        <v>8</v>
      </c>
      <c r="B21" s="148" t="s">
        <v>407</v>
      </c>
      <c r="D21" s="141"/>
      <c r="E21" s="141">
        <f>[21]F.6!$E$20</f>
        <v>124286.81</v>
      </c>
      <c r="G21" s="136"/>
      <c r="H21" s="850">
        <v>43374</v>
      </c>
      <c r="I21" s="795">
        <f t="shared" si="1"/>
        <v>222334.55666666664</v>
      </c>
      <c r="J21" s="1">
        <f t="shared" si="2"/>
        <v>13078.503333333334</v>
      </c>
    </row>
    <row r="22" spans="1:10">
      <c r="A22" s="656">
        <f t="shared" si="0"/>
        <v>9</v>
      </c>
      <c r="B22" s="148" t="s">
        <v>327</v>
      </c>
      <c r="D22" s="141"/>
      <c r="E22" s="141"/>
      <c r="G22" s="136"/>
      <c r="H22" s="850">
        <v>43405</v>
      </c>
      <c r="I22" s="795">
        <f t="shared" si="1"/>
        <v>209256.05333333332</v>
      </c>
      <c r="J22" s="1">
        <f t="shared" si="2"/>
        <v>13078.503333333334</v>
      </c>
    </row>
    <row r="23" spans="1:10" ht="15.75">
      <c r="A23" s="656">
        <f t="shared" si="0"/>
        <v>10</v>
      </c>
      <c r="B23" s="147" t="s">
        <v>408</v>
      </c>
      <c r="D23" s="141"/>
      <c r="E23" s="141"/>
      <c r="G23" s="136"/>
      <c r="H23" s="850">
        <v>43435</v>
      </c>
      <c r="I23" s="795">
        <f t="shared" si="1"/>
        <v>196177.55</v>
      </c>
      <c r="J23" s="1">
        <f t="shared" si="2"/>
        <v>13078.503333333334</v>
      </c>
    </row>
    <row r="24" spans="1:10">
      <c r="A24" s="656">
        <f t="shared" si="0"/>
        <v>11</v>
      </c>
      <c r="B24" s="148" t="s">
        <v>410</v>
      </c>
      <c r="D24" s="141"/>
      <c r="E24" s="142">
        <f>[21]F.6!$E$23</f>
        <v>11653.849999999999</v>
      </c>
      <c r="G24" s="139"/>
      <c r="H24" s="850">
        <v>43466</v>
      </c>
      <c r="I24" s="795">
        <f t="shared" si="1"/>
        <v>183099.04666666666</v>
      </c>
      <c r="J24" s="1">
        <f t="shared" si="2"/>
        <v>13078.503333333334</v>
      </c>
    </row>
    <row r="25" spans="1:10">
      <c r="A25" s="656">
        <f t="shared" si="0"/>
        <v>12</v>
      </c>
      <c r="B25" s="148"/>
      <c r="D25" s="141"/>
      <c r="E25" s="141"/>
      <c r="H25" s="850">
        <v>43497</v>
      </c>
      <c r="I25" s="795">
        <f t="shared" si="1"/>
        <v>170020.54333333333</v>
      </c>
      <c r="J25" s="1">
        <f t="shared" si="2"/>
        <v>13078.503333333334</v>
      </c>
    </row>
    <row r="26" spans="1:10" ht="15.75">
      <c r="A26" s="656">
        <f t="shared" si="0"/>
        <v>13</v>
      </c>
      <c r="B26" s="147" t="s">
        <v>411</v>
      </c>
      <c r="D26" s="141"/>
      <c r="E26" s="141"/>
      <c r="H26" s="850">
        <v>43525</v>
      </c>
      <c r="I26" s="806">
        <f t="shared" si="1"/>
        <v>156942.04</v>
      </c>
      <c r="J26" s="808">
        <f t="shared" si="2"/>
        <v>13078.503333333334</v>
      </c>
    </row>
    <row r="27" spans="1:10">
      <c r="A27" s="656">
        <f t="shared" si="0"/>
        <v>14</v>
      </c>
      <c r="B27" s="148" t="s">
        <v>412</v>
      </c>
      <c r="D27" s="141"/>
      <c r="E27" s="145">
        <f>[21]F.6!$E$26</f>
        <v>130888.16</v>
      </c>
      <c r="G27" s="138"/>
      <c r="H27" s="850"/>
      <c r="I27" s="809">
        <f>AVERAGE(I14:I26)</f>
        <v>235413.06</v>
      </c>
      <c r="J27" s="804">
        <f>SUM(J14:J26)</f>
        <v>156942.03999999998</v>
      </c>
    </row>
    <row r="28" spans="1:10">
      <c r="A28" s="656">
        <f t="shared" si="0"/>
        <v>15</v>
      </c>
      <c r="B28" s="148"/>
      <c r="D28" s="141"/>
      <c r="E28" s="141"/>
      <c r="I28" t="s">
        <v>1471</v>
      </c>
    </row>
    <row r="29" spans="1:10" ht="16.5" thickBot="1">
      <c r="A29" s="656">
        <f t="shared" si="0"/>
        <v>16</v>
      </c>
      <c r="B29" s="147" t="s">
        <v>965</v>
      </c>
      <c r="D29" s="141"/>
      <c r="E29" s="146">
        <f>SUM(E14:E27)</f>
        <v>313884.08</v>
      </c>
      <c r="G29" s="140"/>
      <c r="J29" s="1"/>
    </row>
    <row r="30" spans="1:10" ht="15.75" thickTop="1">
      <c r="A30" s="656">
        <f t="shared" si="0"/>
        <v>17</v>
      </c>
      <c r="D30" s="141"/>
      <c r="E30" s="141"/>
      <c r="J30" s="1"/>
    </row>
    <row r="31" spans="1:10" ht="16.5" thickBot="1">
      <c r="A31" s="656">
        <f t="shared" si="0"/>
        <v>18</v>
      </c>
      <c r="B31" s="147" t="s">
        <v>1470</v>
      </c>
      <c r="D31" s="118"/>
      <c r="E31" s="322">
        <f>E29/2</f>
        <v>156942.04</v>
      </c>
      <c r="H31" s="850">
        <v>43556</v>
      </c>
      <c r="I31" s="795">
        <f>I26-J31</f>
        <v>143863.53666666668</v>
      </c>
      <c r="J31" s="57">
        <f t="shared" ref="J31:J42" si="3">$I$14/24</f>
        <v>13078.503333333334</v>
      </c>
    </row>
    <row r="32" spans="1:10" ht="15.75" thickTop="1">
      <c r="A32" s="143"/>
      <c r="D32" s="118"/>
      <c r="H32" s="850">
        <v>43586</v>
      </c>
      <c r="I32" s="795">
        <f t="shared" ref="I32:I42" si="4">I31-J31</f>
        <v>130785.03333333335</v>
      </c>
      <c r="J32" s="57">
        <f t="shared" si="3"/>
        <v>13078.503333333334</v>
      </c>
    </row>
    <row r="33" spans="1:10">
      <c r="A33" s="149"/>
      <c r="H33" s="850">
        <v>43617</v>
      </c>
      <c r="I33" s="795">
        <f t="shared" si="4"/>
        <v>117706.53000000003</v>
      </c>
      <c r="J33" s="57">
        <f t="shared" si="3"/>
        <v>13078.503333333334</v>
      </c>
    </row>
    <row r="34" spans="1:10">
      <c r="A34" s="148"/>
      <c r="H34" s="850">
        <v>43647</v>
      </c>
      <c r="I34" s="795">
        <f t="shared" si="4"/>
        <v>104628.0266666667</v>
      </c>
      <c r="J34" s="57">
        <f t="shared" si="3"/>
        <v>13078.503333333334</v>
      </c>
    </row>
    <row r="35" spans="1:10">
      <c r="B35" t="s">
        <v>523</v>
      </c>
      <c r="H35" s="850">
        <v>43678</v>
      </c>
      <c r="I35" s="795">
        <f t="shared" si="4"/>
        <v>91549.523333333374</v>
      </c>
      <c r="J35" s="57">
        <f t="shared" si="3"/>
        <v>13078.503333333334</v>
      </c>
    </row>
    <row r="36" spans="1:10">
      <c r="B36" t="s">
        <v>1657</v>
      </c>
      <c r="H36" s="850">
        <v>43709</v>
      </c>
      <c r="I36" s="795">
        <f t="shared" si="4"/>
        <v>78471.020000000048</v>
      </c>
      <c r="J36" s="57">
        <f t="shared" si="3"/>
        <v>13078.503333333334</v>
      </c>
    </row>
    <row r="37" spans="1:10">
      <c r="H37" s="850">
        <v>43739</v>
      </c>
      <c r="I37" s="795">
        <f t="shared" si="4"/>
        <v>65392.516666666714</v>
      </c>
      <c r="J37" s="57">
        <f t="shared" si="3"/>
        <v>13078.503333333334</v>
      </c>
    </row>
    <row r="38" spans="1:10">
      <c r="H38" s="850">
        <v>43770</v>
      </c>
      <c r="I38" s="795">
        <f t="shared" si="4"/>
        <v>52314.01333333338</v>
      </c>
      <c r="J38" s="57">
        <f t="shared" si="3"/>
        <v>13078.503333333334</v>
      </c>
    </row>
    <row r="39" spans="1:10">
      <c r="H39" s="850">
        <v>43800</v>
      </c>
      <c r="I39" s="795">
        <f t="shared" si="4"/>
        <v>39235.510000000046</v>
      </c>
      <c r="J39" s="57">
        <f t="shared" si="3"/>
        <v>13078.503333333334</v>
      </c>
    </row>
    <row r="40" spans="1:10">
      <c r="B40" s="591"/>
      <c r="H40" s="850">
        <v>43831</v>
      </c>
      <c r="I40" s="795">
        <f t="shared" si="4"/>
        <v>26157.006666666712</v>
      </c>
      <c r="J40" s="57">
        <f t="shared" si="3"/>
        <v>13078.503333333334</v>
      </c>
    </row>
    <row r="41" spans="1:10">
      <c r="H41" s="850">
        <v>43862</v>
      </c>
      <c r="I41" s="795">
        <f t="shared" si="4"/>
        <v>13078.503333333378</v>
      </c>
      <c r="J41" s="57">
        <f t="shared" si="3"/>
        <v>13078.503333333334</v>
      </c>
    </row>
    <row r="42" spans="1:10">
      <c r="H42" s="850">
        <v>43891</v>
      </c>
      <c r="I42" s="795">
        <f t="shared" si="4"/>
        <v>4.3655745685100555E-11</v>
      </c>
      <c r="J42" s="57">
        <f t="shared" si="3"/>
        <v>13078.503333333334</v>
      </c>
    </row>
    <row r="43" spans="1:10">
      <c r="A43" s="398"/>
      <c r="B43" s="838"/>
      <c r="C43" s="81"/>
      <c r="D43" s="81"/>
      <c r="E43" s="81"/>
      <c r="F43" s="1"/>
    </row>
    <row r="44" spans="1:10">
      <c r="A44" s="398"/>
      <c r="B44" s="839"/>
      <c r="C44" s="81"/>
      <c r="D44" s="81"/>
      <c r="E44" s="81"/>
      <c r="F44" s="1"/>
      <c r="J44" s="1"/>
    </row>
    <row r="45" spans="1:10">
      <c r="A45" s="398"/>
      <c r="B45" s="840"/>
      <c r="C45" s="81"/>
      <c r="D45" s="81"/>
      <c r="E45" s="80"/>
      <c r="F45" s="1"/>
      <c r="J45" s="1"/>
    </row>
    <row r="46" spans="1:10">
      <c r="A46" s="398"/>
      <c r="B46" s="840"/>
      <c r="C46" s="81"/>
      <c r="D46" s="81"/>
      <c r="E46" s="80"/>
      <c r="F46" s="1"/>
      <c r="J46" s="1"/>
    </row>
    <row r="47" spans="1:10">
      <c r="A47" s="398"/>
      <c r="B47" s="840"/>
      <c r="C47" s="81"/>
      <c r="D47" s="81"/>
      <c r="E47" s="80"/>
      <c r="F47" s="1"/>
      <c r="J47" s="1"/>
    </row>
    <row r="48" spans="1:10">
      <c r="A48" s="398"/>
      <c r="B48" s="840"/>
      <c r="C48" s="81"/>
      <c r="D48" s="81"/>
      <c r="E48" s="74"/>
      <c r="F48" s="1"/>
      <c r="J48" s="1"/>
    </row>
    <row r="49" spans="1:10">
      <c r="A49" s="398"/>
      <c r="B49" s="840"/>
      <c r="C49" s="81"/>
      <c r="D49" s="80"/>
      <c r="E49" s="74"/>
      <c r="F49" s="1"/>
      <c r="G49" s="591"/>
      <c r="J49" s="1"/>
    </row>
    <row r="50" spans="1:10">
      <c r="A50" s="398"/>
      <c r="B50" s="398"/>
      <c r="C50" s="1"/>
      <c r="D50" s="1"/>
      <c r="E50" s="1"/>
      <c r="F50" s="1"/>
      <c r="J50" s="1"/>
    </row>
    <row r="51" spans="1:10">
      <c r="H51" s="1"/>
      <c r="I51" s="1"/>
      <c r="J51" s="1"/>
    </row>
  </sheetData>
  <mergeCells count="3">
    <mergeCell ref="A1:E1"/>
    <mergeCell ref="A2:E2"/>
    <mergeCell ref="A3:E3"/>
  </mergeCells>
  <phoneticPr fontId="22" type="noConversion"/>
  <printOptions horizontalCentered="1"/>
  <pageMargins left="1" right="0.87" top="1" bottom="1" header="0.5" footer="0.5"/>
  <pageSetup scale="44" orientation="portrait" verticalDpi="300" r:id="rId1"/>
  <headerFooter alignWithMargins="0">
    <oddFooter>&amp;RSchedule &amp;A
Page &amp;P of 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L56"/>
  <sheetViews>
    <sheetView view="pageBreakPreview" zoomScale="80" zoomScaleNormal="90" zoomScaleSheetLayoutView="80" workbookViewId="0">
      <pane ySplit="13" topLeftCell="A14" activePane="bottomLeft" state="frozen"/>
      <selection activeCell="F45" sqref="F45"/>
      <selection pane="bottomLeft" activeCell="L44" sqref="L44"/>
    </sheetView>
  </sheetViews>
  <sheetFormatPr defaultRowHeight="15"/>
  <cols>
    <col min="1" max="1" width="5.21875" style="80" customWidth="1"/>
    <col min="2" max="2" width="24.6640625" style="80" customWidth="1"/>
    <col min="3" max="3" width="9.5546875" style="80" bestFit="1" customWidth="1"/>
    <col min="4" max="4" width="11.6640625" style="80" customWidth="1"/>
    <col min="5" max="5" width="9.44140625" style="80" customWidth="1"/>
    <col min="6" max="6" width="4.109375" style="80" customWidth="1"/>
    <col min="7" max="7" width="11" style="80" customWidth="1"/>
    <col min="8" max="8" width="10.77734375" style="80" customWidth="1"/>
    <col min="9" max="9" width="10.109375" style="80" customWidth="1"/>
    <col min="10" max="16384" width="8.88671875" style="80"/>
  </cols>
  <sheetData>
    <row r="1" spans="1:12" ht="15.75">
      <c r="A1" s="1198" t="str">
        <f>'Table of Contents'!A1:C1</f>
        <v>Atmos Energy Corporation, Kentucky/Mid-States Division</v>
      </c>
      <c r="B1" s="1198"/>
      <c r="C1" s="1198"/>
      <c r="D1" s="1198"/>
      <c r="E1" s="1198"/>
      <c r="F1" s="1198"/>
      <c r="G1" s="1198"/>
      <c r="H1" s="1198"/>
      <c r="I1" s="1198"/>
      <c r="J1" s="103"/>
    </row>
    <row r="2" spans="1:12" ht="15.75">
      <c r="A2" s="1198" t="str">
        <f>'Table of Contents'!A2:C2</f>
        <v>Kentucky Jurisdiction Case No. 2017-00349</v>
      </c>
      <c r="B2" s="1198"/>
      <c r="C2" s="1198"/>
      <c r="D2" s="1198"/>
      <c r="E2" s="1198"/>
      <c r="F2" s="1198"/>
      <c r="G2" s="1198"/>
      <c r="H2" s="1198"/>
      <c r="I2" s="1198"/>
      <c r="J2" s="103"/>
    </row>
    <row r="3" spans="1:12" ht="15.75">
      <c r="A3" s="1198" t="s">
        <v>41</v>
      </c>
      <c r="B3" s="1198"/>
      <c r="C3" s="1198"/>
      <c r="D3" s="1198"/>
      <c r="E3" s="1198"/>
      <c r="F3" s="1198"/>
      <c r="G3" s="1198"/>
      <c r="H3" s="1198"/>
      <c r="I3" s="1198"/>
      <c r="J3" s="103"/>
    </row>
    <row r="4" spans="1:12" ht="15.75">
      <c r="A4" s="1198" t="str">
        <f>'Table of Contents'!A3:C3</f>
        <v>Base Period: Twelve Months Ended December 31, 2017</v>
      </c>
      <c r="B4" s="1198"/>
      <c r="C4" s="1198"/>
      <c r="D4" s="1198"/>
      <c r="E4" s="1198"/>
      <c r="F4" s="1198"/>
      <c r="G4" s="1198"/>
      <c r="H4" s="1198"/>
      <c r="I4" s="1198"/>
      <c r="J4" s="103"/>
    </row>
    <row r="5" spans="1:12" ht="15.75">
      <c r="A5" s="1198" t="str">
        <f>'Table of Contents'!A4:C4</f>
        <v>Forecasted Test Period: Twelve Months Ended March 31, 2019</v>
      </c>
      <c r="B5" s="1198"/>
      <c r="C5" s="1198"/>
      <c r="D5" s="1198"/>
      <c r="E5" s="1198"/>
      <c r="F5" s="1198"/>
      <c r="G5" s="1198"/>
      <c r="H5" s="1198"/>
      <c r="I5" s="1198"/>
      <c r="J5" s="103"/>
    </row>
    <row r="6" spans="1:12" ht="15.75">
      <c r="A6" s="925"/>
      <c r="B6" s="925"/>
      <c r="C6" s="103"/>
      <c r="D6" s="103"/>
      <c r="E6" s="103"/>
      <c r="F6" s="103"/>
      <c r="G6" s="103"/>
      <c r="H6" s="103"/>
      <c r="I6" s="103"/>
      <c r="J6" s="103"/>
      <c r="L6" s="690"/>
    </row>
    <row r="7" spans="1:12" ht="15.75">
      <c r="A7" s="925"/>
      <c r="B7" s="925"/>
      <c r="C7" s="103"/>
      <c r="D7" s="906"/>
      <c r="F7" s="103"/>
      <c r="G7" s="103"/>
      <c r="I7" s="103"/>
      <c r="J7" s="103"/>
      <c r="L7" s="690"/>
    </row>
    <row r="8" spans="1:12">
      <c r="A8" s="694" t="s">
        <v>137</v>
      </c>
      <c r="B8" s="103"/>
      <c r="C8" s="103"/>
      <c r="D8" s="103"/>
      <c r="E8" s="103"/>
      <c r="F8" s="103"/>
      <c r="G8" s="103"/>
      <c r="I8" s="170" t="s">
        <v>1434</v>
      </c>
      <c r="J8" s="103"/>
    </row>
    <row r="9" spans="1:12">
      <c r="A9" s="694" t="s">
        <v>1132</v>
      </c>
      <c r="B9" s="103"/>
      <c r="C9" s="103"/>
      <c r="D9" s="103"/>
      <c r="E9" s="103"/>
      <c r="F9" s="103"/>
      <c r="G9" s="103"/>
      <c r="I9" s="926" t="s">
        <v>579</v>
      </c>
      <c r="J9" s="103"/>
    </row>
    <row r="10" spans="1:12">
      <c r="A10" s="694" t="s">
        <v>431</v>
      </c>
      <c r="B10" s="103"/>
      <c r="C10" s="103"/>
      <c r="D10" s="103"/>
      <c r="E10" s="103"/>
      <c r="F10" s="103"/>
      <c r="G10" s="103"/>
      <c r="H10" s="809"/>
      <c r="I10" s="928" t="str">
        <f>F.1!$F$9</f>
        <v>Witness: Waller</v>
      </c>
      <c r="J10" s="103"/>
    </row>
    <row r="11" spans="1:12" ht="15.75">
      <c r="A11" s="929"/>
      <c r="B11" s="929"/>
      <c r="C11" s="930"/>
      <c r="D11" s="931" t="s">
        <v>328</v>
      </c>
      <c r="E11" s="932"/>
      <c r="F11" s="929"/>
      <c r="G11" s="930"/>
      <c r="H11" s="931" t="s">
        <v>329</v>
      </c>
      <c r="I11" s="932"/>
      <c r="J11" s="103"/>
      <c r="L11" s="690"/>
    </row>
    <row r="12" spans="1:12">
      <c r="A12" s="121" t="s">
        <v>94</v>
      </c>
      <c r="B12" s="121" t="s">
        <v>577</v>
      </c>
      <c r="C12" s="121" t="s">
        <v>97</v>
      </c>
      <c r="D12" s="857" t="s">
        <v>11</v>
      </c>
      <c r="E12" s="960" t="s">
        <v>12</v>
      </c>
      <c r="F12" s="960"/>
      <c r="G12" s="121" t="s">
        <v>97</v>
      </c>
      <c r="H12" s="960" t="str">
        <f>D12</f>
        <v xml:space="preserve">Kentucky </v>
      </c>
      <c r="I12" s="960" t="s">
        <v>989</v>
      </c>
      <c r="J12" s="103"/>
    </row>
    <row r="13" spans="1:12">
      <c r="A13" s="648" t="s">
        <v>100</v>
      </c>
      <c r="B13" s="648" t="s">
        <v>1090</v>
      </c>
      <c r="C13" s="648" t="s">
        <v>599</v>
      </c>
      <c r="D13" s="933" t="s">
        <v>98</v>
      </c>
      <c r="E13" s="648" t="s">
        <v>105</v>
      </c>
      <c r="F13" s="648"/>
      <c r="G13" s="648" t="s">
        <v>599</v>
      </c>
      <c r="H13" s="648" t="str">
        <f>D13</f>
        <v>Jurisdictional</v>
      </c>
      <c r="I13" s="648" t="s">
        <v>105</v>
      </c>
      <c r="J13" s="103"/>
      <c r="L13" s="690"/>
    </row>
    <row r="14" spans="1:12">
      <c r="A14" s="103"/>
      <c r="B14" s="103"/>
      <c r="C14" s="103"/>
      <c r="D14" s="103"/>
      <c r="E14" s="103"/>
      <c r="F14" s="103"/>
      <c r="G14" s="103"/>
      <c r="H14" s="103"/>
      <c r="I14" s="103"/>
      <c r="J14" s="103"/>
    </row>
    <row r="15" spans="1:12" ht="15.75">
      <c r="A15" s="583">
        <v>1</v>
      </c>
      <c r="B15" s="1117" t="s">
        <v>194</v>
      </c>
      <c r="C15" s="376"/>
      <c r="D15" s="74"/>
      <c r="E15" s="380"/>
      <c r="F15" s="74"/>
      <c r="G15" s="376"/>
      <c r="H15" s="74"/>
      <c r="I15" s="380"/>
      <c r="J15" s="1074"/>
    </row>
    <row r="16" spans="1:12">
      <c r="A16" s="583">
        <v>2</v>
      </c>
      <c r="B16" s="416" t="s">
        <v>580</v>
      </c>
      <c r="C16" s="327">
        <v>0</v>
      </c>
      <c r="D16" s="420">
        <v>1</v>
      </c>
      <c r="E16" s="327">
        <f>C16*D16</f>
        <v>0</v>
      </c>
      <c r="F16" s="74"/>
      <c r="G16" s="327">
        <v>0</v>
      </c>
      <c r="H16" s="420">
        <f>D16</f>
        <v>1</v>
      </c>
      <c r="I16" s="327">
        <f>G16*H16</f>
        <v>0</v>
      </c>
      <c r="J16" s="1074"/>
    </row>
    <row r="17" spans="1:10">
      <c r="A17" s="583">
        <v>3</v>
      </c>
      <c r="B17" s="416" t="s">
        <v>581</v>
      </c>
      <c r="C17" s="376">
        <v>0</v>
      </c>
      <c r="D17" s="420">
        <f>$D$16</f>
        <v>1</v>
      </c>
      <c r="E17" s="376">
        <f>C17*D17</f>
        <v>0</v>
      </c>
      <c r="F17" s="74"/>
      <c r="G17" s="376">
        <v>0</v>
      </c>
      <c r="H17" s="420">
        <f>D17</f>
        <v>1</v>
      </c>
      <c r="I17" s="376">
        <f>G17*H17</f>
        <v>0</v>
      </c>
      <c r="J17" s="1118"/>
    </row>
    <row r="18" spans="1:10">
      <c r="A18" s="583">
        <v>4</v>
      </c>
      <c r="B18" s="416" t="s">
        <v>669</v>
      </c>
      <c r="C18" s="380">
        <f>'[20]2017 Acct 4264'!$S$69</f>
        <v>75000</v>
      </c>
      <c r="D18" s="420">
        <f>$D$16</f>
        <v>1</v>
      </c>
      <c r="E18" s="380">
        <f>C18*D18</f>
        <v>75000</v>
      </c>
      <c r="F18" s="74"/>
      <c r="G18" s="380">
        <f>C18</f>
        <v>75000</v>
      </c>
      <c r="H18" s="420">
        <f>D18</f>
        <v>1</v>
      </c>
      <c r="I18" s="380">
        <f>G18*H18</f>
        <v>75000</v>
      </c>
      <c r="J18" s="1119"/>
    </row>
    <row r="19" spans="1:10">
      <c r="A19" s="583">
        <v>5</v>
      </c>
      <c r="B19" s="416" t="s">
        <v>590</v>
      </c>
      <c r="C19" s="418">
        <v>0</v>
      </c>
      <c r="D19" s="420">
        <f>$D$16</f>
        <v>1</v>
      </c>
      <c r="E19" s="418">
        <f>C19*D19</f>
        <v>0</v>
      </c>
      <c r="F19" s="74"/>
      <c r="G19" s="418">
        <v>0</v>
      </c>
      <c r="H19" s="420">
        <f>D19</f>
        <v>1</v>
      </c>
      <c r="I19" s="418">
        <f>G19*H19</f>
        <v>0</v>
      </c>
      <c r="J19" s="810"/>
    </row>
    <row r="20" spans="1:10">
      <c r="A20" s="583">
        <v>6</v>
      </c>
      <c r="B20" s="417" t="s">
        <v>97</v>
      </c>
      <c r="C20" s="499">
        <f>SUM(C16:C19)</f>
        <v>75000</v>
      </c>
      <c r="D20" s="74"/>
      <c r="E20" s="499">
        <f>SUM(E16:E19)</f>
        <v>75000</v>
      </c>
      <c r="F20" s="74"/>
      <c r="G20" s="499">
        <f>SUM(G16:G19)</f>
        <v>75000</v>
      </c>
      <c r="H20" s="74"/>
      <c r="I20" s="499">
        <f>SUM(I16:I19)</f>
        <v>75000</v>
      </c>
      <c r="J20" s="810"/>
    </row>
    <row r="21" spans="1:10">
      <c r="A21" s="583">
        <v>7</v>
      </c>
      <c r="C21" s="376"/>
      <c r="D21" s="74"/>
      <c r="E21" s="376"/>
      <c r="F21" s="74"/>
      <c r="G21" s="376"/>
      <c r="H21" s="74"/>
      <c r="I21" s="376"/>
      <c r="J21" s="810"/>
    </row>
    <row r="22" spans="1:10" ht="15.75">
      <c r="A22" s="583">
        <v>8</v>
      </c>
      <c r="B22" s="1117" t="s">
        <v>79</v>
      </c>
      <c r="C22" s="380"/>
      <c r="D22" s="74"/>
      <c r="E22" s="380"/>
      <c r="F22" s="74"/>
      <c r="G22" s="380"/>
      <c r="H22" s="74"/>
      <c r="I22" s="380"/>
      <c r="J22" s="1074"/>
    </row>
    <row r="23" spans="1:10">
      <c r="A23" s="583">
        <v>9</v>
      </c>
      <c r="B23" s="416" t="s">
        <v>580</v>
      </c>
      <c r="C23" s="327">
        <v>0</v>
      </c>
      <c r="D23" s="421">
        <f>Allocation!$I$17</f>
        <v>0.5025136071712456</v>
      </c>
      <c r="E23" s="327">
        <f>C23*D23</f>
        <v>0</v>
      </c>
      <c r="F23" s="74"/>
      <c r="G23" s="327">
        <v>0</v>
      </c>
      <c r="H23" s="421">
        <f>Allocation!$E$17</f>
        <v>0.5025136071712456</v>
      </c>
      <c r="I23" s="327">
        <f>G23*H23</f>
        <v>0</v>
      </c>
      <c r="J23" s="1074"/>
    </row>
    <row r="24" spans="1:10">
      <c r="A24" s="583">
        <v>10</v>
      </c>
      <c r="B24" s="416" t="s">
        <v>581</v>
      </c>
      <c r="C24" s="376">
        <v>0</v>
      </c>
      <c r="D24" s="421">
        <f>$D$23</f>
        <v>0.5025136071712456</v>
      </c>
      <c r="E24" s="376">
        <f>C24*D24</f>
        <v>0</v>
      </c>
      <c r="F24" s="74"/>
      <c r="G24" s="376">
        <v>0</v>
      </c>
      <c r="H24" s="421">
        <f>H23</f>
        <v>0.5025136071712456</v>
      </c>
      <c r="I24" s="376">
        <f>G24*H24</f>
        <v>0</v>
      </c>
      <c r="J24" s="1118"/>
    </row>
    <row r="25" spans="1:10">
      <c r="A25" s="583">
        <v>11</v>
      </c>
      <c r="B25" s="416" t="s">
        <v>669</v>
      </c>
      <c r="C25" s="380">
        <f>'[20]2017 Acct 4264'!$S$70</f>
        <v>4404</v>
      </c>
      <c r="D25" s="421">
        <f>$D$23</f>
        <v>0.5025136071712456</v>
      </c>
      <c r="E25" s="380">
        <f>C25*D25</f>
        <v>2213.0699259821658</v>
      </c>
      <c r="F25" s="74"/>
      <c r="G25" s="380">
        <f>C25</f>
        <v>4404</v>
      </c>
      <c r="H25" s="421">
        <f>H23</f>
        <v>0.5025136071712456</v>
      </c>
      <c r="I25" s="380">
        <f>G25*H25</f>
        <v>2213.0699259821658</v>
      </c>
      <c r="J25" s="1119"/>
    </row>
    <row r="26" spans="1:10">
      <c r="A26" s="583">
        <v>12</v>
      </c>
      <c r="B26" s="416" t="s">
        <v>590</v>
      </c>
      <c r="C26" s="418">
        <v>0</v>
      </c>
      <c r="D26" s="421">
        <f>$D$23</f>
        <v>0.5025136071712456</v>
      </c>
      <c r="E26" s="418">
        <f>C26*D26</f>
        <v>0</v>
      </c>
      <c r="F26" s="74"/>
      <c r="G26" s="418">
        <v>0</v>
      </c>
      <c r="H26" s="421">
        <f>H23</f>
        <v>0.5025136071712456</v>
      </c>
      <c r="I26" s="418">
        <f>G26*H26</f>
        <v>0</v>
      </c>
      <c r="J26" s="1119"/>
    </row>
    <row r="27" spans="1:10">
      <c r="A27" s="583">
        <v>13</v>
      </c>
      <c r="B27" s="417" t="s">
        <v>97</v>
      </c>
      <c r="C27" s="499">
        <f>SUM(C23:C26)</f>
        <v>4404</v>
      </c>
      <c r="D27" s="103"/>
      <c r="E27" s="499">
        <f>SUM(E23:E26)</f>
        <v>2213.0699259821658</v>
      </c>
      <c r="F27" s="103"/>
      <c r="G27" s="499">
        <f>SUM(G23:G26)</f>
        <v>4404</v>
      </c>
      <c r="H27" s="103"/>
      <c r="I27" s="499">
        <f>SUM(I23:I26)</f>
        <v>2213.0699259821658</v>
      </c>
      <c r="J27" s="1074"/>
    </row>
    <row r="28" spans="1:10">
      <c r="A28" s="583">
        <v>14</v>
      </c>
      <c r="B28" s="1074"/>
      <c r="C28" s="103"/>
      <c r="D28" s="103"/>
      <c r="E28" s="103"/>
      <c r="F28" s="103"/>
      <c r="G28" s="103"/>
      <c r="H28" s="103"/>
      <c r="I28" s="103"/>
      <c r="J28" s="1074"/>
    </row>
    <row r="29" spans="1:10" ht="15.75">
      <c r="A29" s="583">
        <v>15</v>
      </c>
      <c r="B29" s="1117" t="s">
        <v>77</v>
      </c>
      <c r="C29" s="103"/>
      <c r="D29" s="103"/>
      <c r="E29" s="103"/>
      <c r="F29" s="103"/>
      <c r="G29" s="103"/>
      <c r="H29" s="103"/>
      <c r="I29" s="103"/>
      <c r="J29" s="1118"/>
    </row>
    <row r="30" spans="1:10">
      <c r="A30" s="583">
        <v>16</v>
      </c>
      <c r="B30" s="416" t="s">
        <v>580</v>
      </c>
      <c r="C30" s="327">
        <v>0</v>
      </c>
      <c r="D30" s="323">
        <f>Allocation!$I$14</f>
        <v>5.2010158342223917E-2</v>
      </c>
      <c r="E30" s="327">
        <f>C30*D30</f>
        <v>0</v>
      </c>
      <c r="F30" s="103"/>
      <c r="G30" s="327">
        <v>0</v>
      </c>
      <c r="H30" s="323">
        <f>Allocation!$E$14</f>
        <v>5.2010158342223917E-2</v>
      </c>
      <c r="I30" s="327">
        <f>G30*H30</f>
        <v>0</v>
      </c>
      <c r="J30" s="1119"/>
    </row>
    <row r="31" spans="1:10">
      <c r="A31" s="583">
        <v>17</v>
      </c>
      <c r="B31" s="416" t="s">
        <v>581</v>
      </c>
      <c r="C31" s="376">
        <v>0</v>
      </c>
      <c r="D31" s="323">
        <f>$D$30</f>
        <v>5.2010158342223917E-2</v>
      </c>
      <c r="E31" s="376">
        <f>C31*D31</f>
        <v>0</v>
      </c>
      <c r="F31" s="103"/>
      <c r="G31" s="376">
        <v>0</v>
      </c>
      <c r="H31" s="421">
        <f>D31</f>
        <v>5.2010158342223917E-2</v>
      </c>
      <c r="I31" s="376">
        <f>G31*H31</f>
        <v>0</v>
      </c>
      <c r="J31" s="1119"/>
    </row>
    <row r="32" spans="1:10">
      <c r="A32" s="583">
        <v>18</v>
      </c>
      <c r="B32" s="416" t="s">
        <v>669</v>
      </c>
      <c r="C32" s="380">
        <f>'[20]2017 Acct 4264'!$S$71</f>
        <v>655809.22100000002</v>
      </c>
      <c r="D32" s="323">
        <f>$D$30</f>
        <v>5.2010158342223917E-2</v>
      </c>
      <c r="E32" s="380">
        <f>C32*D32</f>
        <v>34108.741426500521</v>
      </c>
      <c r="F32" s="103"/>
      <c r="G32" s="380">
        <f>C32</f>
        <v>655809.22100000002</v>
      </c>
      <c r="H32" s="421">
        <f>D32</f>
        <v>5.2010158342223917E-2</v>
      </c>
      <c r="I32" s="380">
        <f>G32*H32</f>
        <v>34108.741426500521</v>
      </c>
      <c r="J32" s="1074"/>
    </row>
    <row r="33" spans="1:10">
      <c r="A33" s="583">
        <v>19</v>
      </c>
      <c r="B33" s="416" t="s">
        <v>590</v>
      </c>
      <c r="C33" s="418">
        <v>0</v>
      </c>
      <c r="D33" s="323">
        <f>$D$30</f>
        <v>5.2010158342223917E-2</v>
      </c>
      <c r="E33" s="418">
        <f>C33*D33</f>
        <v>0</v>
      </c>
      <c r="F33" s="103"/>
      <c r="G33" s="418">
        <v>0</v>
      </c>
      <c r="H33" s="421">
        <f>D33</f>
        <v>5.2010158342223917E-2</v>
      </c>
      <c r="I33" s="418">
        <f>G33*H33</f>
        <v>0</v>
      </c>
      <c r="J33" s="1074"/>
    </row>
    <row r="34" spans="1:10">
      <c r="A34" s="583">
        <v>20</v>
      </c>
      <c r="B34" s="417" t="s">
        <v>97</v>
      </c>
      <c r="C34" s="499">
        <f>SUM(C30:C33)</f>
        <v>655809.22100000002</v>
      </c>
      <c r="D34" s="103"/>
      <c r="E34" s="499">
        <f>SUM(E30:E33)</f>
        <v>34108.741426500521</v>
      </c>
      <c r="F34" s="103"/>
      <c r="G34" s="499">
        <f>SUM(G30:G33)</f>
        <v>655809.22100000002</v>
      </c>
      <c r="H34" s="103"/>
      <c r="I34" s="499">
        <f>SUM(I30:I33)</f>
        <v>34108.741426500521</v>
      </c>
      <c r="J34" s="1118"/>
    </row>
    <row r="35" spans="1:10">
      <c r="A35" s="583">
        <v>21</v>
      </c>
      <c r="B35" s="1118"/>
      <c r="C35" s="103"/>
      <c r="D35" s="103"/>
      <c r="E35" s="103"/>
      <c r="F35" s="103"/>
      <c r="G35" s="103"/>
      <c r="H35" s="103"/>
      <c r="I35" s="103"/>
      <c r="J35" s="103"/>
    </row>
    <row r="36" spans="1:10" ht="15.75">
      <c r="A36" s="583">
        <v>22</v>
      </c>
      <c r="B36" s="1117" t="s">
        <v>78</v>
      </c>
      <c r="C36" s="103"/>
      <c r="D36" s="103"/>
      <c r="E36" s="103"/>
      <c r="F36" s="103"/>
      <c r="G36" s="103"/>
      <c r="H36" s="103"/>
      <c r="I36" s="103"/>
      <c r="J36" s="103"/>
    </row>
    <row r="37" spans="1:10">
      <c r="A37" s="583">
        <v>23</v>
      </c>
      <c r="B37" s="416" t="s">
        <v>580</v>
      </c>
      <c r="C37" s="327">
        <v>0</v>
      </c>
      <c r="D37" s="323">
        <f>Allocation!$I$15</f>
        <v>5.67090596975168E-2</v>
      </c>
      <c r="E37" s="327">
        <f>C37*D37</f>
        <v>0</v>
      </c>
      <c r="F37" s="103"/>
      <c r="G37" s="327">
        <v>0</v>
      </c>
      <c r="H37" s="421">
        <f>D37</f>
        <v>5.67090596975168E-2</v>
      </c>
      <c r="I37" s="327">
        <f>G37*H37</f>
        <v>0</v>
      </c>
      <c r="J37" s="103"/>
    </row>
    <row r="38" spans="1:10">
      <c r="A38" s="583">
        <v>24</v>
      </c>
      <c r="B38" s="416" t="s">
        <v>581</v>
      </c>
      <c r="C38" s="376">
        <v>0</v>
      </c>
      <c r="D38" s="323">
        <f>$D$37</f>
        <v>5.67090596975168E-2</v>
      </c>
      <c r="E38" s="376">
        <f>C38*D38</f>
        <v>0</v>
      </c>
      <c r="G38" s="376">
        <v>0</v>
      </c>
      <c r="H38" s="421">
        <f>D38</f>
        <v>5.67090596975168E-2</v>
      </c>
      <c r="I38" s="376">
        <f>G38*H38</f>
        <v>0</v>
      </c>
    </row>
    <row r="39" spans="1:10">
      <c r="A39" s="583">
        <v>25</v>
      </c>
      <c r="B39" s="416" t="s">
        <v>669</v>
      </c>
      <c r="C39" s="380">
        <v>0</v>
      </c>
      <c r="D39" s="323">
        <f>$D$37</f>
        <v>5.67090596975168E-2</v>
      </c>
      <c r="E39" s="380">
        <f>C39*D39</f>
        <v>0</v>
      </c>
      <c r="G39" s="380">
        <f>C39</f>
        <v>0</v>
      </c>
      <c r="H39" s="421">
        <f>D39</f>
        <v>5.67090596975168E-2</v>
      </c>
      <c r="I39" s="380">
        <f>G39*H39</f>
        <v>0</v>
      </c>
    </row>
    <row r="40" spans="1:10">
      <c r="A40" s="583">
        <v>26</v>
      </c>
      <c r="B40" s="416" t="s">
        <v>590</v>
      </c>
      <c r="C40" s="418">
        <v>0</v>
      </c>
      <c r="D40" s="323">
        <f>$D$37</f>
        <v>5.67090596975168E-2</v>
      </c>
      <c r="E40" s="418">
        <f>C40*D40</f>
        <v>0</v>
      </c>
      <c r="G40" s="418">
        <v>0</v>
      </c>
      <c r="H40" s="421">
        <f>D40</f>
        <v>5.67090596975168E-2</v>
      </c>
      <c r="I40" s="418">
        <f>G40*H40</f>
        <v>0</v>
      </c>
    </row>
    <row r="41" spans="1:10">
      <c r="A41" s="583">
        <v>27</v>
      </c>
      <c r="B41" s="417" t="s">
        <v>97</v>
      </c>
      <c r="C41" s="499">
        <f>SUM(C37:C40)</f>
        <v>0</v>
      </c>
      <c r="E41" s="499">
        <f>SUM(E37:E40)</f>
        <v>0</v>
      </c>
      <c r="G41" s="499">
        <f>SUM(G37:G40)</f>
        <v>0</v>
      </c>
      <c r="I41" s="499">
        <f>SUM(I37:I40)</f>
        <v>0</v>
      </c>
    </row>
    <row r="42" spans="1:10">
      <c r="A42" s="583">
        <v>28</v>
      </c>
    </row>
    <row r="43" spans="1:10" ht="16.5" thickBot="1">
      <c r="A43" s="583">
        <v>29</v>
      </c>
      <c r="B43" s="419" t="s">
        <v>942</v>
      </c>
      <c r="C43" s="510">
        <f>C41+C34+C27+C20</f>
        <v>735213.22100000002</v>
      </c>
      <c r="E43" s="510">
        <f>E41+E34+E27+E20</f>
        <v>111321.81135248268</v>
      </c>
      <c r="G43" s="510">
        <f>G41+G34+G27+G20</f>
        <v>735213.22100000002</v>
      </c>
      <c r="I43" s="510">
        <f>I41+I34+I27+I20</f>
        <v>111321.81135248268</v>
      </c>
    </row>
    <row r="44" spans="1:10" ht="15.75" thickTop="1"/>
    <row r="45" spans="1:10">
      <c r="B45" s="80" t="s">
        <v>809</v>
      </c>
    </row>
    <row r="46" spans="1:10">
      <c r="B46" s="88" t="s">
        <v>287</v>
      </c>
    </row>
    <row r="47" spans="1:10">
      <c r="B47" s="88" t="s">
        <v>393</v>
      </c>
    </row>
    <row r="48" spans="1:10">
      <c r="B48" s="81"/>
    </row>
    <row r="49" spans="2:2">
      <c r="B49" s="88" t="s">
        <v>430</v>
      </c>
    </row>
    <row r="51" spans="2:2">
      <c r="B51" s="88" t="s">
        <v>773</v>
      </c>
    </row>
    <row r="55" spans="2:2">
      <c r="B55" s="80" t="s">
        <v>523</v>
      </c>
    </row>
    <row r="56" spans="2:2">
      <c r="B56" s="80" t="s">
        <v>1662</v>
      </c>
    </row>
  </sheetData>
  <mergeCells count="5">
    <mergeCell ref="A5:I5"/>
    <mergeCell ref="A1:I1"/>
    <mergeCell ref="A2:I2"/>
    <mergeCell ref="A3:I3"/>
    <mergeCell ref="A4:I4"/>
  </mergeCells>
  <phoneticPr fontId="22" type="noConversion"/>
  <printOptions horizontalCentered="1"/>
  <pageMargins left="0.89" right="0.34" top="0.5" bottom="0.5" header="0.5" footer="0.5"/>
  <pageSetup scale="80" orientation="portrait" verticalDpi="300" r:id="rId1"/>
  <headerFooter alignWithMargins="0">
    <oddFooter>&amp;RSchedule &amp;A
Page &amp;P of 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P39"/>
  <sheetViews>
    <sheetView view="pageBreakPreview" zoomScale="80" zoomScaleNormal="90" zoomScaleSheetLayoutView="80" workbookViewId="0">
      <selection activeCell="C22" sqref="C22"/>
    </sheetView>
  </sheetViews>
  <sheetFormatPr defaultRowHeight="15"/>
  <cols>
    <col min="1" max="1" width="5.88671875" style="80" customWidth="1"/>
    <col min="2" max="2" width="32.44140625" style="80" customWidth="1"/>
    <col min="3" max="3" width="11.33203125" style="80" customWidth="1"/>
    <col min="4" max="4" width="11.109375" style="80" customWidth="1"/>
    <col min="5" max="5" width="9.6640625" style="80" customWidth="1"/>
    <col min="6" max="6" width="4.21875" style="80" customWidth="1"/>
    <col min="7" max="7" width="9.5546875" style="80" bestFit="1" customWidth="1"/>
    <col min="8" max="8" width="12" style="80" customWidth="1"/>
    <col min="9" max="9" width="10.77734375" style="80" customWidth="1"/>
    <col min="10" max="16384" width="8.88671875" style="80"/>
  </cols>
  <sheetData>
    <row r="1" spans="1:14" ht="15.75">
      <c r="A1" s="1178" t="str">
        <f>'Table of Contents'!A1:C1</f>
        <v>Atmos Energy Corporation, Kentucky/Mid-States Division</v>
      </c>
      <c r="B1" s="1178"/>
      <c r="C1" s="1178"/>
      <c r="D1" s="1178"/>
      <c r="E1" s="1178"/>
      <c r="F1" s="1178"/>
      <c r="G1" s="1178"/>
      <c r="H1" s="1178"/>
      <c r="I1" s="1178"/>
    </row>
    <row r="2" spans="1:14" ht="15.75">
      <c r="A2" s="1178" t="str">
        <f>'Table of Contents'!A2:C2</f>
        <v>Kentucky Jurisdiction Case No. 2017-00349</v>
      </c>
      <c r="B2" s="1178" t="s">
        <v>327</v>
      </c>
      <c r="C2" s="1178"/>
      <c r="D2" s="1178"/>
      <c r="E2" s="1178"/>
      <c r="F2" s="1178"/>
      <c r="G2" s="1178"/>
      <c r="H2" s="1178"/>
      <c r="I2" s="1178"/>
      <c r="J2" s="103"/>
    </row>
    <row r="3" spans="1:14" ht="15.75">
      <c r="A3" s="1178" t="s">
        <v>889</v>
      </c>
      <c r="B3" s="1178"/>
      <c r="C3" s="1178"/>
      <c r="D3" s="1178"/>
      <c r="E3" s="1178"/>
      <c r="F3" s="1178"/>
      <c r="G3" s="1178"/>
      <c r="H3" s="1178"/>
      <c r="I3" s="1178"/>
      <c r="J3" s="103"/>
    </row>
    <row r="4" spans="1:14" ht="15.75">
      <c r="A4" s="1178"/>
      <c r="B4" s="1178"/>
      <c r="C4" s="1178"/>
      <c r="D4" s="1178"/>
      <c r="E4" s="1178"/>
      <c r="F4" s="1178"/>
      <c r="G4" s="1178"/>
      <c r="H4" s="1178"/>
      <c r="I4" s="1178"/>
      <c r="J4" s="103"/>
    </row>
    <row r="5" spans="1:14" ht="15.75">
      <c r="A5" s="1178"/>
      <c r="B5" s="1178"/>
      <c r="C5" s="1178"/>
      <c r="D5" s="1178"/>
      <c r="E5" s="1178"/>
      <c r="F5" s="1178"/>
      <c r="G5" s="1178"/>
      <c r="H5" s="1178"/>
      <c r="I5" s="1178"/>
      <c r="J5" s="103"/>
    </row>
    <row r="6" spans="1:14" ht="15.75">
      <c r="A6" s="103"/>
      <c r="B6" s="925"/>
      <c r="C6" s="925"/>
      <c r="D6" s="103"/>
      <c r="E6" s="103"/>
      <c r="F6" s="103"/>
      <c r="G6" s="103"/>
      <c r="H6" s="103"/>
      <c r="I6" s="103"/>
      <c r="J6" s="103"/>
    </row>
    <row r="7" spans="1:14" ht="15.75">
      <c r="A7" s="694" t="s">
        <v>137</v>
      </c>
      <c r="B7" s="103"/>
      <c r="C7" s="925"/>
      <c r="D7" s="103"/>
      <c r="E7" s="103"/>
      <c r="F7" s="103"/>
      <c r="G7" s="103"/>
      <c r="I7" s="170" t="s">
        <v>1434</v>
      </c>
      <c r="J7" s="103"/>
    </row>
    <row r="8" spans="1:14" ht="15.75">
      <c r="A8" s="694" t="s">
        <v>1133</v>
      </c>
      <c r="B8" s="103"/>
      <c r="C8" s="925"/>
      <c r="D8" s="103"/>
      <c r="E8" s="103"/>
      <c r="F8" s="103"/>
      <c r="G8" s="103"/>
      <c r="I8" s="926" t="s">
        <v>722</v>
      </c>
      <c r="J8" s="103"/>
    </row>
    <row r="9" spans="1:14" ht="15.75">
      <c r="A9" s="694" t="s">
        <v>369</v>
      </c>
      <c r="B9" s="103"/>
      <c r="C9" s="925"/>
      <c r="D9" s="103"/>
      <c r="E9" s="103"/>
      <c r="F9" s="103"/>
      <c r="G9" s="103"/>
      <c r="H9" s="927"/>
      <c r="I9" s="928" t="str">
        <f>F.1!$F$9</f>
        <v>Witness: Waller</v>
      </c>
      <c r="J9" s="103"/>
    </row>
    <row r="10" spans="1:14" ht="15.75">
      <c r="A10" s="929"/>
      <c r="B10" s="929"/>
      <c r="C10" s="1135"/>
      <c r="D10" s="1136" t="s">
        <v>328</v>
      </c>
      <c r="E10" s="1135"/>
      <c r="F10" s="929"/>
      <c r="G10" s="1135"/>
      <c r="H10" s="1137" t="s">
        <v>329</v>
      </c>
      <c r="I10" s="1135"/>
      <c r="J10" s="103"/>
      <c r="K10" s="1138"/>
    </row>
    <row r="11" spans="1:14">
      <c r="A11" s="121" t="s">
        <v>94</v>
      </c>
      <c r="B11" s="103"/>
      <c r="C11" s="121"/>
      <c r="D11" s="857" t="s">
        <v>11</v>
      </c>
      <c r="E11" s="960" t="s">
        <v>12</v>
      </c>
      <c r="F11" s="103"/>
      <c r="G11" s="121"/>
      <c r="H11" s="960" t="str">
        <f>D11</f>
        <v xml:space="preserve">Kentucky </v>
      </c>
      <c r="I11" s="960" t="s">
        <v>989</v>
      </c>
      <c r="J11" s="103"/>
      <c r="K11" s="690"/>
    </row>
    <row r="12" spans="1:14">
      <c r="A12" s="648" t="s">
        <v>100</v>
      </c>
      <c r="B12" s="648" t="s">
        <v>993</v>
      </c>
      <c r="C12" s="648" t="s">
        <v>105</v>
      </c>
      <c r="D12" s="933" t="s">
        <v>98</v>
      </c>
      <c r="E12" s="648" t="s">
        <v>105</v>
      </c>
      <c r="F12" s="934"/>
      <c r="G12" s="648" t="s">
        <v>105</v>
      </c>
      <c r="H12" s="648" t="str">
        <f>D12</f>
        <v>Jurisdictional</v>
      </c>
      <c r="I12" s="648" t="s">
        <v>105</v>
      </c>
      <c r="J12" s="103"/>
    </row>
    <row r="13" spans="1:14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L13" s="670"/>
      <c r="N13" s="670"/>
    </row>
    <row r="14" spans="1:14" ht="15.75">
      <c r="A14" s="960"/>
      <c r="B14" s="1139"/>
      <c r="C14" s="1140"/>
      <c r="D14" s="1140"/>
      <c r="E14" s="1140"/>
      <c r="F14" s="1140"/>
      <c r="G14" s="1140"/>
      <c r="H14" s="1140"/>
      <c r="I14" s="1140"/>
      <c r="J14" s="1140"/>
      <c r="L14" s="670"/>
      <c r="N14" s="670"/>
    </row>
    <row r="15" spans="1:14">
      <c r="A15" s="121"/>
      <c r="B15" s="583"/>
      <c r="C15" s="583" t="s">
        <v>327</v>
      </c>
      <c r="D15" s="583" t="s">
        <v>327</v>
      </c>
      <c r="E15" s="583" t="s">
        <v>327</v>
      </c>
      <c r="F15" s="583" t="s">
        <v>327</v>
      </c>
      <c r="G15" s="103"/>
      <c r="H15" s="958" t="str">
        <f>F15</f>
        <v xml:space="preserve"> </v>
      </c>
      <c r="I15" s="583" t="s">
        <v>327</v>
      </c>
      <c r="J15" s="103"/>
    </row>
    <row r="16" spans="1:14">
      <c r="A16" s="960">
        <v>1</v>
      </c>
      <c r="B16" s="810" t="s">
        <v>194</v>
      </c>
      <c r="C16" s="359">
        <f>'[22]Rate Division 009 Summary '!$A$19</f>
        <v>21173</v>
      </c>
      <c r="D16" s="1126">
        <v>1</v>
      </c>
      <c r="E16" s="359">
        <f>C16*D16</f>
        <v>21173</v>
      </c>
      <c r="F16" s="399"/>
      <c r="G16" s="359">
        <f>C16</f>
        <v>21173</v>
      </c>
      <c r="H16" s="940">
        <f>D16</f>
        <v>1</v>
      </c>
      <c r="I16" s="359">
        <f>G16*H16</f>
        <v>21173</v>
      </c>
      <c r="L16" s="670"/>
      <c r="N16" s="670"/>
    </row>
    <row r="17" spans="1:16">
      <c r="A17" s="121">
        <v>2</v>
      </c>
      <c r="B17" s="1119"/>
      <c r="C17" s="382"/>
      <c r="D17" s="420"/>
      <c r="E17" s="382"/>
      <c r="F17" s="804"/>
      <c r="G17" s="382"/>
      <c r="H17" s="804"/>
      <c r="I17" s="382"/>
      <c r="J17" s="103"/>
      <c r="L17" s="670"/>
      <c r="N17" s="670"/>
    </row>
    <row r="18" spans="1:16">
      <c r="A18" s="960">
        <v>3</v>
      </c>
      <c r="B18" s="810" t="s">
        <v>79</v>
      </c>
      <c r="C18" s="382">
        <f>'[23]Rate Division 091 Summary'!$D$19</f>
        <v>43047.37</v>
      </c>
      <c r="D18" s="1129">
        <f>Allocation!$I$17</f>
        <v>0.5025136071712456</v>
      </c>
      <c r="E18" s="381">
        <f>C18*D18</f>
        <v>21631.889177935263</v>
      </c>
      <c r="F18" s="943"/>
      <c r="G18" s="381">
        <f>C18</f>
        <v>43047.37</v>
      </c>
      <c r="H18" s="1129">
        <f>Allocation!$E$17</f>
        <v>0.5025136071712456</v>
      </c>
      <c r="I18" s="381">
        <f>G18*H18</f>
        <v>21631.889177935263</v>
      </c>
      <c r="J18" s="103"/>
      <c r="L18" s="670"/>
      <c r="N18" s="670"/>
    </row>
    <row r="19" spans="1:16">
      <c r="A19" s="121">
        <v>4</v>
      </c>
      <c r="B19" s="1119"/>
      <c r="C19" s="382"/>
      <c r="D19" s="421"/>
      <c r="E19" s="382"/>
      <c r="F19" s="804"/>
      <c r="G19" s="382"/>
      <c r="H19" s="1131"/>
      <c r="I19" s="382"/>
      <c r="J19" s="103"/>
      <c r="L19" s="670"/>
    </row>
    <row r="20" spans="1:16">
      <c r="A20" s="960">
        <v>5</v>
      </c>
      <c r="B20" s="1119" t="s">
        <v>77</v>
      </c>
      <c r="C20" s="382">
        <f>('[24]002 Non-MC IEXP Jan''17-Jun''17'!$BN$1162+'[24]002 MC IEXP Jan''17-Jun''17'!$BN$462)*2</f>
        <v>289965.64919047942</v>
      </c>
      <c r="D20" s="1129">
        <f>Allocation!$I$14</f>
        <v>5.2010158342223917E-2</v>
      </c>
      <c r="E20" s="382">
        <f>C20*D20</f>
        <v>15081.159328202588</v>
      </c>
      <c r="F20" s="103"/>
      <c r="G20" s="382">
        <f>C20</f>
        <v>289965.64919047942</v>
      </c>
      <c r="H20" s="1129">
        <f>Allocation!$E$14</f>
        <v>5.2010158342223917E-2</v>
      </c>
      <c r="I20" s="382">
        <f>G20*H20</f>
        <v>15081.159328202588</v>
      </c>
      <c r="L20" s="670"/>
      <c r="N20" s="670"/>
      <c r="P20" s="690"/>
    </row>
    <row r="21" spans="1:16">
      <c r="A21" s="121">
        <v>6</v>
      </c>
      <c r="B21" s="1119"/>
      <c r="C21" s="382"/>
      <c r="D21" s="465"/>
      <c r="E21" s="382"/>
      <c r="F21" s="103"/>
      <c r="G21" s="382"/>
      <c r="H21" s="1008"/>
      <c r="I21" s="382"/>
      <c r="J21" s="103"/>
      <c r="L21" s="670"/>
      <c r="P21" s="690"/>
    </row>
    <row r="22" spans="1:16">
      <c r="A22" s="960">
        <v>7</v>
      </c>
      <c r="B22" s="1119" t="s">
        <v>78</v>
      </c>
      <c r="C22" s="1141">
        <f>'[25]012 IEXP Jan''17-Jun''17'!$BN$154*2</f>
        <v>81857.101821749951</v>
      </c>
      <c r="D22" s="1129">
        <f>Allocation!$I$15</f>
        <v>5.67090596975168E-2</v>
      </c>
      <c r="E22" s="1141">
        <f>C22*D22</f>
        <v>4642.0392738753289</v>
      </c>
      <c r="G22" s="1141">
        <f>C22</f>
        <v>81857.101821749951</v>
      </c>
      <c r="H22" s="1129">
        <f>Allocation!$E$15</f>
        <v>5.67090596975168E-2</v>
      </c>
      <c r="I22" s="1141">
        <f>G22*H22</f>
        <v>4642.0392738753289</v>
      </c>
      <c r="L22" s="670"/>
      <c r="N22" s="670"/>
    </row>
    <row r="23" spans="1:16">
      <c r="A23" s="960">
        <v>8</v>
      </c>
    </row>
    <row r="24" spans="1:16" ht="15.75" thickBot="1">
      <c r="A24" s="960">
        <v>9</v>
      </c>
      <c r="B24" s="80" t="s">
        <v>893</v>
      </c>
      <c r="C24" s="510">
        <f>SUM(C16:C22)</f>
        <v>436043.12101222936</v>
      </c>
      <c r="E24" s="510">
        <f>SUM(E16:E22)</f>
        <v>62528.087780013178</v>
      </c>
      <c r="G24" s="510">
        <f>SUM(G16:G22)</f>
        <v>436043.12101222936</v>
      </c>
      <c r="I24" s="510">
        <f>SUM(I16:I22)</f>
        <v>62528.087780013178</v>
      </c>
    </row>
    <row r="25" spans="1:16" ht="15.75" thickTop="1">
      <c r="C25" s="321"/>
      <c r="E25" s="321"/>
      <c r="G25" s="321"/>
      <c r="I25" s="321"/>
    </row>
    <row r="27" spans="1:16">
      <c r="A27" s="694" t="s">
        <v>1326</v>
      </c>
    </row>
    <row r="31" spans="1:16">
      <c r="B31" s="80" t="s">
        <v>890</v>
      </c>
    </row>
    <row r="32" spans="1:16">
      <c r="B32" s="80" t="s">
        <v>891</v>
      </c>
    </row>
    <row r="33" spans="2:2">
      <c r="B33" s="80" t="s">
        <v>892</v>
      </c>
    </row>
    <row r="34" spans="2:2">
      <c r="B34" s="80" t="s">
        <v>1239</v>
      </c>
    </row>
    <row r="39" spans="2:2">
      <c r="B39" s="670"/>
    </row>
  </sheetData>
  <mergeCells count="5">
    <mergeCell ref="A5:I5"/>
    <mergeCell ref="A1:I1"/>
    <mergeCell ref="A2:I2"/>
    <mergeCell ref="A3:I3"/>
    <mergeCell ref="A4:I4"/>
  </mergeCells>
  <phoneticPr fontId="22" type="noConversion"/>
  <pageMargins left="0.8" right="0.61" top="1.05" bottom="0.5" header="0.8" footer="0.5"/>
  <pageSetup scale="95" orientation="landscape" verticalDpi="300" r:id="rId1"/>
  <headerFooter alignWithMargins="0">
    <oddFooter>&amp;RSchedule &amp;A
Page &amp;P of 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6"/>
  <sheetViews>
    <sheetView view="pageBreakPreview" zoomScale="80" zoomScaleNormal="80" zoomScaleSheetLayoutView="80" workbookViewId="0">
      <selection activeCell="F45" sqref="F45"/>
    </sheetView>
  </sheetViews>
  <sheetFormatPr defaultRowHeight="15"/>
  <cols>
    <col min="1" max="1" width="5.88671875" customWidth="1"/>
    <col min="2" max="2" width="13.5546875" customWidth="1"/>
    <col min="3" max="3" width="10.88671875" customWidth="1"/>
    <col min="4" max="4" width="15.44140625" customWidth="1"/>
    <col min="5" max="5" width="7.21875" customWidth="1"/>
    <col min="6" max="6" width="8.88671875" customWidth="1"/>
    <col min="7" max="7" width="11.44140625" customWidth="1"/>
  </cols>
  <sheetData>
    <row r="1" spans="1:10" ht="15.75">
      <c r="A1" s="1196" t="str">
        <f>'Table of Contents'!A1:C1</f>
        <v>Atmos Energy Corporation, Kentucky/Mid-States Division</v>
      </c>
      <c r="B1" s="1196"/>
      <c r="C1" s="1196"/>
      <c r="D1" s="1196"/>
      <c r="E1" s="1196"/>
      <c r="F1" s="1196"/>
      <c r="G1" s="1196"/>
    </row>
    <row r="2" spans="1:10" ht="15.75">
      <c r="A2" s="1196" t="str">
        <f>'Table of Contents'!A2:C2</f>
        <v>Kentucky Jurisdiction Case No. 2017-00349</v>
      </c>
      <c r="B2" s="1196" t="s">
        <v>327</v>
      </c>
      <c r="C2" s="1196"/>
      <c r="D2" s="1196"/>
      <c r="E2" s="1196"/>
      <c r="F2" s="1196"/>
      <c r="G2" s="1196"/>
      <c r="H2" s="92"/>
    </row>
    <row r="3" spans="1:10" ht="15.75">
      <c r="A3" s="1196" t="s">
        <v>1278</v>
      </c>
      <c r="B3" s="1196"/>
      <c r="C3" s="1196"/>
      <c r="D3" s="1196"/>
      <c r="E3" s="1196"/>
      <c r="F3" s="1196"/>
      <c r="G3" s="1196"/>
      <c r="H3" s="92"/>
    </row>
    <row r="4" spans="1:10" ht="15.75">
      <c r="A4" s="1196"/>
      <c r="B4" s="1196"/>
      <c r="C4" s="1196"/>
      <c r="D4" s="1196"/>
      <c r="E4" s="1196"/>
      <c r="F4" s="1196"/>
      <c r="G4" s="1196"/>
      <c r="H4" s="92"/>
    </row>
    <row r="5" spans="1:10" ht="15.75">
      <c r="A5" s="1196"/>
      <c r="B5" s="1196"/>
      <c r="C5" s="1196"/>
      <c r="D5" s="1196"/>
      <c r="E5" s="1196"/>
      <c r="F5" s="1196"/>
      <c r="G5" s="1196"/>
      <c r="H5" s="92"/>
    </row>
    <row r="6" spans="1:10" ht="15.75">
      <c r="A6" s="92"/>
      <c r="B6" s="12"/>
      <c r="C6" s="12"/>
      <c r="D6" s="12"/>
      <c r="E6" s="12"/>
      <c r="F6" s="92"/>
      <c r="G6" s="92"/>
      <c r="H6" s="92"/>
    </row>
    <row r="7" spans="1:10" ht="15.75">
      <c r="A7" s="66" t="s">
        <v>137</v>
      </c>
      <c r="B7" s="92"/>
      <c r="C7" s="92"/>
      <c r="D7" s="92"/>
      <c r="E7" s="12"/>
      <c r="F7" s="92"/>
      <c r="G7" s="375" t="s">
        <v>1434</v>
      </c>
      <c r="H7" s="92"/>
    </row>
    <row r="8" spans="1:10" ht="15.75">
      <c r="A8" s="66" t="s">
        <v>1133</v>
      </c>
      <c r="B8" s="92"/>
      <c r="C8" s="92"/>
      <c r="D8" s="92"/>
      <c r="E8" s="12"/>
      <c r="F8" s="92"/>
      <c r="G8" s="559" t="s">
        <v>1277</v>
      </c>
      <c r="H8" s="92"/>
    </row>
    <row r="9" spans="1:10" ht="15.75">
      <c r="A9" s="66" t="s">
        <v>369</v>
      </c>
      <c r="B9" s="92"/>
      <c r="C9" s="92"/>
      <c r="D9" s="92"/>
      <c r="E9" s="661"/>
      <c r="F9" s="95"/>
      <c r="G9" s="605" t="str">
        <f>F.1!$F$9</f>
        <v>Witness: Waller</v>
      </c>
      <c r="H9" s="92"/>
    </row>
    <row r="10" spans="1:10">
      <c r="A10" s="119"/>
      <c r="B10" s="119"/>
      <c r="C10" s="119"/>
      <c r="D10" s="119"/>
    </row>
    <row r="11" spans="1:10">
      <c r="A11" s="100" t="s">
        <v>94</v>
      </c>
      <c r="B11" s="92"/>
      <c r="C11" s="92"/>
      <c r="D11" s="92"/>
      <c r="F11" s="669" t="s">
        <v>1288</v>
      </c>
    </row>
    <row r="12" spans="1:10">
      <c r="A12" s="101" t="s">
        <v>100</v>
      </c>
      <c r="B12" s="101" t="s">
        <v>993</v>
      </c>
      <c r="C12" s="101" t="s">
        <v>1280</v>
      </c>
      <c r="D12" s="101" t="s">
        <v>1281</v>
      </c>
      <c r="E12" s="101" t="s">
        <v>1282</v>
      </c>
      <c r="F12" s="58" t="s">
        <v>1287</v>
      </c>
      <c r="G12" s="58" t="s">
        <v>1283</v>
      </c>
      <c r="H12" s="92"/>
      <c r="I12" s="632"/>
    </row>
    <row r="13" spans="1:10">
      <c r="A13" s="92"/>
      <c r="B13" s="92"/>
      <c r="C13" s="92"/>
      <c r="D13" s="92"/>
      <c r="E13" s="92"/>
      <c r="F13" s="92"/>
      <c r="G13" s="92"/>
      <c r="H13" s="92"/>
    </row>
    <row r="14" spans="1:10" ht="15.75">
      <c r="A14" s="319" t="s">
        <v>1279</v>
      </c>
      <c r="C14" s="319"/>
      <c r="D14" s="319"/>
      <c r="E14" s="414"/>
      <c r="F14" s="414"/>
      <c r="G14" s="414"/>
      <c r="H14" s="414"/>
      <c r="J14" s="591"/>
    </row>
    <row r="15" spans="1:10">
      <c r="A15" s="100"/>
      <c r="B15" s="90"/>
      <c r="C15" s="90"/>
      <c r="D15" s="90"/>
      <c r="E15" s="583" t="s">
        <v>327</v>
      </c>
      <c r="F15" s="583" t="s">
        <v>327</v>
      </c>
      <c r="G15" s="90" t="s">
        <v>327</v>
      </c>
      <c r="H15" s="92"/>
    </row>
    <row r="16" spans="1:10" s="795" customFormat="1">
      <c r="A16" s="100">
        <v>1</v>
      </c>
      <c r="B16" s="90" t="s">
        <v>1609</v>
      </c>
      <c r="C16" s="90"/>
      <c r="D16" s="90"/>
      <c r="E16" s="583"/>
      <c r="F16" s="583"/>
      <c r="G16" s="90"/>
      <c r="H16" s="92"/>
    </row>
    <row r="17" spans="1:10">
      <c r="A17" s="100">
        <v>2</v>
      </c>
      <c r="E17" s="382"/>
      <c r="F17" s="80"/>
      <c r="G17" s="412"/>
      <c r="H17" s="92"/>
    </row>
    <row r="18" spans="1:10">
      <c r="A18" s="99">
        <v>3</v>
      </c>
      <c r="B18" s="400" t="s">
        <v>1285</v>
      </c>
      <c r="C18" s="400"/>
      <c r="D18" s="400"/>
      <c r="E18" s="382"/>
      <c r="G18" s="663">
        <v>0</v>
      </c>
      <c r="J18" s="591"/>
    </row>
    <row r="19" spans="1:10">
      <c r="A19" s="100">
        <v>4</v>
      </c>
      <c r="B19" s="400"/>
      <c r="C19" s="400"/>
      <c r="D19" s="529"/>
      <c r="E19" s="382"/>
      <c r="G19" s="412"/>
      <c r="H19" s="92"/>
    </row>
    <row r="20" spans="1:10">
      <c r="A20" s="100">
        <v>5</v>
      </c>
      <c r="B20" s="400" t="s">
        <v>1284</v>
      </c>
      <c r="C20" s="400"/>
      <c r="D20" s="529"/>
      <c r="E20" s="382"/>
      <c r="G20" s="662">
        <f>-G18</f>
        <v>0</v>
      </c>
      <c r="J20" s="591"/>
    </row>
    <row r="21" spans="1:10">
      <c r="A21" s="99"/>
      <c r="E21" s="382"/>
      <c r="F21" s="412"/>
      <c r="G21" s="410"/>
    </row>
    <row r="22" spans="1:10">
      <c r="A22" s="99"/>
      <c r="E22" s="382"/>
      <c r="F22" s="415"/>
      <c r="G22" s="410"/>
    </row>
    <row r="23" spans="1:10">
      <c r="E23" s="320"/>
      <c r="G23" s="320"/>
    </row>
    <row r="25" spans="1:10">
      <c r="A25" s="664" t="s">
        <v>530</v>
      </c>
    </row>
    <row r="27" spans="1:10">
      <c r="A27" s="694"/>
      <c r="B27" s="80"/>
      <c r="C27" s="80"/>
      <c r="D27" s="80"/>
      <c r="E27" s="80"/>
      <c r="F27" s="80"/>
      <c r="G27" s="80"/>
    </row>
    <row r="28" spans="1:10">
      <c r="A28" s="66"/>
    </row>
    <row r="29" spans="1:10">
      <c r="A29" s="66"/>
      <c r="B29" s="795"/>
      <c r="C29" s="795"/>
      <c r="D29" s="795"/>
      <c r="E29" s="795"/>
      <c r="F29" s="795"/>
      <c r="G29" s="795"/>
    </row>
    <row r="30" spans="1:10">
      <c r="A30" s="66"/>
      <c r="B30" s="795"/>
      <c r="C30" s="795"/>
      <c r="D30" s="795"/>
      <c r="E30" s="795"/>
      <c r="F30" s="795"/>
      <c r="G30" s="795"/>
    </row>
    <row r="31" spans="1:10">
      <c r="A31" s="66"/>
      <c r="B31" s="795"/>
      <c r="C31" s="795"/>
      <c r="D31" s="795"/>
      <c r="E31" s="795"/>
      <c r="F31" s="795"/>
      <c r="G31" s="795"/>
    </row>
    <row r="36" spans="2:4">
      <c r="B36" s="591"/>
      <c r="C36" s="591"/>
      <c r="D36" s="591"/>
    </row>
  </sheetData>
  <mergeCells count="5">
    <mergeCell ref="A1:G1"/>
    <mergeCell ref="A2:G2"/>
    <mergeCell ref="A3:G3"/>
    <mergeCell ref="A4:G4"/>
    <mergeCell ref="A5:G5"/>
  </mergeCells>
  <pageMargins left="0.95" right="0.72" top="1.05" bottom="0.5" header="0.8" footer="0.5"/>
  <pageSetup scale="99" orientation="portrait" verticalDpi="300" r:id="rId1"/>
  <headerFooter alignWithMargins="0">
    <oddFooter>&amp;RSchedule &amp;A
Page &amp;P of 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2"/>
  <sheetViews>
    <sheetView view="pageBreakPreview" zoomScale="80" zoomScaleNormal="90" zoomScaleSheetLayoutView="80" workbookViewId="0">
      <selection activeCell="I19" sqref="I19"/>
    </sheetView>
  </sheetViews>
  <sheetFormatPr defaultRowHeight="15"/>
  <cols>
    <col min="1" max="1" width="5.88671875" style="62" customWidth="1"/>
    <col min="2" max="2" width="7.109375" style="62" customWidth="1"/>
    <col min="3" max="3" width="31.109375" style="62" bestFit="1" customWidth="1"/>
    <col min="4" max="4" width="11.88671875" style="62" customWidth="1"/>
    <col min="5" max="5" width="10.6640625" style="62" customWidth="1"/>
    <col min="6" max="6" width="11.44140625" style="62" customWidth="1"/>
    <col min="7" max="16384" width="8.88671875" style="62"/>
  </cols>
  <sheetData>
    <row r="1" spans="1:9" ht="15.75">
      <c r="A1" s="1196" t="str">
        <f>'Table of Contents'!A1:C1</f>
        <v>Atmos Energy Corporation, Kentucky/Mid-States Division</v>
      </c>
      <c r="B1" s="1196"/>
      <c r="C1" s="1196"/>
      <c r="D1" s="1196"/>
      <c r="E1" s="1196"/>
      <c r="F1" s="1196"/>
    </row>
    <row r="2" spans="1:9" ht="15.75">
      <c r="A2" s="1196" t="str">
        <f>'Table of Contents'!A2:C2</f>
        <v>Kentucky Jurisdiction Case No. 2017-00349</v>
      </c>
      <c r="B2" s="1196" t="s">
        <v>327</v>
      </c>
      <c r="C2" s="1196"/>
      <c r="D2" s="1196"/>
      <c r="E2" s="1196"/>
      <c r="F2" s="1196"/>
    </row>
    <row r="3" spans="1:9" ht="15.75">
      <c r="A3" s="1196" t="s">
        <v>1391</v>
      </c>
      <c r="B3" s="1196"/>
      <c r="C3" s="1196"/>
      <c r="D3" s="1196"/>
      <c r="E3" s="1196"/>
      <c r="F3" s="1196"/>
    </row>
    <row r="4" spans="1:9" ht="15.75">
      <c r="A4" s="1196"/>
      <c r="B4" s="1196"/>
      <c r="C4" s="1196"/>
      <c r="D4" s="1196"/>
      <c r="E4" s="1196"/>
      <c r="F4" s="1196"/>
    </row>
    <row r="5" spans="1:9" ht="15.75">
      <c r="B5" s="102"/>
      <c r="C5" s="102"/>
      <c r="D5" s="102"/>
      <c r="E5" s="102"/>
    </row>
    <row r="6" spans="1:9" ht="15.75">
      <c r="A6" s="66" t="s">
        <v>137</v>
      </c>
      <c r="E6" s="102"/>
      <c r="F6" s="495" t="s">
        <v>1434</v>
      </c>
    </row>
    <row r="7" spans="1:9" ht="15.75">
      <c r="A7" s="66" t="s">
        <v>1133</v>
      </c>
      <c r="E7" s="102"/>
      <c r="F7" s="695" t="s">
        <v>1380</v>
      </c>
    </row>
    <row r="8" spans="1:9" ht="15.75">
      <c r="A8" s="66" t="s">
        <v>369</v>
      </c>
      <c r="E8" s="384"/>
      <c r="F8" s="1142" t="str">
        <f>F.1!$F$9</f>
        <v>Witness: Waller</v>
      </c>
    </row>
    <row r="9" spans="1:9">
      <c r="A9" s="1085"/>
      <c r="B9" s="1085"/>
      <c r="C9" s="1085"/>
      <c r="D9" s="1085"/>
    </row>
    <row r="10" spans="1:9">
      <c r="A10" s="94"/>
      <c r="B10" s="94"/>
      <c r="C10" s="94"/>
      <c r="D10" s="94"/>
    </row>
    <row r="11" spans="1:9">
      <c r="A11" s="240" t="s">
        <v>94</v>
      </c>
      <c r="E11" s="529" t="s">
        <v>633</v>
      </c>
      <c r="F11" s="529" t="s">
        <v>12</v>
      </c>
    </row>
    <row r="12" spans="1:9">
      <c r="A12" s="1089" t="s">
        <v>100</v>
      </c>
      <c r="B12" s="1089" t="s">
        <v>1381</v>
      </c>
      <c r="C12" s="1089" t="s">
        <v>1382</v>
      </c>
      <c r="D12" s="1089" t="s">
        <v>97</v>
      </c>
      <c r="E12" s="1089" t="s">
        <v>1010</v>
      </c>
      <c r="F12" s="1143" t="s">
        <v>1383</v>
      </c>
      <c r="H12" s="1144"/>
    </row>
    <row r="14" spans="1:9">
      <c r="A14" s="1145" t="s">
        <v>1384</v>
      </c>
      <c r="G14" s="96"/>
      <c r="H14" s="96"/>
      <c r="I14" s="96"/>
    </row>
    <row r="15" spans="1:9">
      <c r="A15" s="862">
        <v>1</v>
      </c>
      <c r="B15" s="529">
        <v>2</v>
      </c>
      <c r="C15" s="62" t="s">
        <v>1385</v>
      </c>
      <c r="D15" s="1146">
        <f>'[13]final summary'!$H$6</f>
        <v>9109979.6432678662</v>
      </c>
      <c r="E15" s="1147">
        <f>Allocation!I14</f>
        <v>5.2010158342223917E-2</v>
      </c>
      <c r="F15" s="1148">
        <f>D15*E15</f>
        <v>473811.48374079826</v>
      </c>
      <c r="G15" s="96"/>
      <c r="H15" s="96"/>
      <c r="I15" s="96"/>
    </row>
    <row r="16" spans="1:9">
      <c r="B16" s="529"/>
      <c r="G16" s="96"/>
      <c r="H16" s="96"/>
      <c r="I16" s="96"/>
    </row>
    <row r="17" spans="1:10">
      <c r="A17" s="862">
        <f>A15+1</f>
        <v>2</v>
      </c>
      <c r="B17" s="529">
        <v>12</v>
      </c>
      <c r="C17" s="62" t="s">
        <v>1385</v>
      </c>
      <c r="D17" s="1146">
        <f>'[13]final summary'!$H$10</f>
        <v>0</v>
      </c>
      <c r="E17" s="1147">
        <f>Allocation!I15</f>
        <v>5.67090596975168E-2</v>
      </c>
      <c r="F17" s="1148">
        <f>D17*E17</f>
        <v>0</v>
      </c>
      <c r="G17" s="96"/>
      <c r="H17" s="96"/>
      <c r="I17" s="96"/>
    </row>
    <row r="18" spans="1:10">
      <c r="A18" s="862"/>
      <c r="B18" s="529"/>
      <c r="G18" s="96"/>
      <c r="H18" s="96"/>
      <c r="I18" s="96"/>
    </row>
    <row r="19" spans="1:10">
      <c r="A19" s="862">
        <f>A17+1</f>
        <v>3</v>
      </c>
      <c r="B19" s="529">
        <v>91</v>
      </c>
      <c r="C19" s="62" t="s">
        <v>1385</v>
      </c>
      <c r="D19" s="1146">
        <f>'[13]final summary'!$H$14</f>
        <v>907961.47259042028</v>
      </c>
      <c r="E19" s="1147">
        <f>Allocation!H17</f>
        <v>0.5025136071712456</v>
      </c>
      <c r="F19" s="1148">
        <f>D19*E19</f>
        <v>456262.99476392812</v>
      </c>
      <c r="G19" s="96"/>
      <c r="H19" s="96"/>
      <c r="I19" s="96"/>
    </row>
    <row r="20" spans="1:10">
      <c r="A20" s="862"/>
      <c r="B20" s="529"/>
      <c r="G20" s="96"/>
      <c r="H20" s="96"/>
      <c r="I20" s="96"/>
      <c r="J20" s="62" t="s">
        <v>327</v>
      </c>
    </row>
    <row r="21" spans="1:10">
      <c r="A21" s="862">
        <f>A19+1</f>
        <v>4</v>
      </c>
      <c r="B21" s="529">
        <v>9</v>
      </c>
      <c r="C21" s="62" t="s">
        <v>1385</v>
      </c>
      <c r="D21" s="62">
        <v>0</v>
      </c>
      <c r="E21" s="1147">
        <v>1</v>
      </c>
      <c r="F21" s="1148">
        <f>D21*E21</f>
        <v>0</v>
      </c>
      <c r="G21" s="96"/>
      <c r="H21" s="96"/>
      <c r="I21" s="96"/>
    </row>
    <row r="22" spans="1:10">
      <c r="A22" s="862"/>
      <c r="G22" s="96"/>
      <c r="H22" s="96"/>
      <c r="I22" s="96"/>
    </row>
    <row r="23" spans="1:10">
      <c r="A23" s="862">
        <f>A21+1</f>
        <v>5</v>
      </c>
      <c r="C23" s="62" t="s">
        <v>1389</v>
      </c>
      <c r="F23" s="1149">
        <f>SUM(F15:F22)</f>
        <v>930074.47850472643</v>
      </c>
      <c r="G23" s="96"/>
      <c r="H23" s="96"/>
      <c r="I23" s="96"/>
    </row>
    <row r="24" spans="1:10">
      <c r="A24" s="862"/>
      <c r="F24" s="1146"/>
      <c r="G24" s="96"/>
      <c r="H24" s="96"/>
      <c r="I24" s="96"/>
    </row>
    <row r="25" spans="1:10">
      <c r="G25" s="96"/>
      <c r="H25" s="96"/>
      <c r="I25" s="96"/>
    </row>
    <row r="26" spans="1:10">
      <c r="A26" s="1145" t="s">
        <v>1386</v>
      </c>
      <c r="G26" s="96"/>
      <c r="H26" s="96"/>
      <c r="I26" s="96"/>
    </row>
    <row r="27" spans="1:10">
      <c r="A27" s="862">
        <f>A23+1</f>
        <v>6</v>
      </c>
      <c r="B27" s="529">
        <v>2</v>
      </c>
      <c r="C27" s="62" t="s">
        <v>1387</v>
      </c>
      <c r="D27" s="1146">
        <f>'[13]final summary'!$H$30</f>
        <v>3117259.3239864572</v>
      </c>
      <c r="E27" s="1150">
        <f>E15</f>
        <v>5.2010158342223917E-2</v>
      </c>
      <c r="F27" s="1148">
        <f>D27*E27</f>
        <v>162129.15103430953</v>
      </c>
      <c r="G27" s="96"/>
      <c r="H27" s="96"/>
      <c r="I27" s="96"/>
    </row>
    <row r="28" spans="1:10">
      <c r="A28" s="862">
        <f>A27+1</f>
        <v>7</v>
      </c>
      <c r="B28" s="529"/>
      <c r="C28" s="62" t="s">
        <v>1394</v>
      </c>
      <c r="D28" s="1146">
        <f>'[13]final summary'!$H$34</f>
        <v>3126816.3026072769</v>
      </c>
      <c r="E28" s="1147">
        <f>E27</f>
        <v>5.2010158342223917E-2</v>
      </c>
      <c r="F28" s="1148">
        <f>D28*E28</f>
        <v>162626.2110056516</v>
      </c>
      <c r="G28" s="96"/>
      <c r="H28" s="96"/>
      <c r="I28" s="96"/>
    </row>
    <row r="29" spans="1:10">
      <c r="A29" s="862"/>
      <c r="B29" s="529"/>
      <c r="G29" s="96"/>
      <c r="H29" s="96"/>
      <c r="I29" s="96"/>
    </row>
    <row r="30" spans="1:10">
      <c r="A30" s="862">
        <f>A28+1</f>
        <v>8</v>
      </c>
      <c r="B30" s="529">
        <v>12</v>
      </c>
      <c r="C30" s="62" t="s">
        <v>1387</v>
      </c>
      <c r="D30" s="1146">
        <f>'[13]final summary'!$H$38</f>
        <v>111593.77738320954</v>
      </c>
      <c r="E30" s="1147">
        <f>E17</f>
        <v>5.67090596975168E-2</v>
      </c>
      <c r="F30" s="1148">
        <f>D30*E30</f>
        <v>6328.3781834958299</v>
      </c>
      <c r="G30" s="96"/>
      <c r="H30" s="96"/>
      <c r="I30" s="96"/>
    </row>
    <row r="31" spans="1:10">
      <c r="A31" s="862">
        <f>A30+1</f>
        <v>9</v>
      </c>
      <c r="B31" s="529"/>
      <c r="C31" s="62" t="s">
        <v>1394</v>
      </c>
      <c r="D31" s="1146">
        <f>'[13]final summary'!$H$42</f>
        <v>167660.03635801276</v>
      </c>
      <c r="E31" s="1147">
        <f>E30</f>
        <v>5.67090596975168E-2</v>
      </c>
      <c r="F31" s="1148">
        <f>D31*E31</f>
        <v>9507.8430107143831</v>
      </c>
      <c r="G31" s="96"/>
      <c r="H31" s="96"/>
      <c r="I31" s="96"/>
    </row>
    <row r="32" spans="1:10">
      <c r="A32" s="96"/>
      <c r="B32" s="529"/>
      <c r="G32" s="96"/>
      <c r="H32" s="96"/>
      <c r="I32" s="96"/>
    </row>
    <row r="33" spans="1:9">
      <c r="A33" s="862">
        <f>A31+1</f>
        <v>10</v>
      </c>
      <c r="B33" s="529">
        <v>91</v>
      </c>
      <c r="C33" s="62" t="s">
        <v>1387</v>
      </c>
      <c r="D33" s="1146">
        <f>'[13]final summary'!$H$46</f>
        <v>117036.95499864614</v>
      </c>
      <c r="E33" s="1147">
        <f>E19</f>
        <v>0.5025136071712456</v>
      </c>
      <c r="F33" s="1148">
        <f>D33*E33</f>
        <v>58812.662428708412</v>
      </c>
      <c r="G33" s="96"/>
      <c r="H33" s="96"/>
      <c r="I33" s="96"/>
    </row>
    <row r="34" spans="1:9">
      <c r="A34" s="862">
        <f>A33+1</f>
        <v>11</v>
      </c>
      <c r="B34" s="529"/>
      <c r="C34" s="62" t="s">
        <v>1394</v>
      </c>
      <c r="D34" s="1146">
        <f>'[13]final summary'!$H$50</f>
        <v>61702.64463652666</v>
      </c>
      <c r="E34" s="1147">
        <f>E33</f>
        <v>0.5025136071712456</v>
      </c>
      <c r="F34" s="1148">
        <f>D34*E34</f>
        <v>31006.418528306524</v>
      </c>
      <c r="G34" s="96"/>
      <c r="H34" s="96"/>
      <c r="I34" s="96"/>
    </row>
    <row r="35" spans="1:9">
      <c r="A35" s="694"/>
      <c r="B35" s="529"/>
      <c r="G35" s="96"/>
      <c r="H35" s="96"/>
      <c r="I35" s="96"/>
    </row>
    <row r="36" spans="1:9">
      <c r="A36" s="862">
        <f>A34+1</f>
        <v>12</v>
      </c>
      <c r="B36" s="529">
        <v>9</v>
      </c>
      <c r="C36" s="62" t="s">
        <v>1387</v>
      </c>
      <c r="D36" s="1146">
        <f>'[13]final summary'!$H$54</f>
        <v>33784.828195493668</v>
      </c>
      <c r="E36" s="1147">
        <v>1</v>
      </c>
      <c r="F36" s="1148">
        <f>D36*E36</f>
        <v>33784.828195493668</v>
      </c>
      <c r="G36" s="96"/>
      <c r="H36" s="96"/>
      <c r="I36" s="96"/>
    </row>
    <row r="37" spans="1:9">
      <c r="A37" s="862">
        <f>A36+1</f>
        <v>13</v>
      </c>
      <c r="C37" s="62" t="s">
        <v>1394</v>
      </c>
      <c r="D37" s="1146">
        <f>'[13]final summary'!$H$58</f>
        <v>13682.990983192123</v>
      </c>
      <c r="E37" s="1147">
        <v>1</v>
      </c>
      <c r="F37" s="1148">
        <f>D37*E37</f>
        <v>13682.990983192123</v>
      </c>
      <c r="G37" s="96"/>
      <c r="H37" s="96"/>
      <c r="I37" s="96"/>
    </row>
    <row r="38" spans="1:9">
      <c r="A38" s="96"/>
      <c r="G38" s="96"/>
      <c r="H38" s="96"/>
      <c r="I38" s="96"/>
    </row>
    <row r="39" spans="1:9">
      <c r="A39" s="862">
        <f>A37+1</f>
        <v>14</v>
      </c>
      <c r="C39" s="62" t="s">
        <v>1388</v>
      </c>
      <c r="F39" s="1149">
        <f>SUM(F27:F37)</f>
        <v>477878.48336987209</v>
      </c>
      <c r="G39" s="96"/>
      <c r="H39" s="96"/>
      <c r="I39" s="96"/>
    </row>
    <row r="40" spans="1:9">
      <c r="A40" s="96"/>
      <c r="G40" s="96"/>
      <c r="H40" s="96"/>
      <c r="I40" s="96"/>
    </row>
    <row r="41" spans="1:9" ht="18" customHeight="1" thickBot="1">
      <c r="A41" s="862">
        <f>A39+1</f>
        <v>15</v>
      </c>
      <c r="C41" s="62" t="s">
        <v>1390</v>
      </c>
      <c r="F41" s="1151">
        <f>F23+F39</f>
        <v>1407952.9618745986</v>
      </c>
      <c r="G41" s="96"/>
      <c r="H41" s="96"/>
      <c r="I41" s="96"/>
    </row>
    <row r="42" spans="1:9" ht="15.75" thickTop="1">
      <c r="A42" s="96"/>
      <c r="B42" s="96"/>
      <c r="C42" s="96"/>
      <c r="D42" s="96"/>
      <c r="E42" s="96"/>
      <c r="F42" s="96"/>
      <c r="G42" s="96"/>
      <c r="H42" s="96"/>
      <c r="I42" s="96"/>
    </row>
  </sheetData>
  <mergeCells count="4">
    <mergeCell ref="A1:F1"/>
    <mergeCell ref="A2:F2"/>
    <mergeCell ref="A3:F3"/>
    <mergeCell ref="A4:F4"/>
  </mergeCells>
  <pageMargins left="0.95" right="0.82" top="1.05" bottom="0.5" header="0.8" footer="0.5"/>
  <pageSetup scale="92" orientation="portrait" verticalDpi="300" r:id="rId1"/>
  <headerFooter alignWithMargins="0">
    <oddFooter>&amp;RSchedule &amp;A
Page &amp;P of 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N70"/>
  <sheetViews>
    <sheetView view="pageBreakPreview" zoomScale="60" zoomScaleNormal="90" workbookViewId="0">
      <selection activeCell="O29" sqref="O29"/>
    </sheetView>
  </sheetViews>
  <sheetFormatPr defaultColWidth="8.44140625" defaultRowHeight="15"/>
  <cols>
    <col min="1" max="1" width="7.5546875" style="1" customWidth="1"/>
    <col min="2" max="2" width="33.77734375" style="1" customWidth="1"/>
    <col min="3" max="3" width="7.33203125" style="1" customWidth="1"/>
    <col min="4" max="4" width="14.44140625" style="1" customWidth="1"/>
    <col min="5" max="5" width="2.109375" style="1" customWidth="1"/>
    <col min="6" max="6" width="12.44140625" style="1" customWidth="1"/>
    <col min="7" max="7" width="2" style="1" customWidth="1"/>
    <col min="8" max="8" width="13.5546875" style="1" customWidth="1"/>
    <col min="9" max="9" width="2.6640625" style="1" customWidth="1"/>
    <col min="10" max="10" width="10.88671875" style="1" customWidth="1"/>
    <col min="11" max="11" width="3.33203125" style="1" customWidth="1"/>
    <col min="12" max="12" width="14.44140625" style="1" customWidth="1"/>
    <col min="13" max="13" width="18.6640625" style="1" customWidth="1"/>
    <col min="14" max="16" width="8.44140625" style="1"/>
    <col min="17" max="17" width="9.44140625" style="1" bestFit="1" customWidth="1"/>
    <col min="18" max="18" width="8.44140625" style="1"/>
    <col min="19" max="19" width="9.44140625" style="1" bestFit="1" customWidth="1"/>
    <col min="20" max="16384" width="8.44140625" style="1"/>
  </cols>
  <sheetData>
    <row r="1" spans="1:13">
      <c r="A1" s="172" t="str">
        <f>'Table of Contents'!A1:C1</f>
        <v>Atmos Energy Corporation, Kentucky/Mid-States Division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</row>
    <row r="2" spans="1:13">
      <c r="A2" s="172" t="str">
        <f>'Table of Contents'!A2:C2</f>
        <v>Kentucky Jurisdiction Case No. 2017-00349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</row>
    <row r="3" spans="1:13">
      <c r="A3" s="89" t="s">
        <v>516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</row>
    <row r="4" spans="1:13">
      <c r="A4" s="679" t="str">
        <f>'Table of Contents'!A3:C3</f>
        <v>Base Period: Twelve Months Ended December 31, 2017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</row>
    <row r="5" spans="1:13">
      <c r="A5" s="679" t="str">
        <f>'Table of Contents'!A4:C4</f>
        <v>Forecasted Test Period: Twelve Months Ended March 31, 2019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</row>
    <row r="6" spans="1:13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</row>
    <row r="7" spans="1:13">
      <c r="A7" s="90" t="s">
        <v>199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375" t="s">
        <v>1435</v>
      </c>
    </row>
    <row r="8" spans="1:13">
      <c r="A8" s="90" t="s">
        <v>1131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559" t="s">
        <v>848</v>
      </c>
    </row>
    <row r="9" spans="1:13">
      <c r="A9" s="91" t="s">
        <v>431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560" t="str">
        <f>F.1!$F$9</f>
        <v>Witness: Waller</v>
      </c>
    </row>
    <row r="10" spans="1:13" ht="15.75">
      <c r="A10" s="127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646"/>
    </row>
    <row r="11" spans="1:13">
      <c r="A11" s="92"/>
      <c r="B11" s="92"/>
      <c r="C11" s="92"/>
      <c r="D11" s="93"/>
      <c r="E11" s="93"/>
      <c r="F11" s="93"/>
      <c r="G11" s="93"/>
      <c r="H11" s="398"/>
      <c r="I11" s="93"/>
      <c r="J11" s="93"/>
      <c r="K11" s="93"/>
      <c r="L11" s="93"/>
    </row>
    <row r="12" spans="1:13">
      <c r="A12" s="92"/>
      <c r="B12" s="92"/>
      <c r="C12" s="92"/>
      <c r="D12" s="398" t="s">
        <v>97</v>
      </c>
      <c r="E12" s="93"/>
      <c r="F12" s="93"/>
      <c r="G12" s="93"/>
      <c r="H12" s="398" t="s">
        <v>528</v>
      </c>
      <c r="I12" s="93"/>
      <c r="J12" s="93"/>
      <c r="K12" s="93"/>
      <c r="L12" s="398" t="s">
        <v>329</v>
      </c>
    </row>
    <row r="13" spans="1:13">
      <c r="A13" s="100" t="s">
        <v>94</v>
      </c>
      <c r="B13" s="92"/>
      <c r="C13" s="645" t="s">
        <v>1250</v>
      </c>
      <c r="D13" s="398" t="s">
        <v>103</v>
      </c>
      <c r="E13" s="93"/>
      <c r="F13" s="93"/>
      <c r="G13" s="93"/>
      <c r="H13" s="398" t="s">
        <v>341</v>
      </c>
      <c r="I13" s="93"/>
      <c r="J13" s="93"/>
      <c r="K13" s="93"/>
      <c r="L13" s="398" t="s">
        <v>98</v>
      </c>
    </row>
    <row r="14" spans="1:13">
      <c r="A14" s="101" t="s">
        <v>100</v>
      </c>
      <c r="B14" s="101" t="s">
        <v>993</v>
      </c>
      <c r="C14" s="402" t="s">
        <v>1248</v>
      </c>
      <c r="D14" s="402" t="s">
        <v>994</v>
      </c>
      <c r="E14" s="95"/>
      <c r="F14" s="402" t="s">
        <v>341</v>
      </c>
      <c r="G14" s="95"/>
      <c r="H14" s="402" t="s">
        <v>994</v>
      </c>
      <c r="I14" s="95"/>
      <c r="J14" s="402" t="s">
        <v>995</v>
      </c>
      <c r="K14" s="95"/>
      <c r="L14" s="402" t="s">
        <v>1089</v>
      </c>
      <c r="M14" s="15"/>
    </row>
    <row r="15" spans="1:13">
      <c r="A15" s="92"/>
      <c r="B15" s="92"/>
      <c r="C15" s="92"/>
      <c r="D15" s="100"/>
      <c r="E15" s="92"/>
      <c r="F15" s="100"/>
      <c r="G15" s="92"/>
      <c r="H15" s="100"/>
      <c r="I15" s="90"/>
      <c r="J15" s="100"/>
      <c r="K15" s="90"/>
      <c r="L15" s="100"/>
    </row>
    <row r="16" spans="1:13">
      <c r="A16" s="100">
        <v>1</v>
      </c>
      <c r="B16" s="16" t="s">
        <v>856</v>
      </c>
      <c r="C16" s="16"/>
      <c r="D16" s="423"/>
      <c r="E16" s="92"/>
      <c r="F16" s="92"/>
      <c r="G16" s="92"/>
      <c r="H16" s="92"/>
      <c r="I16" s="92"/>
      <c r="J16" s="92"/>
      <c r="K16" s="92"/>
      <c r="L16" s="424"/>
    </row>
    <row r="17" spans="1:14">
      <c r="A17" s="100">
        <v>2</v>
      </c>
      <c r="B17" s="90" t="s">
        <v>398</v>
      </c>
      <c r="C17" s="90"/>
      <c r="D17" s="492">
        <f>G.2!M26</f>
        <v>12204317.516526738</v>
      </c>
      <c r="E17" s="92"/>
      <c r="F17" s="128" t="s">
        <v>148</v>
      </c>
      <c r="G17" s="92"/>
      <c r="H17" s="492">
        <f>+D17</f>
        <v>12204317.516526738</v>
      </c>
      <c r="I17" s="92"/>
      <c r="J17" s="492">
        <f>L17-H17</f>
        <v>452803.12338918447</v>
      </c>
      <c r="K17" s="92"/>
      <c r="L17" s="492">
        <f>G.2!O26</f>
        <v>12657120.639915923</v>
      </c>
    </row>
    <row r="18" spans="1:14">
      <c r="A18" s="100">
        <v>3</v>
      </c>
      <c r="B18" s="92"/>
      <c r="C18" s="92"/>
      <c r="D18" s="87"/>
      <c r="E18" s="92"/>
      <c r="F18" s="105"/>
      <c r="G18" s="92"/>
      <c r="H18" s="87"/>
      <c r="I18" s="92"/>
      <c r="J18" s="87"/>
      <c r="K18" s="92"/>
      <c r="L18" s="87"/>
      <c r="N18" s="591"/>
    </row>
    <row r="19" spans="1:14">
      <c r="A19" s="100">
        <v>4</v>
      </c>
      <c r="B19" s="16" t="s">
        <v>623</v>
      </c>
      <c r="C19" s="591"/>
      <c r="D19" s="87"/>
      <c r="E19" s="92"/>
      <c r="F19" s="105"/>
      <c r="G19" s="92"/>
      <c r="H19" s="87"/>
      <c r="I19" s="92"/>
      <c r="J19" s="87"/>
      <c r="K19" s="92"/>
      <c r="L19" s="87"/>
    </row>
    <row r="20" spans="1:14">
      <c r="A20" s="100">
        <v>5</v>
      </c>
      <c r="B20" s="90" t="s">
        <v>1249</v>
      </c>
      <c r="C20" s="717">
        <f>'[26]Budget FY17'!$K$77</f>
        <v>4.0896108491550703E-2</v>
      </c>
      <c r="D20" s="339">
        <f>D$17*C20</f>
        <v>499109.09322121012</v>
      </c>
      <c r="E20" s="180"/>
      <c r="F20" s="128" t="s">
        <v>148</v>
      </c>
      <c r="G20" s="92"/>
      <c r="H20" s="339">
        <f t="shared" ref="H20:H25" si="0">D20</f>
        <v>499109.09322121012</v>
      </c>
      <c r="I20" s="92"/>
      <c r="J20" s="339">
        <f t="shared" ref="J20:J25" si="1">L20-H20</f>
        <v>18517.885659437103</v>
      </c>
      <c r="K20" s="92"/>
      <c r="L20" s="339">
        <f>L$17*C20</f>
        <v>517626.97888064722</v>
      </c>
      <c r="N20" s="796"/>
    </row>
    <row r="21" spans="1:14">
      <c r="A21" s="100">
        <v>6</v>
      </c>
      <c r="B21" s="90" t="s">
        <v>1097</v>
      </c>
      <c r="C21" s="717">
        <f>'[26]Budget FY17'!$K$68</f>
        <v>5.0053147070198381E-2</v>
      </c>
      <c r="D21" s="86">
        <f>D$17*C21-41304</f>
        <v>569560.4995461111</v>
      </c>
      <c r="E21" s="180"/>
      <c r="F21" s="128" t="s">
        <v>148</v>
      </c>
      <c r="G21" s="92"/>
      <c r="H21" s="86">
        <f t="shared" si="0"/>
        <v>569560.4995461111</v>
      </c>
      <c r="I21" s="92"/>
      <c r="J21" s="86">
        <f t="shared" si="1"/>
        <v>-194655.77867115592</v>
      </c>
      <c r="K21" s="92"/>
      <c r="L21" s="86">
        <f>L$17*C21-258624</f>
        <v>374904.72087495518</v>
      </c>
      <c r="M21" s="591"/>
      <c r="N21" s="796"/>
    </row>
    <row r="22" spans="1:14">
      <c r="A22" s="100">
        <v>7</v>
      </c>
      <c r="B22" s="90" t="s">
        <v>614</v>
      </c>
      <c r="C22" s="717">
        <f>'[26]Budget FY17'!$K$76</f>
        <v>0.20103711248017939</v>
      </c>
      <c r="D22" s="86">
        <f>D$17*C22</f>
        <v>2453520.7533138096</v>
      </c>
      <c r="E22" s="426"/>
      <c r="F22" s="657" t="s">
        <v>148</v>
      </c>
      <c r="G22" s="103"/>
      <c r="H22" s="86">
        <f t="shared" si="0"/>
        <v>2453520.7533138096</v>
      </c>
      <c r="I22" s="103"/>
      <c r="J22" s="86">
        <f t="shared" si="1"/>
        <v>91030.232448167633</v>
      </c>
      <c r="K22" s="103"/>
      <c r="L22" s="86">
        <f>L$17*C22</f>
        <v>2544550.9857619773</v>
      </c>
    </row>
    <row r="23" spans="1:14">
      <c r="A23" s="100">
        <v>8</v>
      </c>
      <c r="B23" s="126" t="s">
        <v>840</v>
      </c>
      <c r="C23" s="717">
        <f>'[26]Budget FY17'!$K$78</f>
        <v>7.558385014074652E-2</v>
      </c>
      <c r="D23" s="86">
        <f>D$17*C23</f>
        <v>922449.30623924476</v>
      </c>
      <c r="E23" s="180"/>
      <c r="F23" s="128" t="s">
        <v>148</v>
      </c>
      <c r="G23" s="92"/>
      <c r="H23" s="86">
        <f t="shared" si="0"/>
        <v>922449.30623924476</v>
      </c>
      <c r="I23" s="92"/>
      <c r="J23" s="86">
        <f t="shared" si="1"/>
        <v>34224.603421510081</v>
      </c>
      <c r="K23" s="92"/>
      <c r="L23" s="86">
        <f>L$17*C23</f>
        <v>956673.90966075484</v>
      </c>
    </row>
    <row r="24" spans="1:14">
      <c r="A24" s="100">
        <v>9</v>
      </c>
      <c r="B24" s="90"/>
      <c r="C24" s="90"/>
      <c r="D24" s="125"/>
      <c r="E24" s="92"/>
      <c r="F24" s="128" t="s">
        <v>148</v>
      </c>
      <c r="G24" s="92"/>
      <c r="H24" s="125">
        <f t="shared" si="0"/>
        <v>0</v>
      </c>
      <c r="I24" s="92"/>
      <c r="J24" s="125">
        <f t="shared" si="1"/>
        <v>0</v>
      </c>
      <c r="K24" s="92"/>
      <c r="L24" s="125"/>
      <c r="N24" s="591"/>
    </row>
    <row r="25" spans="1:14">
      <c r="A25" s="100">
        <v>10</v>
      </c>
      <c r="B25" s="90" t="s">
        <v>615</v>
      </c>
      <c r="C25" s="90"/>
      <c r="D25" s="339">
        <f>G.2!M35</f>
        <v>4444639.6770484177</v>
      </c>
      <c r="E25" s="180"/>
      <c r="F25" s="105" t="s">
        <v>327</v>
      </c>
      <c r="G25" s="92"/>
      <c r="H25" s="339">
        <f t="shared" si="0"/>
        <v>4444639.6770484177</v>
      </c>
      <c r="I25" s="92"/>
      <c r="J25" s="339">
        <f t="shared" si="1"/>
        <v>-50882.585039107129</v>
      </c>
      <c r="K25" s="92"/>
      <c r="L25" s="339">
        <f>G.2!O35</f>
        <v>4393757.0920093106</v>
      </c>
    </row>
    <row r="26" spans="1:14">
      <c r="A26" s="100">
        <v>11</v>
      </c>
      <c r="B26" s="92"/>
      <c r="C26" s="92"/>
      <c r="D26" s="86"/>
      <c r="E26" s="92"/>
      <c r="F26" s="129" t="s">
        <v>327</v>
      </c>
      <c r="G26" s="92"/>
      <c r="H26" s="86" t="s">
        <v>327</v>
      </c>
      <c r="I26" s="92"/>
      <c r="J26" s="86"/>
      <c r="K26" s="92"/>
      <c r="L26" s="86"/>
    </row>
    <row r="27" spans="1:14">
      <c r="A27" s="100">
        <v>12</v>
      </c>
      <c r="B27" s="16" t="s">
        <v>805</v>
      </c>
      <c r="C27" s="16"/>
      <c r="D27" s="86"/>
      <c r="E27" s="92"/>
      <c r="F27" s="129" t="s">
        <v>327</v>
      </c>
      <c r="G27" s="92"/>
      <c r="H27" s="86" t="s">
        <v>327</v>
      </c>
      <c r="I27" s="92"/>
      <c r="J27" s="86"/>
      <c r="K27" s="92"/>
      <c r="L27" s="86" t="s">
        <v>687</v>
      </c>
    </row>
    <row r="28" spans="1:14">
      <c r="A28" s="100">
        <v>13</v>
      </c>
      <c r="B28" s="90" t="s">
        <v>544</v>
      </c>
      <c r="C28" s="90"/>
      <c r="D28" s="339">
        <f>G.2!$M$42*('C.2.3 B'!O12/G.2!$M$43)</f>
        <v>875680.53405200446</v>
      </c>
      <c r="E28" s="92"/>
      <c r="F28" s="128" t="s">
        <v>148</v>
      </c>
      <c r="G28" s="92"/>
      <c r="H28" s="568">
        <f>D28</f>
        <v>875680.53405200446</v>
      </c>
      <c r="I28" s="92"/>
      <c r="J28" s="339">
        <f>L28-H28</f>
        <v>62236.972061269102</v>
      </c>
      <c r="K28" s="92"/>
      <c r="L28" s="339">
        <f>G.2!$O$42*('C.2.3 F'!O13/G.2!$O$43)</f>
        <v>937917.50611327356</v>
      </c>
    </row>
    <row r="29" spans="1:14">
      <c r="A29" s="100">
        <v>14</v>
      </c>
      <c r="B29" s="90" t="s">
        <v>1112</v>
      </c>
      <c r="C29" s="90"/>
      <c r="D29" s="339">
        <f>G.2!$M$42*('C.2.3 B'!O13/G.2!$M$43)</f>
        <v>15729.559706758293</v>
      </c>
      <c r="E29" s="92"/>
      <c r="F29" s="128" t="s">
        <v>148</v>
      </c>
      <c r="G29" s="92"/>
      <c r="H29" s="175">
        <f>D29</f>
        <v>15729.559706758293</v>
      </c>
      <c r="I29" s="92"/>
      <c r="J29" s="86">
        <f>L29-H29</f>
        <v>1203.2234872247936</v>
      </c>
      <c r="K29" s="92"/>
      <c r="L29" s="339">
        <f>G.2!$O$42*('C.2.3 F'!O14/G.2!$O$43)</f>
        <v>16932.783193983087</v>
      </c>
    </row>
    <row r="30" spans="1:14">
      <c r="A30" s="100">
        <v>15</v>
      </c>
      <c r="B30" s="90" t="s">
        <v>688</v>
      </c>
      <c r="C30" s="90"/>
      <c r="D30" s="339">
        <f>G.2!$M$42*('C.2.3 B'!O14/G.2!$M$43)</f>
        <v>11537.915929784765</v>
      </c>
      <c r="E30" s="92"/>
      <c r="F30" s="128" t="s">
        <v>148</v>
      </c>
      <c r="G30" s="92"/>
      <c r="H30" s="175">
        <f>D30</f>
        <v>11537.915929784765</v>
      </c>
      <c r="I30" s="92"/>
      <c r="J30" s="86">
        <f>L30-H30</f>
        <v>864.02087833160476</v>
      </c>
      <c r="K30" s="92"/>
      <c r="L30" s="339">
        <f>G.2!$O$42*('C.2.3 F'!O15/G.2!$O$43)</f>
        <v>12401.93680811637</v>
      </c>
    </row>
    <row r="31" spans="1:14">
      <c r="A31" s="100">
        <v>16</v>
      </c>
      <c r="B31" s="90" t="s">
        <v>638</v>
      </c>
      <c r="C31" s="90"/>
      <c r="D31" s="569">
        <f>SUM(D28:D30)</f>
        <v>902948.00968854746</v>
      </c>
      <c r="E31" s="92"/>
      <c r="F31" s="105"/>
      <c r="G31" s="92"/>
      <c r="H31" s="569">
        <f>D31</f>
        <v>902948.00968854746</v>
      </c>
      <c r="I31" s="92"/>
      <c r="J31" s="569">
        <f>L31-H31</f>
        <v>64304.216426825617</v>
      </c>
      <c r="K31" s="92"/>
      <c r="L31" s="569">
        <f>SUM(L28:L30)</f>
        <v>967252.22611537308</v>
      </c>
    </row>
    <row r="32" spans="1:14">
      <c r="A32" s="100">
        <v>17</v>
      </c>
      <c r="B32" s="92"/>
      <c r="C32" s="92"/>
      <c r="D32" s="86"/>
      <c r="E32" s="92"/>
      <c r="F32" s="129" t="s">
        <v>327</v>
      </c>
      <c r="G32" s="92"/>
      <c r="H32" s="86" t="s">
        <v>327</v>
      </c>
      <c r="I32" s="92"/>
      <c r="J32" s="86"/>
      <c r="K32" s="92"/>
      <c r="L32" s="86" t="s">
        <v>327</v>
      </c>
    </row>
    <row r="33" spans="1:13" ht="15.75" thickBot="1">
      <c r="A33" s="100">
        <v>18</v>
      </c>
      <c r="B33" s="90" t="s">
        <v>857</v>
      </c>
      <c r="C33" s="90"/>
      <c r="D33" s="570">
        <f>D17+D25+D31</f>
        <v>17551905.203263704</v>
      </c>
      <c r="E33" s="92"/>
      <c r="F33" s="105"/>
      <c r="G33" s="92"/>
      <c r="H33" s="570">
        <f>D33</f>
        <v>17551905.203263704</v>
      </c>
      <c r="I33" s="92"/>
      <c r="J33" s="570">
        <f>J17+J25+J31</f>
        <v>466224.75477690296</v>
      </c>
      <c r="K33" s="92"/>
      <c r="L33" s="570">
        <f>H33+J33</f>
        <v>18018129.958040606</v>
      </c>
    </row>
    <row r="34" spans="1:13" ht="15.75" thickTop="1">
      <c r="A34" s="92"/>
      <c r="B34" s="92"/>
      <c r="C34" s="92"/>
      <c r="D34" s="86"/>
      <c r="E34" s="92"/>
      <c r="F34" s="106"/>
      <c r="G34" s="92"/>
      <c r="H34" s="106"/>
      <c r="I34" s="92"/>
      <c r="J34" s="106"/>
      <c r="K34" s="92"/>
      <c r="L34" s="86"/>
    </row>
    <row r="35" spans="1:13">
      <c r="A35" s="92"/>
      <c r="B35" s="92"/>
      <c r="C35" s="92"/>
      <c r="D35" s="108"/>
      <c r="E35" s="92"/>
      <c r="F35" s="92"/>
      <c r="G35" s="92"/>
      <c r="H35" s="92"/>
      <c r="I35" s="92"/>
      <c r="J35" s="106"/>
      <c r="K35" s="92"/>
      <c r="L35" s="86"/>
    </row>
    <row r="36" spans="1:13">
      <c r="A36" s="92"/>
      <c r="B36" s="92"/>
      <c r="C36" s="92"/>
      <c r="D36" s="106"/>
      <c r="E36" s="92"/>
      <c r="F36" s="92"/>
      <c r="G36" s="92"/>
      <c r="H36" s="92"/>
      <c r="I36" s="92"/>
      <c r="J36" s="106"/>
      <c r="K36" s="92"/>
      <c r="L36" s="106"/>
    </row>
    <row r="37" spans="1:13">
      <c r="A37" s="92"/>
      <c r="B37" s="92"/>
      <c r="C37" s="92"/>
      <c r="D37" s="106"/>
      <c r="E37" s="92"/>
      <c r="F37" s="92"/>
      <c r="G37" s="92"/>
      <c r="H37" s="92"/>
      <c r="I37" s="92"/>
      <c r="J37" s="106"/>
      <c r="K37" s="92"/>
      <c r="L37" s="106"/>
    </row>
    <row r="38" spans="1:13">
      <c r="A38" s="92"/>
      <c r="B38" s="92" t="s">
        <v>691</v>
      </c>
      <c r="C38" s="92"/>
      <c r="D38" s="92"/>
      <c r="E38" s="92"/>
      <c r="F38" s="591"/>
      <c r="G38" s="92"/>
      <c r="H38" s="92"/>
      <c r="I38" s="92"/>
      <c r="J38" s="92"/>
      <c r="K38" s="92"/>
      <c r="L38" s="92"/>
    </row>
    <row r="39" spans="1:13">
      <c r="A39" s="92" t="s">
        <v>327</v>
      </c>
      <c r="B39" s="658" t="s">
        <v>1663</v>
      </c>
      <c r="C39" s="92"/>
      <c r="D39" s="92"/>
      <c r="E39" s="92"/>
      <c r="F39" s="591"/>
      <c r="G39" s="92"/>
      <c r="H39" s="92"/>
      <c r="I39" s="92"/>
      <c r="J39" s="92"/>
      <c r="K39" s="92"/>
      <c r="L39" s="92"/>
    </row>
    <row r="40" spans="1:13">
      <c r="A40" s="92"/>
      <c r="B40" s="92"/>
      <c r="C40" s="92"/>
      <c r="D40" s="92"/>
      <c r="E40" s="92"/>
      <c r="F40" s="591"/>
      <c r="G40" s="92"/>
      <c r="H40" s="92"/>
      <c r="I40" s="92"/>
      <c r="J40" s="92"/>
      <c r="K40" s="92"/>
      <c r="L40" s="92"/>
    </row>
    <row r="41" spans="1:13">
      <c r="A41" s="92"/>
      <c r="B41" s="92"/>
      <c r="C41" s="92"/>
    </row>
    <row r="42" spans="1:13">
      <c r="A42" s="92"/>
      <c r="B42" s="92"/>
      <c r="D42" s="591"/>
      <c r="E42" s="591"/>
      <c r="F42" s="591"/>
      <c r="G42" s="591"/>
      <c r="H42" s="591"/>
      <c r="I42" s="591"/>
      <c r="J42" s="591"/>
      <c r="K42" s="591"/>
      <c r="L42" s="591"/>
      <c r="M42" s="591"/>
    </row>
    <row r="43" spans="1:13">
      <c r="A43" s="92"/>
      <c r="B43" s="92"/>
      <c r="D43" s="591"/>
      <c r="E43" s="591"/>
      <c r="F43" s="591"/>
      <c r="G43" s="591"/>
      <c r="H43" s="591"/>
      <c r="I43" s="591"/>
      <c r="J43" s="591"/>
      <c r="K43" s="591"/>
      <c r="L43" s="591"/>
      <c r="M43" s="591"/>
    </row>
    <row r="44" spans="1:13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</row>
    <row r="45" spans="1:13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</row>
    <row r="46" spans="1:13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</row>
    <row r="47" spans="1:13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</row>
    <row r="48" spans="1:13">
      <c r="A48"/>
      <c r="B48"/>
      <c r="C48"/>
      <c r="D48"/>
      <c r="E48"/>
      <c r="F48"/>
      <c r="G48"/>
      <c r="H48"/>
      <c r="I48"/>
      <c r="J48"/>
      <c r="K48"/>
      <c r="L48"/>
    </row>
    <row r="49" spans="1:12">
      <c r="A49"/>
      <c r="B49"/>
      <c r="C49"/>
      <c r="D49"/>
      <c r="E49"/>
      <c r="F49"/>
      <c r="G49"/>
      <c r="H49"/>
      <c r="I49"/>
      <c r="J49"/>
      <c r="K49"/>
      <c r="L49"/>
    </row>
    <row r="50" spans="1:12">
      <c r="A50"/>
      <c r="B50"/>
      <c r="C50"/>
      <c r="D50"/>
      <c r="E50"/>
      <c r="F50"/>
      <c r="G50"/>
      <c r="H50"/>
      <c r="I50"/>
      <c r="J50"/>
      <c r="K50"/>
      <c r="L50"/>
    </row>
    <row r="51" spans="1:12">
      <c r="A51"/>
      <c r="B51"/>
      <c r="C51"/>
      <c r="D51"/>
      <c r="E51"/>
      <c r="F51"/>
      <c r="G51"/>
      <c r="H51"/>
      <c r="I51"/>
      <c r="J51"/>
      <c r="K51"/>
      <c r="L51"/>
    </row>
    <row r="52" spans="1:12">
      <c r="A52"/>
      <c r="B52"/>
      <c r="C52"/>
      <c r="D52"/>
      <c r="E52"/>
      <c r="F52"/>
      <c r="G52"/>
      <c r="H52"/>
      <c r="I52"/>
      <c r="J52"/>
      <c r="K52"/>
      <c r="L52"/>
    </row>
    <row r="53" spans="1:12">
      <c r="A53"/>
      <c r="B53"/>
      <c r="C53"/>
      <c r="D53"/>
      <c r="E53"/>
      <c r="F53"/>
      <c r="G53"/>
      <c r="H53"/>
      <c r="I53"/>
      <c r="J53"/>
      <c r="K53"/>
      <c r="L53"/>
    </row>
    <row r="54" spans="1:12">
      <c r="A54"/>
      <c r="B54"/>
      <c r="C54"/>
      <c r="D54"/>
      <c r="E54"/>
      <c r="F54"/>
      <c r="G54"/>
      <c r="H54"/>
      <c r="I54"/>
      <c r="J54"/>
      <c r="K54"/>
      <c r="L54"/>
    </row>
    <row r="55" spans="1:12">
      <c r="A55"/>
      <c r="B55"/>
      <c r="C55"/>
      <c r="D55"/>
      <c r="E55"/>
      <c r="F55"/>
      <c r="G55"/>
      <c r="H55"/>
      <c r="I55"/>
      <c r="J55"/>
      <c r="K55"/>
      <c r="L55"/>
    </row>
    <row r="56" spans="1:12">
      <c r="A56"/>
      <c r="B56"/>
      <c r="C56"/>
      <c r="D56"/>
      <c r="E56"/>
      <c r="F56"/>
      <c r="G56"/>
      <c r="H56"/>
      <c r="I56"/>
      <c r="J56"/>
      <c r="K56"/>
      <c r="L56"/>
    </row>
    <row r="57" spans="1:12">
      <c r="A57"/>
      <c r="B57"/>
      <c r="C57"/>
      <c r="D57"/>
      <c r="E57"/>
      <c r="F57"/>
      <c r="G57"/>
      <c r="H57"/>
      <c r="I57"/>
      <c r="J57"/>
      <c r="K57"/>
      <c r="L57"/>
    </row>
    <row r="58" spans="1:12">
      <c r="A58"/>
      <c r="B58"/>
      <c r="C58"/>
      <c r="D58"/>
      <c r="E58"/>
      <c r="F58"/>
      <c r="G58"/>
      <c r="H58"/>
      <c r="I58"/>
      <c r="J58"/>
      <c r="K58"/>
      <c r="L58"/>
    </row>
    <row r="59" spans="1:12">
      <c r="A59"/>
      <c r="B59"/>
      <c r="C59"/>
      <c r="D59"/>
      <c r="E59"/>
      <c r="F59"/>
      <c r="G59"/>
      <c r="H59"/>
      <c r="I59"/>
      <c r="J59"/>
      <c r="K59"/>
      <c r="L59"/>
    </row>
    <row r="60" spans="1:12">
      <c r="A60"/>
      <c r="B60"/>
      <c r="C60"/>
      <c r="D60"/>
      <c r="E60"/>
      <c r="F60"/>
      <c r="G60"/>
      <c r="H60"/>
      <c r="I60"/>
      <c r="J60"/>
      <c r="K60"/>
      <c r="L60"/>
    </row>
    <row r="61" spans="1:12">
      <c r="A61"/>
      <c r="B61"/>
      <c r="C61"/>
      <c r="D61"/>
      <c r="E61"/>
      <c r="F61"/>
      <c r="G61"/>
      <c r="H61"/>
      <c r="I61"/>
      <c r="J61"/>
      <c r="K61"/>
      <c r="L61"/>
    </row>
    <row r="62" spans="1:12">
      <c r="A62"/>
      <c r="B62"/>
      <c r="C62"/>
      <c r="D62"/>
      <c r="E62"/>
      <c r="F62"/>
      <c r="G62"/>
      <c r="H62"/>
      <c r="I62"/>
      <c r="J62"/>
      <c r="K62"/>
      <c r="L62"/>
    </row>
    <row r="63" spans="1:12">
      <c r="A63"/>
      <c r="B63"/>
      <c r="C63"/>
      <c r="D63"/>
      <c r="E63"/>
      <c r="F63"/>
      <c r="G63"/>
      <c r="H63"/>
      <c r="I63"/>
      <c r="J63"/>
      <c r="K63"/>
      <c r="L63"/>
    </row>
    <row r="64" spans="1:12">
      <c r="A64"/>
      <c r="B64"/>
      <c r="C64"/>
      <c r="D64"/>
      <c r="E64"/>
      <c r="F64"/>
      <c r="G64"/>
      <c r="H64"/>
      <c r="I64"/>
      <c r="J64"/>
      <c r="K64"/>
      <c r="L64"/>
    </row>
    <row r="65" spans="1:12">
      <c r="A65"/>
      <c r="B65"/>
      <c r="C65"/>
      <c r="D65"/>
      <c r="E65"/>
      <c r="F65"/>
      <c r="G65"/>
      <c r="H65"/>
      <c r="I65"/>
      <c r="J65"/>
      <c r="K65"/>
      <c r="L65"/>
    </row>
    <row r="66" spans="1:12">
      <c r="A66"/>
      <c r="B66"/>
      <c r="C66"/>
      <c r="D66"/>
      <c r="E66"/>
      <c r="F66"/>
      <c r="G66"/>
      <c r="H66"/>
      <c r="I66"/>
      <c r="J66"/>
      <c r="K66"/>
      <c r="L66"/>
    </row>
    <row r="67" spans="1:12">
      <c r="A67"/>
      <c r="B67"/>
      <c r="C67"/>
      <c r="D67"/>
      <c r="E67"/>
      <c r="F67"/>
      <c r="G67"/>
      <c r="H67"/>
      <c r="I67"/>
      <c r="J67"/>
      <c r="K67"/>
      <c r="L67"/>
    </row>
    <row r="68" spans="1:12">
      <c r="A68"/>
      <c r="B68"/>
      <c r="C68"/>
      <c r="D68"/>
      <c r="E68"/>
      <c r="F68"/>
      <c r="G68"/>
      <c r="H68"/>
      <c r="I68"/>
      <c r="J68"/>
      <c r="K68"/>
      <c r="L68"/>
    </row>
    <row r="69" spans="1:12">
      <c r="A69"/>
      <c r="B69"/>
      <c r="C69"/>
      <c r="D69"/>
      <c r="E69"/>
      <c r="F69"/>
      <c r="G69"/>
      <c r="H69"/>
      <c r="I69"/>
      <c r="J69"/>
      <c r="K69"/>
      <c r="L69"/>
    </row>
    <row r="70" spans="1:12">
      <c r="A70"/>
      <c r="B70"/>
      <c r="C70"/>
      <c r="D70"/>
      <c r="E70"/>
      <c r="F70"/>
      <c r="G70"/>
      <c r="H70"/>
      <c r="I70"/>
      <c r="J70"/>
      <c r="K70"/>
      <c r="L70"/>
    </row>
  </sheetData>
  <phoneticPr fontId="22" type="noConversion"/>
  <pageMargins left="0.5" right="0.5" top="0.75" bottom="0.5" header="0.5" footer="0.5"/>
  <pageSetup scale="85" orientation="landscape" verticalDpi="300" r:id="rId1"/>
  <headerFooter alignWithMargins="0">
    <oddFooter>&amp;RSchedule &amp;A
Page &amp;P of &amp;N</oddFooter>
  </headerFooter>
  <ignoredErrors>
    <ignoredError sqref="D21 L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S99"/>
  <sheetViews>
    <sheetView view="pageBreakPreview" topLeftCell="A2" zoomScale="60" zoomScaleNormal="80" workbookViewId="0">
      <pane xSplit="2" ySplit="12" topLeftCell="C14" activePane="bottomRight" state="frozen"/>
      <selection activeCell="F45" sqref="F45"/>
      <selection pane="topRight" activeCell="F45" sqref="F45"/>
      <selection pane="bottomLeft" activeCell="F45" sqref="F45"/>
      <selection pane="bottomRight" activeCell="E24" sqref="E24"/>
    </sheetView>
  </sheetViews>
  <sheetFormatPr defaultColWidth="7.109375" defaultRowHeight="15"/>
  <cols>
    <col min="1" max="1" width="5.109375" style="103" customWidth="1"/>
    <col min="2" max="2" width="26.88671875" style="103" customWidth="1"/>
    <col min="3" max="15" width="11.33203125" style="103" customWidth="1"/>
    <col min="16" max="16" width="2.109375" style="103" customWidth="1"/>
    <col min="17" max="17" width="6.5546875" style="103" customWidth="1"/>
    <col min="18" max="18" width="7.109375" style="103"/>
    <col min="19" max="19" width="7.88671875" style="103" customWidth="1"/>
    <col min="20" max="21" width="10.44140625" style="103" bestFit="1" customWidth="1"/>
    <col min="22" max="16384" width="7.109375" style="103"/>
  </cols>
  <sheetData>
    <row r="1" spans="1:16">
      <c r="A1" s="297" t="str">
        <f>'Table of Contents'!A1:C1</f>
        <v>Atmos Energy Corporation, Kentucky/Mid-States Division</v>
      </c>
      <c r="B1" s="947"/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947"/>
      <c r="O1" s="947"/>
    </row>
    <row r="2" spans="1:16">
      <c r="A2" s="297" t="str">
        <f>'Table of Contents'!A2:C2</f>
        <v>Kentucky Jurisdiction Case No. 2017-00349</v>
      </c>
      <c r="B2" s="948"/>
      <c r="C2" s="947"/>
      <c r="D2" s="947"/>
      <c r="E2" s="947"/>
      <c r="F2" s="947"/>
      <c r="G2" s="947"/>
      <c r="H2" s="947"/>
      <c r="I2" s="947"/>
      <c r="J2" s="947"/>
      <c r="K2" s="297"/>
      <c r="L2" s="947"/>
      <c r="M2" s="947"/>
      <c r="N2" s="947"/>
      <c r="O2" s="947"/>
    </row>
    <row r="3" spans="1:16">
      <c r="A3" s="297" t="s">
        <v>1172</v>
      </c>
      <c r="B3" s="949"/>
      <c r="C3" s="947"/>
      <c r="D3" s="947"/>
      <c r="E3" s="947"/>
      <c r="F3" s="947"/>
      <c r="G3" s="947"/>
      <c r="H3" s="947"/>
      <c r="I3" s="947"/>
      <c r="J3" s="947"/>
      <c r="K3" s="947"/>
      <c r="L3" s="947"/>
      <c r="M3" s="947"/>
      <c r="N3" s="947"/>
      <c r="O3" s="947"/>
    </row>
    <row r="4" spans="1:16">
      <c r="A4" s="172" t="str">
        <f>'Table of Contents'!A3:C3</f>
        <v>Base Period: Twelve Months Ended December 31, 2017</v>
      </c>
      <c r="B4" s="297"/>
      <c r="C4" s="947"/>
      <c r="D4" s="947"/>
      <c r="E4" s="947"/>
      <c r="F4" s="947"/>
      <c r="G4" s="947"/>
      <c r="H4" s="947"/>
      <c r="I4" s="947"/>
      <c r="J4" s="947"/>
      <c r="K4" s="947"/>
      <c r="L4" s="947"/>
      <c r="M4" s="947"/>
      <c r="N4" s="947"/>
      <c r="O4" s="947"/>
    </row>
    <row r="5" spans="1:16">
      <c r="A5" s="172" t="str">
        <f>'Table of Contents'!A4:C4</f>
        <v>Forecasted Test Period: Twelve Months Ended March 31, 2019</v>
      </c>
      <c r="B5" s="297"/>
      <c r="C5" s="947"/>
      <c r="D5" s="947"/>
      <c r="E5" s="947"/>
      <c r="F5" s="947"/>
      <c r="G5" s="947"/>
      <c r="H5" s="947"/>
      <c r="I5" s="947"/>
      <c r="J5" s="947"/>
      <c r="K5" s="947"/>
      <c r="L5" s="947"/>
      <c r="M5" s="947"/>
      <c r="N5" s="947"/>
      <c r="O5" s="947"/>
    </row>
    <row r="6" spans="1:16">
      <c r="A6" s="172"/>
      <c r="B6" s="297"/>
      <c r="C6" s="947"/>
      <c r="D6" s="947"/>
      <c r="E6" s="947"/>
      <c r="F6" s="947"/>
      <c r="G6" s="947"/>
      <c r="H6" s="947"/>
      <c r="I6" s="947"/>
      <c r="J6" s="947"/>
      <c r="K6" s="947"/>
      <c r="L6" s="947"/>
      <c r="M6" s="947"/>
      <c r="N6" s="947"/>
      <c r="O6" s="947"/>
    </row>
    <row r="7" spans="1:16">
      <c r="A7" s="583" t="s">
        <v>686</v>
      </c>
      <c r="O7" s="954" t="s">
        <v>1435</v>
      </c>
    </row>
    <row r="8" spans="1:16">
      <c r="A8" s="583" t="s">
        <v>545</v>
      </c>
      <c r="O8" s="786" t="s">
        <v>849</v>
      </c>
    </row>
    <row r="9" spans="1:16">
      <c r="A9" s="955" t="s">
        <v>431</v>
      </c>
      <c r="B9" s="934"/>
      <c r="C9" s="934"/>
      <c r="D9" s="934"/>
      <c r="E9" s="934"/>
      <c r="F9" s="934"/>
      <c r="G9" s="934"/>
      <c r="H9" s="934"/>
      <c r="I9" s="934"/>
      <c r="J9" s="934"/>
      <c r="K9" s="934"/>
      <c r="L9" s="934"/>
      <c r="M9" s="934"/>
      <c r="N9" s="934"/>
      <c r="O9" s="956" t="str">
        <f>F.1!$F$9</f>
        <v>Witness: Waller</v>
      </c>
      <c r="P9" s="934"/>
    </row>
    <row r="10" spans="1:16">
      <c r="G10" s="950" t="s">
        <v>37</v>
      </c>
    </row>
    <row r="11" spans="1:16">
      <c r="A11" s="124" t="s">
        <v>94</v>
      </c>
      <c r="M11" s="121" t="s">
        <v>45</v>
      </c>
      <c r="O11" s="121" t="s">
        <v>44</v>
      </c>
    </row>
    <row r="12" spans="1:16">
      <c r="A12" s="951" t="s">
        <v>57</v>
      </c>
      <c r="B12" s="951" t="s">
        <v>993</v>
      </c>
      <c r="C12" s="957">
        <v>2012</v>
      </c>
      <c r="D12" s="648" t="s">
        <v>497</v>
      </c>
      <c r="E12" s="957">
        <v>2013</v>
      </c>
      <c r="F12" s="648" t="s">
        <v>497</v>
      </c>
      <c r="G12" s="957">
        <v>2014</v>
      </c>
      <c r="H12" s="648" t="s">
        <v>497</v>
      </c>
      <c r="I12" s="957">
        <v>2015</v>
      </c>
      <c r="J12" s="648" t="s">
        <v>497</v>
      </c>
      <c r="K12" s="957">
        <v>2016</v>
      </c>
      <c r="L12" s="648" t="s">
        <v>497</v>
      </c>
      <c r="M12" s="648" t="s">
        <v>543</v>
      </c>
      <c r="N12" s="648" t="s">
        <v>497</v>
      </c>
      <c r="O12" s="648" t="s">
        <v>543</v>
      </c>
      <c r="P12" s="934"/>
    </row>
    <row r="14" spans="1:16">
      <c r="A14" s="764">
        <f t="shared" ref="A14:A50" si="0">+A13+1</f>
        <v>1</v>
      </c>
    </row>
    <row r="15" spans="1:16">
      <c r="A15" s="764">
        <f t="shared" si="0"/>
        <v>2</v>
      </c>
      <c r="C15" s="124"/>
      <c r="E15" s="124"/>
      <c r="F15" s="124"/>
      <c r="G15" s="124"/>
      <c r="I15" s="124"/>
      <c r="K15" s="124"/>
      <c r="M15" s="124"/>
      <c r="O15" s="124"/>
    </row>
    <row r="16" spans="1:16">
      <c r="A16" s="764">
        <f t="shared" si="0"/>
        <v>3</v>
      </c>
      <c r="B16" s="952" t="s">
        <v>747</v>
      </c>
      <c r="C16" s="131"/>
      <c r="E16" s="131"/>
      <c r="F16" s="131"/>
      <c r="G16" s="131"/>
      <c r="I16" s="131"/>
      <c r="K16" s="131"/>
      <c r="M16" s="131"/>
      <c r="O16" s="131"/>
    </row>
    <row r="17" spans="1:19">
      <c r="A17" s="764">
        <f t="shared" si="0"/>
        <v>4</v>
      </c>
      <c r="B17" s="786" t="s">
        <v>796</v>
      </c>
      <c r="C17" s="131">
        <v>437473</v>
      </c>
      <c r="D17" s="576">
        <f>ROUND((E17-C17)/C17,4)</f>
        <v>-6.0900000000000003E-2</v>
      </c>
      <c r="E17" s="131">
        <v>410825.02</v>
      </c>
      <c r="F17" s="576">
        <f>ROUND((G17-E17)/E17,4)</f>
        <v>-1.6000000000000001E-3</v>
      </c>
      <c r="G17" s="131">
        <v>410170.87</v>
      </c>
      <c r="H17" s="576">
        <f>ROUND((I17-G17)/G17,4)</f>
        <v>-1.6000000000000001E-3</v>
      </c>
      <c r="I17" s="131">
        <v>409514.33200000058</v>
      </c>
      <c r="J17" s="576">
        <f>ROUND((O17-I17)/I17,4)</f>
        <v>0.10730000000000001</v>
      </c>
      <c r="K17" s="131">
        <v>417832.19999999827</v>
      </c>
      <c r="L17" s="576">
        <f>ROUND((M17-K17)/K17,4)</f>
        <v>8.5199999999999998E-2</v>
      </c>
      <c r="M17" s="131">
        <f>M49*52*40</f>
        <v>453440</v>
      </c>
      <c r="N17" s="576">
        <f>ROUND((O17-M17)/M17,4)</f>
        <v>0</v>
      </c>
      <c r="O17" s="131">
        <f>O49*52*40</f>
        <v>453440</v>
      </c>
    </row>
    <row r="18" spans="1:19">
      <c r="A18" s="764">
        <f t="shared" si="0"/>
        <v>5</v>
      </c>
      <c r="B18" s="786" t="s">
        <v>17</v>
      </c>
      <c r="C18" s="644">
        <v>18161</v>
      </c>
      <c r="D18" s="576">
        <f>ROUND((E18-C18)/C18,4)</f>
        <v>1.72E-2</v>
      </c>
      <c r="E18" s="644">
        <v>18473.259999999998</v>
      </c>
      <c r="F18" s="576">
        <f>ROUND((G18-E18)/E18,4)</f>
        <v>0.15010000000000001</v>
      </c>
      <c r="G18" s="644">
        <v>21245.75</v>
      </c>
      <c r="H18" s="576">
        <f>ROUND((I18-G18)/G18,4)</f>
        <v>6.6199999999999995E-2</v>
      </c>
      <c r="I18" s="644">
        <v>22652.999999999996</v>
      </c>
      <c r="J18" s="576">
        <f>ROUND((O18-I18)/I18,4)</f>
        <v>0.1328</v>
      </c>
      <c r="K18" s="644">
        <v>24168.75</v>
      </c>
      <c r="L18" s="576">
        <f>ROUND((M18-K18)/K18,4)</f>
        <v>6.1800000000000001E-2</v>
      </c>
      <c r="M18" s="644">
        <f>($I$18+$K$18)/($I$17+$K$17)*M17</f>
        <v>25661.380689754351</v>
      </c>
      <c r="N18" s="576">
        <f>ROUND((O18-M18)/M18,4)</f>
        <v>0</v>
      </c>
      <c r="O18" s="644">
        <f>($I$18+$K$18)/($I$17+$K$17)*O17</f>
        <v>25661.380689754351</v>
      </c>
    </row>
    <row r="19" spans="1:19">
      <c r="A19" s="764">
        <f t="shared" si="0"/>
        <v>6</v>
      </c>
      <c r="B19" s="786" t="s">
        <v>981</v>
      </c>
      <c r="C19" s="113">
        <f>(C17+C18)</f>
        <v>455634</v>
      </c>
      <c r="D19" s="576">
        <f>ROUND((E19-C19)/C19,4)</f>
        <v>-5.7799999999999997E-2</v>
      </c>
      <c r="E19" s="113">
        <f>(E17+E18)</f>
        <v>429298.28</v>
      </c>
      <c r="F19" s="576">
        <f>ROUND((G19-E19)/E19,4)</f>
        <v>4.8999999999999998E-3</v>
      </c>
      <c r="G19" s="113">
        <f>(G17+G18)</f>
        <v>431416.62</v>
      </c>
      <c r="H19" s="576">
        <f>ROUND((I19-G19)/G19,4)</f>
        <v>1.6999999999999999E-3</v>
      </c>
      <c r="I19" s="113">
        <f>(I17+I18)</f>
        <v>432167.33200000058</v>
      </c>
      <c r="J19" s="576">
        <f>ROUND((O19-I19)/I19,4)</f>
        <v>0.1086</v>
      </c>
      <c r="K19" s="113">
        <f>(K17+K18)</f>
        <v>442000.94999999827</v>
      </c>
      <c r="L19" s="576">
        <f>ROUND((M19-K19)/K19,4)</f>
        <v>8.3900000000000002E-2</v>
      </c>
      <c r="M19" s="113">
        <f>(M17+M18)</f>
        <v>479101.38068975433</v>
      </c>
      <c r="N19" s="576">
        <f>ROUND((O19-M19)/M19,4)</f>
        <v>0</v>
      </c>
      <c r="O19" s="113">
        <f>(O17+O18)</f>
        <v>479101.38068975433</v>
      </c>
    </row>
    <row r="20" spans="1:19">
      <c r="A20" s="764">
        <f t="shared" si="0"/>
        <v>7</v>
      </c>
      <c r="B20" s="786" t="s">
        <v>18</v>
      </c>
    </row>
    <row r="21" spans="1:19">
      <c r="A21" s="764">
        <f t="shared" si="0"/>
        <v>8</v>
      </c>
      <c r="B21" s="786" t="s">
        <v>61</v>
      </c>
      <c r="C21" s="132">
        <f>ROUND((C18/C17),5)</f>
        <v>4.1509999999999998E-2</v>
      </c>
      <c r="E21" s="132">
        <f>ROUND((E18/E17),5)</f>
        <v>4.4970000000000003E-2</v>
      </c>
      <c r="G21" s="132">
        <f>ROUND((G18/G17),5)</f>
        <v>5.1799999999999999E-2</v>
      </c>
      <c r="I21" s="132">
        <f>ROUND((I18/I17),5)</f>
        <v>5.5320000000000001E-2</v>
      </c>
      <c r="K21" s="132">
        <f>ROUND((K18/K17),5)</f>
        <v>5.7840000000000003E-2</v>
      </c>
      <c r="M21" s="132">
        <f>ROUND((M18/M17),5)</f>
        <v>5.6590000000000001E-2</v>
      </c>
      <c r="O21" s="132">
        <f>ROUND((O18/O17),5)</f>
        <v>5.6590000000000001E-2</v>
      </c>
    </row>
    <row r="22" spans="1:19">
      <c r="A22" s="764">
        <f t="shared" si="0"/>
        <v>9</v>
      </c>
      <c r="C22" s="131"/>
      <c r="E22" s="131"/>
      <c r="G22" s="131"/>
      <c r="I22" s="131"/>
      <c r="K22" s="131"/>
      <c r="M22" s="131"/>
      <c r="O22" s="131"/>
    </row>
    <row r="23" spans="1:19">
      <c r="A23" s="764">
        <f t="shared" si="0"/>
        <v>10</v>
      </c>
      <c r="B23" s="952" t="s">
        <v>748</v>
      </c>
      <c r="C23" s="131"/>
      <c r="E23" s="131"/>
      <c r="G23" s="131"/>
      <c r="I23" s="131"/>
      <c r="K23" s="131"/>
      <c r="M23" s="131"/>
      <c r="O23" s="131"/>
    </row>
    <row r="24" spans="1:19">
      <c r="A24" s="764">
        <f t="shared" si="0"/>
        <v>11</v>
      </c>
      <c r="B24" s="786" t="s">
        <v>749</v>
      </c>
      <c r="C24" s="131">
        <v>9862636</v>
      </c>
      <c r="D24" s="576">
        <f>ROUND((E24-C24)/C24,4)</f>
        <v>6.1100000000000002E-2</v>
      </c>
      <c r="E24" s="131">
        <v>10464861.35</v>
      </c>
      <c r="F24" s="576">
        <f>ROUND((G24-E24)/E24,4)</f>
        <v>1.29E-2</v>
      </c>
      <c r="G24" s="131">
        <v>10599619.02</v>
      </c>
      <c r="H24" s="576">
        <f>ROUND((I24-G24)/G24,4)</f>
        <v>3.5400000000000001E-2</v>
      </c>
      <c r="I24" s="131">
        <v>10974506.419999918</v>
      </c>
      <c r="J24" s="576">
        <f>ROUND((O24-I24)/I24,4)</f>
        <v>5.8900000000000001E-2</v>
      </c>
      <c r="K24" s="131">
        <v>11761378.790000012</v>
      </c>
      <c r="L24" s="576">
        <f>ROUND((M24-K24)/K24,4)</f>
        <v>-4.3099999999999999E-2</v>
      </c>
      <c r="M24" s="636">
        <f>M26-M25</f>
        <v>11254150.376277549</v>
      </c>
      <c r="N24" s="576">
        <f>ROUND((O24-M24)/M24,4)</f>
        <v>3.2599999999999997E-2</v>
      </c>
      <c r="O24" s="636">
        <f>O26-O25</f>
        <v>11620882.173126006</v>
      </c>
    </row>
    <row r="25" spans="1:19">
      <c r="A25" s="764">
        <f t="shared" si="0"/>
        <v>12</v>
      </c>
      <c r="B25" s="786" t="s">
        <v>19</v>
      </c>
      <c r="C25" s="644">
        <v>585480</v>
      </c>
      <c r="D25" s="576">
        <f>ROUND((E25-C25)/C25,4)</f>
        <v>0.12330000000000001</v>
      </c>
      <c r="E25" s="644">
        <v>657641.64</v>
      </c>
      <c r="F25" s="576">
        <f>ROUND((G25-E25)/E25,4)</f>
        <v>0.15989999999999999</v>
      </c>
      <c r="G25" s="644">
        <v>762823.65</v>
      </c>
      <c r="H25" s="576">
        <f>ROUND((I25-G25)/G25,4)</f>
        <v>9.9099999999999994E-2</v>
      </c>
      <c r="I25" s="644">
        <v>838414.80999999994</v>
      </c>
      <c r="J25" s="576">
        <f>ROUND((O25-I25)/I25,4)</f>
        <v>0.2359</v>
      </c>
      <c r="K25" s="644">
        <v>932823.32999999973</v>
      </c>
      <c r="L25" s="576">
        <f>ROUND((M25-K25)/K25,4)</f>
        <v>1.8599999999999998E-2</v>
      </c>
      <c r="M25" s="643">
        <f>AVERAGE(I28,K28)*M26</f>
        <v>950167.14024918934</v>
      </c>
      <c r="N25" s="576">
        <f>ROUND((O25-M25)/M25,4)</f>
        <v>9.06E-2</v>
      </c>
      <c r="O25" s="643">
        <f>AVERAGE(K28,M28)*O26</f>
        <v>1036238.4667899166</v>
      </c>
    </row>
    <row r="26" spans="1:19">
      <c r="A26" s="764">
        <f t="shared" si="0"/>
        <v>13</v>
      </c>
      <c r="B26" s="786" t="s">
        <v>794</v>
      </c>
      <c r="C26" s="113">
        <f>(C24+C25)</f>
        <v>10448116</v>
      </c>
      <c r="D26" s="576">
        <f>ROUND((E26-C26)/C26,4)</f>
        <v>6.4500000000000002E-2</v>
      </c>
      <c r="E26" s="113">
        <f>(E24+E25)</f>
        <v>11122502.99</v>
      </c>
      <c r="F26" s="576">
        <f>ROUND((G26-E26)/E26,4)</f>
        <v>2.1600000000000001E-2</v>
      </c>
      <c r="G26" s="113">
        <f>(G24+G25)</f>
        <v>11362442.67</v>
      </c>
      <c r="H26" s="576">
        <f>ROUND((I26-G26)/G26,4)</f>
        <v>3.9600000000000003E-2</v>
      </c>
      <c r="I26" s="113">
        <f>(I24+I25)</f>
        <v>11812921.229999918</v>
      </c>
      <c r="J26" s="576">
        <f>ROUND((O26-I26)/I26,4)</f>
        <v>7.1499999999999994E-2</v>
      </c>
      <c r="K26" s="113">
        <f>(K24+K25)</f>
        <v>12694202.120000012</v>
      </c>
      <c r="L26" s="576">
        <f>ROUND((M26-K26)/K26,4)</f>
        <v>-3.8600000000000002E-2</v>
      </c>
      <c r="M26" s="636">
        <f>M30/'[27]Div 9'!$B$35</f>
        <v>12204317.516526738</v>
      </c>
      <c r="N26" s="576">
        <f>ROUND((O26-M26)/M26,4)</f>
        <v>3.7100000000000001E-2</v>
      </c>
      <c r="O26" s="636">
        <f>O30/'[27]Div 9'!$B$43</f>
        <v>12657120.639915923</v>
      </c>
      <c r="R26" s="422"/>
      <c r="S26" s="422"/>
    </row>
    <row r="27" spans="1:19">
      <c r="A27" s="764">
        <f t="shared" si="0"/>
        <v>14</v>
      </c>
      <c r="B27" s="786" t="s">
        <v>20</v>
      </c>
    </row>
    <row r="28" spans="1:19">
      <c r="A28" s="764">
        <f t="shared" si="0"/>
        <v>15</v>
      </c>
      <c r="B28" s="786" t="s">
        <v>1048</v>
      </c>
      <c r="C28" s="132">
        <f>ROUND((C25/C24),5)</f>
        <v>5.9360000000000003E-2</v>
      </c>
      <c r="E28" s="132">
        <f>ROUND((E25/E24),5)</f>
        <v>6.2839999999999993E-2</v>
      </c>
      <c r="G28" s="132">
        <f>ROUND((G25/G24),5)</f>
        <v>7.1970000000000006E-2</v>
      </c>
      <c r="I28" s="132">
        <f>ROUND((I25/I24),5)</f>
        <v>7.6399999999999996E-2</v>
      </c>
      <c r="K28" s="132">
        <f>ROUND((K25/K24),5)</f>
        <v>7.9310000000000005E-2</v>
      </c>
      <c r="M28" s="132">
        <f>ROUND((M25/M24),5)</f>
        <v>8.4430000000000005E-2</v>
      </c>
      <c r="O28" s="132">
        <f>ROUND((O25/O24),5)</f>
        <v>8.9169999999999999E-2</v>
      </c>
    </row>
    <row r="29" spans="1:19">
      <c r="A29" s="764">
        <f t="shared" si="0"/>
        <v>16</v>
      </c>
      <c r="C29" s="131"/>
      <c r="E29" s="131"/>
      <c r="G29" s="131"/>
      <c r="I29" s="131"/>
      <c r="K29" s="131"/>
      <c r="M29" s="131"/>
      <c r="O29" s="131"/>
    </row>
    <row r="30" spans="1:19">
      <c r="A30" s="764">
        <f t="shared" si="0"/>
        <v>17</v>
      </c>
      <c r="B30" s="786" t="s">
        <v>62</v>
      </c>
      <c r="C30" s="131">
        <v>4728247</v>
      </c>
      <c r="D30" s="576">
        <f>ROUND((E30-C30)/C30,4)</f>
        <v>7.7399999999999997E-2</v>
      </c>
      <c r="E30" s="131">
        <v>5094063.0600000005</v>
      </c>
      <c r="F30" s="576">
        <f>ROUND((G30-E30)/E30,4)</f>
        <v>-1.84E-2</v>
      </c>
      <c r="G30" s="131">
        <v>5000231.1099999994</v>
      </c>
      <c r="H30" s="576">
        <f>ROUND((I30-G30)/G30,4)</f>
        <v>1.61E-2</v>
      </c>
      <c r="I30" s="131">
        <v>5080811.6300000008</v>
      </c>
      <c r="J30" s="576">
        <f>ROUND((O30-I30)/I30,4)</f>
        <v>-1.2800000000000001E-2</v>
      </c>
      <c r="K30" s="131">
        <v>5185743.3400000017</v>
      </c>
      <c r="L30" s="576">
        <f>ROUND((M30-K30)/K30,4)</f>
        <v>-3.8100000000000002E-2</v>
      </c>
      <c r="M30" s="131">
        <f>'[13]O&amp;M Comparison'!$C$6</f>
        <v>4988281.5248999996</v>
      </c>
      <c r="N30" s="576">
        <f>ROUND((O30-M30)/M30,4)</f>
        <v>5.4999999999999997E-3</v>
      </c>
      <c r="O30" s="131">
        <f>'[13]O&amp;M Comparison'!$D$6</f>
        <v>5015768.4274629997</v>
      </c>
    </row>
    <row r="31" spans="1:19">
      <c r="A31" s="764">
        <f t="shared" si="0"/>
        <v>18</v>
      </c>
      <c r="B31" s="786" t="s">
        <v>63</v>
      </c>
    </row>
    <row r="32" spans="1:19">
      <c r="A32" s="764">
        <f t="shared" si="0"/>
        <v>19</v>
      </c>
      <c r="B32" s="786" t="s">
        <v>622</v>
      </c>
      <c r="C32" s="132">
        <f>ROUND((C30/C26),5)</f>
        <v>0.45255000000000001</v>
      </c>
      <c r="E32" s="132">
        <f>ROUND((E30/E26),5)</f>
        <v>0.45800000000000002</v>
      </c>
      <c r="G32" s="132">
        <f>ROUND((G30/G26),5)</f>
        <v>0.44007000000000002</v>
      </c>
      <c r="I32" s="132">
        <f>ROUND((I30/I26),5)</f>
        <v>0.43010999999999999</v>
      </c>
      <c r="K32" s="132">
        <f>ROUND((K30/K26),5)</f>
        <v>0.40850999999999998</v>
      </c>
      <c r="M32" s="132">
        <f>ROUND((M30/M26),5)</f>
        <v>0.40872999999999998</v>
      </c>
      <c r="O32" s="132">
        <f>ROUND((O30/O26),5)</f>
        <v>0.39628000000000002</v>
      </c>
    </row>
    <row r="33" spans="1:16">
      <c r="A33" s="764">
        <f t="shared" si="0"/>
        <v>20</v>
      </c>
    </row>
    <row r="34" spans="1:16">
      <c r="A34" s="764">
        <f t="shared" si="0"/>
        <v>21</v>
      </c>
      <c r="B34" s="952" t="s">
        <v>623</v>
      </c>
      <c r="C34" s="131"/>
      <c r="E34" s="131"/>
      <c r="G34" s="131"/>
      <c r="I34" s="131"/>
      <c r="K34" s="131"/>
      <c r="M34" s="131"/>
      <c r="O34" s="131"/>
    </row>
    <row r="35" spans="1:16">
      <c r="A35" s="764">
        <f t="shared" si="0"/>
        <v>22</v>
      </c>
      <c r="B35" s="786" t="s">
        <v>742</v>
      </c>
      <c r="C35" s="108">
        <v>4453878</v>
      </c>
      <c r="D35" s="576">
        <f>ROUND((E35-C35)/C35,4)</f>
        <v>0.36120000000000002</v>
      </c>
      <c r="E35" s="108">
        <v>6062525.1250055488</v>
      </c>
      <c r="F35" s="576">
        <f>ROUND((G35-E35)/E35,4)</f>
        <v>1.4200000000000001E-2</v>
      </c>
      <c r="G35" s="108">
        <v>6148915.5516105723</v>
      </c>
      <c r="H35" s="576">
        <f>ROUND((I35-G35)/G35,4)</f>
        <v>-0.14269999999999999</v>
      </c>
      <c r="I35" s="108">
        <v>5271507.9448322468</v>
      </c>
      <c r="J35" s="576">
        <f>ROUND((O35-I35)/I35,4)</f>
        <v>-0.16650000000000001</v>
      </c>
      <c r="K35" s="108">
        <v>4546845.1048137397</v>
      </c>
      <c r="L35" s="576">
        <f>ROUND((M35-K35)/K35,4)</f>
        <v>-2.2499999999999999E-2</v>
      </c>
      <c r="M35" s="108">
        <f>M36/M32</f>
        <v>4444639.6770484177</v>
      </c>
      <c r="N35" s="576">
        <f>ROUND((O35-M35)/M35,4)</f>
        <v>-1.14E-2</v>
      </c>
      <c r="O35" s="108">
        <f>O36/O32</f>
        <v>4393757.0920093106</v>
      </c>
      <c r="P35" s="108"/>
    </row>
    <row r="36" spans="1:16">
      <c r="A36" s="764">
        <f t="shared" si="0"/>
        <v>23</v>
      </c>
      <c r="B36" s="786" t="s">
        <v>743</v>
      </c>
      <c r="C36" s="131">
        <v>2157841</v>
      </c>
      <c r="D36" s="576">
        <f>ROUND((E36-C36)/C36,4)</f>
        <v>0.3775</v>
      </c>
      <c r="E36" s="131">
        <v>2972341.1200000118</v>
      </c>
      <c r="F36" s="576">
        <f>ROUND((G36-E36)/E36,4)</f>
        <v>-5.5399999999999998E-2</v>
      </c>
      <c r="G36" s="131">
        <v>2807745.5500000049</v>
      </c>
      <c r="H36" s="576">
        <f>ROUND((I36-G36)/G36,4)</f>
        <v>-0.184</v>
      </c>
      <c r="I36" s="131">
        <v>2291156.16</v>
      </c>
      <c r="J36" s="576">
        <f>ROUND((O36-I36)/I36,4)</f>
        <v>-0.24010000000000001</v>
      </c>
      <c r="K36" s="131">
        <v>1929817.6199999994</v>
      </c>
      <c r="L36" s="576">
        <f>ROUND((M36-K36)/K36,4)</f>
        <v>-5.8599999999999999E-2</v>
      </c>
      <c r="M36" s="131">
        <f>'[13]O&amp;M Comparison'!$C$7</f>
        <v>1816657.5751999998</v>
      </c>
      <c r="N36" s="576">
        <f>ROUND((O36-M36)/M36,4)</f>
        <v>-4.1599999999999998E-2</v>
      </c>
      <c r="O36" s="131">
        <f>'[13]O&amp;M Comparison'!$D$7</f>
        <v>1741158.0604214496</v>
      </c>
      <c r="P36" s="108"/>
    </row>
    <row r="37" spans="1:16">
      <c r="A37" s="764">
        <f t="shared" si="0"/>
        <v>24</v>
      </c>
      <c r="B37" s="786" t="s">
        <v>802</v>
      </c>
    </row>
    <row r="38" spans="1:16">
      <c r="A38" s="764">
        <f t="shared" si="0"/>
        <v>25</v>
      </c>
      <c r="B38" s="583" t="s">
        <v>803</v>
      </c>
      <c r="C38" s="422"/>
      <c r="E38" s="422"/>
      <c r="G38" s="422"/>
      <c r="I38" s="422"/>
      <c r="K38" s="422"/>
    </row>
    <row r="39" spans="1:16">
      <c r="A39" s="764">
        <f t="shared" si="0"/>
        <v>26</v>
      </c>
      <c r="B39" s="786" t="s">
        <v>804</v>
      </c>
      <c r="C39" s="132">
        <f>ROUND((C36/C35),5)</f>
        <v>0.48448999999999998</v>
      </c>
      <c r="E39" s="132">
        <f>ROUND((E36/E35),5)</f>
        <v>0.49027999999999999</v>
      </c>
      <c r="G39" s="132">
        <f>ROUND((G36/G35),5)</f>
        <v>0.45662000000000003</v>
      </c>
      <c r="I39" s="132">
        <f>ROUND((I36/I35),5)</f>
        <v>0.43463000000000002</v>
      </c>
      <c r="K39" s="132">
        <f>ROUND((K36/K35),5)</f>
        <v>0.42442999999999997</v>
      </c>
      <c r="M39" s="132">
        <f>ROUND((M36/M35),5)</f>
        <v>0.40872999999999998</v>
      </c>
      <c r="O39" s="132">
        <f>ROUND((O36/O35),5)</f>
        <v>0.39628000000000002</v>
      </c>
    </row>
    <row r="40" spans="1:16">
      <c r="A40" s="764">
        <f t="shared" si="0"/>
        <v>27</v>
      </c>
    </row>
    <row r="41" spans="1:16">
      <c r="A41" s="764">
        <f t="shared" si="0"/>
        <v>28</v>
      </c>
      <c r="B41" s="619" t="s">
        <v>805</v>
      </c>
    </row>
    <row r="42" spans="1:16">
      <c r="A42" s="764">
        <f t="shared" si="0"/>
        <v>29</v>
      </c>
      <c r="B42" s="786" t="s">
        <v>638</v>
      </c>
      <c r="C42" s="108">
        <v>889257</v>
      </c>
      <c r="D42" s="576">
        <f>ROUND((E42-C42)/C42,4)</f>
        <v>-5.21E-2</v>
      </c>
      <c r="E42" s="108">
        <v>842967.71</v>
      </c>
      <c r="F42" s="576">
        <f>ROUND((G42-E42)/E42,4)</f>
        <v>0.3266</v>
      </c>
      <c r="G42" s="108">
        <v>1118267.5799999991</v>
      </c>
      <c r="H42" s="576">
        <f>ROUND((I42-G42)/G42,4)</f>
        <v>-0.1988</v>
      </c>
      <c r="I42" s="108">
        <v>895950.11999999988</v>
      </c>
      <c r="J42" s="576">
        <f>ROUND((O42-I42)/I42,4)</f>
        <v>7.9600000000000004E-2</v>
      </c>
      <c r="K42" s="108">
        <v>991045.14</v>
      </c>
      <c r="L42" s="576">
        <f>ROUND((M42-K42)/K42,4)</f>
        <v>-8.8900000000000007E-2</v>
      </c>
      <c r="M42" s="108">
        <f>M43/M32</f>
        <v>902948.00968854746</v>
      </c>
      <c r="N42" s="576">
        <f>ROUND((O42-M42)/M42,4)</f>
        <v>7.1199999999999999E-2</v>
      </c>
      <c r="O42" s="108">
        <f>O43/O32</f>
        <v>967252.22611537296</v>
      </c>
      <c r="P42" s="108"/>
    </row>
    <row r="43" spans="1:16">
      <c r="A43" s="764">
        <f t="shared" si="0"/>
        <v>30</v>
      </c>
      <c r="B43" s="786" t="s">
        <v>1113</v>
      </c>
      <c r="C43" s="131">
        <v>338313</v>
      </c>
      <c r="D43" s="576">
        <f>ROUND((E43-C43)/C43,4)</f>
        <v>-9.7000000000000003E-3</v>
      </c>
      <c r="E43" s="131">
        <v>335033.08</v>
      </c>
      <c r="F43" s="576">
        <f>ROUND((G43-E43)/E43,4)</f>
        <v>8.0000000000000004E-4</v>
      </c>
      <c r="G43" s="131">
        <v>335294.49000000005</v>
      </c>
      <c r="H43" s="576">
        <f>ROUND((I43-G43)/G43,4)</f>
        <v>4.1200000000000001E-2</v>
      </c>
      <c r="I43" s="131">
        <v>349096.97</v>
      </c>
      <c r="J43" s="576">
        <f>ROUND((O43-I43)/I43,4)</f>
        <v>9.8000000000000004E-2</v>
      </c>
      <c r="K43" s="131">
        <v>377117.52</v>
      </c>
      <c r="L43" s="576">
        <f>ROUND((M43-K43)/K43,4)</f>
        <v>-2.1399999999999999E-2</v>
      </c>
      <c r="M43" s="108">
        <f>SUM('C.2.3 B'!O12:O14)</f>
        <v>369061.94</v>
      </c>
      <c r="N43" s="576">
        <f>ROUND((O43-M43)/M43,4)</f>
        <v>3.8600000000000002E-2</v>
      </c>
      <c r="O43" s="108">
        <f>SUM('C.2.3 F'!O13:O15)</f>
        <v>383302.71216500003</v>
      </c>
      <c r="P43" s="108"/>
    </row>
    <row r="44" spans="1:16">
      <c r="A44" s="764">
        <f t="shared" si="0"/>
        <v>31</v>
      </c>
      <c r="B44" s="786" t="s">
        <v>635</v>
      </c>
    </row>
    <row r="45" spans="1:16">
      <c r="A45" s="764">
        <f t="shared" si="0"/>
        <v>32</v>
      </c>
      <c r="B45" s="786" t="s">
        <v>636</v>
      </c>
    </row>
    <row r="46" spans="1:16">
      <c r="A46" s="764">
        <f t="shared" si="0"/>
        <v>33</v>
      </c>
      <c r="B46" s="583" t="s">
        <v>640</v>
      </c>
      <c r="C46" s="132">
        <f>ROUND((C43/C42),5)</f>
        <v>0.38044</v>
      </c>
      <c r="E46" s="132">
        <f>ROUND((E43/E42),5)</f>
        <v>0.39744000000000002</v>
      </c>
      <c r="F46" s="132"/>
      <c r="G46" s="132">
        <f>ROUND((G43/G42),5)</f>
        <v>0.29982999999999999</v>
      </c>
      <c r="I46" s="132">
        <f>ROUND((I43/I42),5)</f>
        <v>0.38963999999999999</v>
      </c>
      <c r="K46" s="132">
        <f>ROUND((K43/K42),5)</f>
        <v>0.38052999999999998</v>
      </c>
      <c r="M46" s="132">
        <f>ROUND((M43/M42),5)</f>
        <v>0.40872999999999998</v>
      </c>
      <c r="O46" s="132">
        <f>ROUND((O43/O42),5)</f>
        <v>0.39628000000000002</v>
      </c>
    </row>
    <row r="47" spans="1:16">
      <c r="A47" s="764">
        <f t="shared" si="0"/>
        <v>34</v>
      </c>
    </row>
    <row r="48" spans="1:16">
      <c r="A48" s="764">
        <f t="shared" si="0"/>
        <v>35</v>
      </c>
      <c r="B48" s="952" t="s">
        <v>1168</v>
      </c>
    </row>
    <row r="49" spans="1:19">
      <c r="A49" s="764">
        <f t="shared" si="0"/>
        <v>36</v>
      </c>
      <c r="B49" s="786" t="s">
        <v>1169</v>
      </c>
      <c r="C49" s="103">
        <v>209</v>
      </c>
      <c r="D49" s="576">
        <f>ROUND((E49-C49)/C49,4)</f>
        <v>9.5999999999999992E-3</v>
      </c>
      <c r="E49" s="103">
        <v>211</v>
      </c>
      <c r="F49" s="133">
        <f>ROUND((G49-E49)/E49,4)</f>
        <v>1.9E-2</v>
      </c>
      <c r="G49" s="103">
        <v>215</v>
      </c>
      <c r="H49" s="576">
        <f>ROUND((I49-G49)/G49,4)</f>
        <v>-1.8599999999999998E-2</v>
      </c>
      <c r="I49" s="103">
        <v>211</v>
      </c>
      <c r="J49" s="576">
        <f>ROUND((K49-I49)/I49,4)</f>
        <v>1.9E-2</v>
      </c>
      <c r="K49" s="103">
        <v>215</v>
      </c>
      <c r="L49" s="576">
        <f>ROUND((M49-K49)/K49,4)</f>
        <v>1.4E-2</v>
      </c>
      <c r="M49" s="958">
        <f>M50</f>
        <v>218</v>
      </c>
      <c r="N49" s="576">
        <f>ROUND((O49-M49)/M49,4)</f>
        <v>0</v>
      </c>
      <c r="O49" s="958">
        <f>O50</f>
        <v>218</v>
      </c>
    </row>
    <row r="50" spans="1:19">
      <c r="A50" s="764">
        <f t="shared" si="0"/>
        <v>37</v>
      </c>
      <c r="B50" s="786" t="s">
        <v>1170</v>
      </c>
      <c r="C50" s="133">
        <v>209</v>
      </c>
      <c r="D50" s="576">
        <f>ROUND((E50-C50)/C50,4)</f>
        <v>1.9099999999999999E-2</v>
      </c>
      <c r="E50" s="133">
        <v>213</v>
      </c>
      <c r="F50" s="133">
        <f>ROUND((G50-E50)/E50,4)</f>
        <v>2.35E-2</v>
      </c>
      <c r="G50" s="133">
        <v>218</v>
      </c>
      <c r="H50" s="576">
        <f>ROUND((I50-G50)/G50,4)</f>
        <v>-2.29E-2</v>
      </c>
      <c r="I50" s="133">
        <v>213</v>
      </c>
      <c r="J50" s="576">
        <f>ROUND((K50-I50)/I50,4)</f>
        <v>2.35E-2</v>
      </c>
      <c r="K50" s="133">
        <v>218</v>
      </c>
      <c r="L50" s="576">
        <f>ROUND((M50-K50)/K50,4)</f>
        <v>0</v>
      </c>
      <c r="M50" s="958">
        <v>218</v>
      </c>
      <c r="N50" s="576">
        <f>ROUND((O50-M50)/M50,4)</f>
        <v>0</v>
      </c>
      <c r="O50" s="958">
        <v>218</v>
      </c>
    </row>
    <row r="52" spans="1:19">
      <c r="R52" s="108"/>
    </row>
    <row r="53" spans="1:19">
      <c r="R53" s="108"/>
    </row>
    <row r="54" spans="1:19">
      <c r="B54" s="658" t="s">
        <v>240</v>
      </c>
    </row>
    <row r="55" spans="1:19">
      <c r="B55" s="658" t="s">
        <v>1414</v>
      </c>
    </row>
    <row r="58" spans="1:19">
      <c r="B58" s="103" t="s">
        <v>1246</v>
      </c>
      <c r="R58" s="108"/>
      <c r="S58" s="108"/>
    </row>
    <row r="59" spans="1:19">
      <c r="B59" s="658" t="s">
        <v>1322</v>
      </c>
      <c r="R59" s="108"/>
      <c r="S59" s="108"/>
    </row>
    <row r="60" spans="1:19">
      <c r="B60" s="103" t="s">
        <v>1647</v>
      </c>
    </row>
    <row r="61" spans="1:19">
      <c r="B61" s="103" t="s">
        <v>1646</v>
      </c>
    </row>
    <row r="67" spans="1:15">
      <c r="A67" s="124"/>
    </row>
    <row r="68" spans="1:15">
      <c r="A68" s="124"/>
      <c r="B68" s="124"/>
      <c r="G68" s="953"/>
      <c r="I68" s="953"/>
      <c r="K68" s="953"/>
      <c r="M68" s="953"/>
      <c r="O68" s="953"/>
    </row>
    <row r="69" spans="1:15">
      <c r="G69" s="131"/>
    </row>
    <row r="70" spans="1:15">
      <c r="A70" s="124"/>
    </row>
    <row r="71" spans="1:15">
      <c r="A71" s="124"/>
    </row>
    <row r="95" spans="7:17">
      <c r="G95" s="131"/>
      <c r="I95" s="131"/>
      <c r="K95" s="131"/>
      <c r="M95" s="131"/>
      <c r="O95" s="131"/>
      <c r="Q95" s="131"/>
    </row>
    <row r="96" spans="7:17">
      <c r="G96" s="131"/>
      <c r="I96" s="131"/>
      <c r="K96" s="131"/>
      <c r="M96" s="131"/>
      <c r="O96" s="131"/>
      <c r="Q96" s="131"/>
    </row>
    <row r="97" spans="7:17">
      <c r="G97" s="131"/>
      <c r="I97" s="131"/>
      <c r="K97" s="131"/>
      <c r="M97" s="131"/>
      <c r="O97" s="131"/>
      <c r="Q97" s="131"/>
    </row>
    <row r="98" spans="7:17">
      <c r="G98" s="131"/>
      <c r="I98" s="131"/>
      <c r="K98" s="131"/>
      <c r="M98" s="131"/>
      <c r="O98" s="131"/>
      <c r="Q98" s="131"/>
    </row>
    <row r="99" spans="7:17">
      <c r="G99" s="131"/>
      <c r="I99" s="131"/>
      <c r="K99" s="131"/>
      <c r="M99" s="131"/>
      <c r="O99" s="131"/>
      <c r="Q99" s="131"/>
    </row>
  </sheetData>
  <phoneticPr fontId="22" type="noConversion"/>
  <pageMargins left="0.5" right="0.5" top="0.75" bottom="0.5" header="0.5" footer="0.5"/>
  <pageSetup scale="58" orientation="landscape" verticalDpi="300" r:id="rId1"/>
  <headerFooter alignWithMargins="0">
    <oddFooter>&amp;RSchedule &amp;A
Page &amp;P of 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Q66"/>
  <sheetViews>
    <sheetView view="pageBreakPreview" zoomScale="60" zoomScaleNormal="90" workbookViewId="0">
      <selection activeCell="F45" sqref="F45"/>
    </sheetView>
  </sheetViews>
  <sheetFormatPr defaultColWidth="8.44140625" defaultRowHeight="15"/>
  <cols>
    <col min="1" max="1" width="7.5546875" style="1" customWidth="1"/>
    <col min="2" max="2" width="3.33203125" style="1" customWidth="1"/>
    <col min="3" max="3" width="47.44140625" style="1" customWidth="1"/>
    <col min="4" max="4" width="3" style="1" customWidth="1"/>
    <col min="5" max="5" width="7.33203125" style="1" customWidth="1"/>
    <col min="6" max="7" width="9.88671875" style="1" customWidth="1"/>
    <col min="8" max="8" width="14.88671875" style="1" bestFit="1" customWidth="1"/>
    <col min="9" max="9" width="6" style="1" bestFit="1" customWidth="1"/>
    <col min="10" max="10" width="11.88671875" style="1" customWidth="1"/>
    <col min="11" max="11" width="3.77734375" style="1" customWidth="1"/>
    <col min="12" max="12" width="15.77734375" style="1" customWidth="1"/>
    <col min="13" max="14" width="9.33203125" style="1" customWidth="1"/>
    <col min="15" max="15" width="8.6640625" style="1" customWidth="1"/>
    <col min="16" max="16" width="8" style="1" customWidth="1"/>
    <col min="17" max="17" width="10.77734375" style="1" customWidth="1"/>
    <col min="18" max="18" width="10.21875" style="1" customWidth="1"/>
    <col min="19" max="16384" width="8.44140625" style="1"/>
  </cols>
  <sheetData>
    <row r="1" spans="1:16">
      <c r="A1" s="172" t="str">
        <f>'Table of Contents'!A1:C1</f>
        <v>Atmos Energy Corporation, Kentucky/Mid-States Division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/>
      <c r="P1"/>
    </row>
    <row r="2" spans="1:16">
      <c r="A2" s="172" t="str">
        <f>'Table of Contents'!A2:C2</f>
        <v>Kentucky Jurisdiction Case No. 2017-00349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/>
      <c r="P2"/>
    </row>
    <row r="3" spans="1:16">
      <c r="A3" s="89" t="s">
        <v>498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/>
      <c r="P3"/>
    </row>
    <row r="4" spans="1:16">
      <c r="A4" s="89" t="str">
        <f>'Table of Contents'!A3:C3</f>
        <v>Base Period: Twelve Months Ended December 31, 2017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/>
      <c r="P4"/>
    </row>
    <row r="5" spans="1:16">
      <c r="A5" s="89" t="str">
        <f>'Table of Contents'!A4:C4</f>
        <v>Forecasted Test Period: Twelve Months Ended March 31, 2019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/>
      <c r="P5"/>
    </row>
    <row r="6" spans="1:16">
      <c r="A6" s="174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/>
      <c r="P6"/>
    </row>
    <row r="7" spans="1:16">
      <c r="A7" s="90" t="s">
        <v>199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375" t="s">
        <v>1435</v>
      </c>
      <c r="M7" s="92"/>
      <c r="N7" s="92"/>
      <c r="O7"/>
      <c r="P7"/>
    </row>
    <row r="8" spans="1:16">
      <c r="A8" s="90" t="s">
        <v>1131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559" t="s">
        <v>631</v>
      </c>
      <c r="M8" s="92"/>
      <c r="N8" s="92"/>
      <c r="O8"/>
      <c r="P8"/>
    </row>
    <row r="9" spans="1:16">
      <c r="A9" s="91" t="s">
        <v>369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605" t="str">
        <f>F.1!$F$9</f>
        <v>Witness: Waller</v>
      </c>
      <c r="M9" s="93"/>
      <c r="N9" s="800"/>
      <c r="O9"/>
      <c r="P9"/>
    </row>
    <row r="10" spans="1:16" ht="15.75">
      <c r="A10" s="92"/>
      <c r="B10" s="92"/>
      <c r="C10" s="115"/>
      <c r="D10" s="92"/>
      <c r="E10" s="92"/>
      <c r="F10" s="92"/>
      <c r="G10" s="92"/>
      <c r="H10" s="92"/>
      <c r="I10" s="92"/>
      <c r="J10" s="92"/>
      <c r="K10" s="92"/>
      <c r="L10" s="92"/>
      <c r="M10" s="93"/>
      <c r="N10" s="93"/>
      <c r="O10"/>
      <c r="P10"/>
    </row>
    <row r="11" spans="1:16">
      <c r="A11" s="92"/>
      <c r="B11" s="92"/>
      <c r="C11" s="92"/>
      <c r="D11" s="92"/>
      <c r="E11" s="92"/>
      <c r="F11" s="92"/>
      <c r="G11" s="92"/>
      <c r="H11" s="398" t="s">
        <v>328</v>
      </c>
      <c r="I11" s="93"/>
      <c r="J11" s="93"/>
      <c r="K11" s="93"/>
      <c r="L11" s="398" t="s">
        <v>329</v>
      </c>
      <c r="M11" s="93"/>
      <c r="N11" s="93"/>
      <c r="O11"/>
      <c r="P11"/>
    </row>
    <row r="12" spans="1:16">
      <c r="A12" s="100" t="s">
        <v>94</v>
      </c>
      <c r="B12" s="92"/>
      <c r="C12" s="92"/>
      <c r="D12" s="645"/>
      <c r="E12" s="645" t="s">
        <v>1250</v>
      </c>
      <c r="F12" s="645"/>
      <c r="G12" s="645"/>
      <c r="H12" s="398" t="s">
        <v>103</v>
      </c>
      <c r="I12" s="93"/>
      <c r="J12" s="93"/>
      <c r="K12" s="93"/>
      <c r="L12" s="398" t="s">
        <v>103</v>
      </c>
      <c r="M12" s="92"/>
      <c r="N12" s="92"/>
      <c r="O12"/>
      <c r="P12"/>
    </row>
    <row r="13" spans="1:16">
      <c r="A13" s="101" t="s">
        <v>100</v>
      </c>
      <c r="B13" s="92"/>
      <c r="C13" s="101" t="s">
        <v>993</v>
      </c>
      <c r="D13" s="398"/>
      <c r="E13" s="402" t="s">
        <v>1248</v>
      </c>
      <c r="F13" s="398"/>
      <c r="G13" s="398"/>
      <c r="H13" s="101" t="s">
        <v>467</v>
      </c>
      <c r="I13" s="92"/>
      <c r="J13" s="101" t="s">
        <v>995</v>
      </c>
      <c r="K13" s="92"/>
      <c r="L13" s="101" t="s">
        <v>467</v>
      </c>
      <c r="M13" s="92"/>
      <c r="N13" s="92"/>
      <c r="O13"/>
      <c r="P13"/>
    </row>
    <row r="14" spans="1:16">
      <c r="A14" s="92"/>
      <c r="B14" s="92"/>
      <c r="C14" s="92"/>
      <c r="D14" s="92"/>
      <c r="E14" s="92"/>
      <c r="F14" s="92"/>
      <c r="G14" s="92"/>
      <c r="H14" s="100"/>
      <c r="I14" s="92"/>
      <c r="J14" s="100"/>
      <c r="K14" s="90"/>
      <c r="L14" s="100"/>
      <c r="M14" s="92"/>
      <c r="N14" s="92"/>
      <c r="O14"/>
      <c r="P14"/>
    </row>
    <row r="15" spans="1:16">
      <c r="A15" s="100" t="s">
        <v>370</v>
      </c>
      <c r="B15" s="92"/>
      <c r="C15" s="16" t="s">
        <v>1668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/>
      <c r="P15"/>
    </row>
    <row r="16" spans="1:16">
      <c r="A16" s="100">
        <f>A15+1</f>
        <v>2</v>
      </c>
      <c r="B16" s="92"/>
      <c r="C16" s="92"/>
      <c r="D16" s="92"/>
      <c r="E16" s="92"/>
      <c r="F16" s="92"/>
      <c r="G16" s="92"/>
      <c r="H16" s="103"/>
      <c r="I16" s="92"/>
      <c r="J16" s="92"/>
      <c r="K16" s="92"/>
      <c r="L16" s="103"/>
      <c r="M16" s="92"/>
      <c r="N16" s="92"/>
      <c r="O16"/>
      <c r="P16"/>
    </row>
    <row r="17" spans="1:17">
      <c r="A17" s="100">
        <f t="shared" ref="A17:A32" si="0">A16+1</f>
        <v>3</v>
      </c>
      <c r="B17" s="92"/>
      <c r="C17" s="16" t="s">
        <v>422</v>
      </c>
      <c r="D17" s="92"/>
      <c r="E17" s="92"/>
      <c r="F17" s="92"/>
      <c r="G17" s="92"/>
      <c r="H17" s="426"/>
      <c r="I17" s="92"/>
      <c r="J17" s="92"/>
      <c r="K17" s="92"/>
      <c r="L17" s="103"/>
      <c r="M17" s="92"/>
      <c r="N17" s="92"/>
      <c r="O17"/>
      <c r="P17"/>
    </row>
    <row r="18" spans="1:17">
      <c r="A18" s="100">
        <f t="shared" si="0"/>
        <v>4</v>
      </c>
      <c r="B18" s="92"/>
      <c r="C18" s="90" t="s">
        <v>1106</v>
      </c>
      <c r="D18" s="92"/>
      <c r="E18" s="92"/>
      <c r="F18" s="92"/>
      <c r="G18" s="92"/>
      <c r="H18" s="571">
        <f>[28]G.3!$G$20</f>
        <v>2988233.1100000003</v>
      </c>
      <c r="I18" s="103"/>
      <c r="J18" s="571">
        <f>L18-H18</f>
        <v>119529.32440000027</v>
      </c>
      <c r="K18" s="103"/>
      <c r="L18" s="571">
        <f>H18*1.04</f>
        <v>3107762.4344000006</v>
      </c>
      <c r="M18" s="55"/>
      <c r="N18" s="55"/>
      <c r="O18"/>
      <c r="P18" s="591"/>
      <c r="Q18" s="591"/>
    </row>
    <row r="19" spans="1:17">
      <c r="A19" s="100">
        <f t="shared" si="0"/>
        <v>5</v>
      </c>
      <c r="B19" s="92"/>
      <c r="C19" s="90" t="s">
        <v>1107</v>
      </c>
      <c r="D19" s="92"/>
      <c r="E19" s="92"/>
      <c r="F19" s="92"/>
      <c r="G19" s="92"/>
      <c r="H19" s="108">
        <f>[28]G.3!$G$21</f>
        <v>7179963.5133100003</v>
      </c>
      <c r="I19" s="103"/>
      <c r="J19" s="109">
        <f>L19-H19</f>
        <v>287198.5405323999</v>
      </c>
      <c r="K19" s="103"/>
      <c r="L19" s="571">
        <f>H19*1.04</f>
        <v>7467162.0538424002</v>
      </c>
      <c r="M19" s="90"/>
      <c r="N19" s="90"/>
      <c r="O19"/>
      <c r="P19" s="642"/>
      <c r="Q19" s="642"/>
    </row>
    <row r="20" spans="1:17">
      <c r="A20" s="100">
        <f t="shared" si="0"/>
        <v>6</v>
      </c>
      <c r="B20" s="92"/>
      <c r="C20" s="90" t="s">
        <v>1108</v>
      </c>
      <c r="D20" s="92"/>
      <c r="E20" s="92"/>
      <c r="F20" s="92"/>
      <c r="G20" s="92"/>
      <c r="H20" s="701">
        <f>SUM(H18:H19)</f>
        <v>10168196.62331</v>
      </c>
      <c r="I20" s="103"/>
      <c r="J20" s="571">
        <f>SUM(J18:J19)</f>
        <v>406727.86493240017</v>
      </c>
      <c r="K20" s="103"/>
      <c r="L20" s="701">
        <f>SUM(L18:L19)</f>
        <v>10574924.488242401</v>
      </c>
      <c r="M20" s="92"/>
      <c r="O20"/>
      <c r="P20" s="642"/>
      <c r="Q20" s="642"/>
    </row>
    <row r="21" spans="1:17">
      <c r="A21" s="100">
        <f t="shared" si="0"/>
        <v>7</v>
      </c>
      <c r="B21" s="92"/>
      <c r="C21" s="92"/>
      <c r="D21" s="92"/>
      <c r="E21" s="92"/>
      <c r="F21" s="92"/>
      <c r="G21" s="92"/>
      <c r="H21" s="108"/>
      <c r="I21" s="103"/>
      <c r="J21" s="108"/>
      <c r="K21" s="103"/>
      <c r="L21" s="108"/>
      <c r="M21" s="92"/>
      <c r="O21"/>
      <c r="P21" s="642"/>
      <c r="Q21" s="642"/>
    </row>
    <row r="22" spans="1:17">
      <c r="A22" s="100">
        <f t="shared" si="0"/>
        <v>8</v>
      </c>
      <c r="B22" s="92"/>
      <c r="C22" s="16" t="s">
        <v>623</v>
      </c>
      <c r="D22" s="591"/>
      <c r="E22" s="92" t="str">
        <f>[28]G.3!$D$24</f>
        <v>FY16</v>
      </c>
      <c r="F22" s="92" t="str">
        <f>[28]G.3!$E$24</f>
        <v>FY17</v>
      </c>
      <c r="G22" s="92" t="str">
        <f>[28]G.3!$F$24</f>
        <v>Wtd Avg</v>
      </c>
      <c r="H22" s="103"/>
      <c r="I22" s="103"/>
      <c r="J22" s="103"/>
      <c r="K22" s="103"/>
      <c r="L22" s="103"/>
      <c r="M22" s="92"/>
    </row>
    <row r="23" spans="1:17">
      <c r="A23" s="100">
        <f t="shared" si="0"/>
        <v>9</v>
      </c>
      <c r="B23" s="92"/>
      <c r="C23" s="90" t="s">
        <v>1109</v>
      </c>
      <c r="D23" s="642"/>
      <c r="E23" s="55">
        <f>[28]G.3!$D$25</f>
        <v>7.3999999999999996E-2</v>
      </c>
      <c r="F23" s="55">
        <f>[28]G.3!$E$25</f>
        <v>0.06</v>
      </c>
      <c r="G23" s="55">
        <f>[28]G.3!$F$25</f>
        <v>6.3500000000000001E-2</v>
      </c>
      <c r="H23" s="571">
        <f>H$18*G23</f>
        <v>189752.80248500002</v>
      </c>
      <c r="I23" s="103"/>
      <c r="J23" s="571">
        <f>L23-H23</f>
        <v>7590.112099400023</v>
      </c>
      <c r="K23" s="103"/>
      <c r="L23" s="571">
        <f>L$18*G23</f>
        <v>197342.91458440004</v>
      </c>
      <c r="M23" s="92"/>
      <c r="P23" s="642"/>
      <c r="Q23" s="642"/>
    </row>
    <row r="24" spans="1:17">
      <c r="A24" s="100">
        <f t="shared" si="0"/>
        <v>10</v>
      </c>
      <c r="B24" s="92"/>
      <c r="C24" s="90" t="s">
        <v>1648</v>
      </c>
      <c r="D24" s="642"/>
      <c r="E24" s="55"/>
      <c r="F24" s="55"/>
      <c r="G24" s="55"/>
      <c r="H24" s="571">
        <f>[28]G.3!$G$26</f>
        <v>4157744.0100000002</v>
      </c>
      <c r="I24" s="103"/>
      <c r="J24" s="683">
        <f>L24-H24</f>
        <v>166309.76040000049</v>
      </c>
      <c r="K24" s="103"/>
      <c r="L24" s="571">
        <f>H24*1.04</f>
        <v>4324053.7704000007</v>
      </c>
      <c r="M24" s="92"/>
      <c r="P24" s="642"/>
      <c r="Q24" s="642"/>
    </row>
    <row r="25" spans="1:17">
      <c r="A25" s="100">
        <f t="shared" si="0"/>
        <v>11</v>
      </c>
      <c r="B25" s="92"/>
      <c r="C25" s="90" t="s">
        <v>1110</v>
      </c>
      <c r="D25" s="642"/>
      <c r="E25" s="55">
        <f>[28]G.3!$D$27</f>
        <v>0.27700000000000002</v>
      </c>
      <c r="F25" s="55">
        <f>[28]G.3!$E$27</f>
        <v>0.27999999999999997</v>
      </c>
      <c r="G25" s="55">
        <f>[28]G.3!$F$27</f>
        <v>0.27925</v>
      </c>
      <c r="H25" s="109">
        <f>H$18*G25</f>
        <v>834464.09596750012</v>
      </c>
      <c r="I25" s="103"/>
      <c r="J25" s="109">
        <f>L25-H25</f>
        <v>33378.563838700065</v>
      </c>
      <c r="K25" s="103"/>
      <c r="L25" s="109">
        <f>L$18*G25</f>
        <v>867842.65980620019</v>
      </c>
      <c r="M25" s="92"/>
      <c r="P25" s="642"/>
    </row>
    <row r="26" spans="1:17">
      <c r="A26" s="100">
        <f t="shared" si="0"/>
        <v>12</v>
      </c>
      <c r="B26" s="92"/>
      <c r="C26" s="90" t="s">
        <v>1111</v>
      </c>
      <c r="D26" s="92"/>
      <c r="E26" s="92"/>
      <c r="F26" s="92"/>
      <c r="G26" s="92"/>
      <c r="H26" s="571">
        <f>SUM(H23:H25)</f>
        <v>5181960.9084525006</v>
      </c>
      <c r="I26" s="103"/>
      <c r="J26" s="571">
        <f>SUM(J23:J25)</f>
        <v>207278.43633810058</v>
      </c>
      <c r="K26" s="103"/>
      <c r="L26" s="571">
        <f>SUM(L23:L25)</f>
        <v>5389239.3447906012</v>
      </c>
      <c r="M26" s="92"/>
      <c r="O26"/>
      <c r="P26"/>
    </row>
    <row r="27" spans="1:17">
      <c r="A27" s="100">
        <f t="shared" si="0"/>
        <v>13</v>
      </c>
      <c r="B27" s="92"/>
      <c r="C27" s="92"/>
      <c r="D27" s="92"/>
      <c r="E27" s="92"/>
      <c r="F27" s="92"/>
      <c r="G27" s="92"/>
      <c r="H27" s="103"/>
      <c r="I27" s="103"/>
      <c r="J27" s="103"/>
      <c r="K27" s="103"/>
      <c r="L27" s="103"/>
      <c r="M27" s="92"/>
      <c r="O27"/>
      <c r="P27"/>
    </row>
    <row r="28" spans="1:17">
      <c r="A28" s="100">
        <f t="shared" si="0"/>
        <v>14</v>
      </c>
      <c r="B28" s="92"/>
      <c r="C28" s="16" t="s">
        <v>805</v>
      </c>
      <c r="D28" s="92"/>
      <c r="E28" s="92"/>
      <c r="F28" s="92"/>
      <c r="G28" s="92"/>
      <c r="H28" s="108"/>
      <c r="I28" s="422"/>
      <c r="J28" s="108"/>
      <c r="K28" s="103"/>
      <c r="L28" s="108" t="s">
        <v>327</v>
      </c>
      <c r="M28" s="92"/>
      <c r="N28" s="642"/>
      <c r="O28"/>
      <c r="P28"/>
    </row>
    <row r="29" spans="1:17">
      <c r="A29" s="100">
        <f t="shared" si="0"/>
        <v>15</v>
      </c>
      <c r="B29" s="92"/>
      <c r="C29" s="90" t="s">
        <v>1650</v>
      </c>
      <c r="D29" s="92"/>
      <c r="E29" s="92"/>
      <c r="F29" s="92"/>
      <c r="G29" s="92"/>
      <c r="H29" s="571">
        <f>[28]G.3!$G$31</f>
        <v>254050.24</v>
      </c>
      <c r="I29" s="422"/>
      <c r="J29" s="571">
        <f>L29-H29</f>
        <v>10162.00959999999</v>
      </c>
      <c r="K29" s="103"/>
      <c r="L29" s="571">
        <f>[28]G.3!$K$31</f>
        <v>264212.24959999998</v>
      </c>
      <c r="M29" s="92"/>
      <c r="N29" s="642"/>
      <c r="O29"/>
      <c r="P29"/>
    </row>
    <row r="30" spans="1:17">
      <c r="A30" s="100">
        <f t="shared" si="0"/>
        <v>16</v>
      </c>
      <c r="B30" s="92"/>
      <c r="C30" s="90" t="s">
        <v>689</v>
      </c>
      <c r="D30" s="92"/>
      <c r="E30" s="92"/>
      <c r="F30" s="92"/>
      <c r="G30" s="92"/>
      <c r="H30" s="701">
        <f>SUM(H29:H29)</f>
        <v>254050.24</v>
      </c>
      <c r="I30" s="92"/>
      <c r="J30" s="571">
        <f>SUM(J29:J29)</f>
        <v>10162.00959999999</v>
      </c>
      <c r="K30" s="92"/>
      <c r="L30" s="701">
        <f>SUM(L29:L29)</f>
        <v>264212.24959999998</v>
      </c>
      <c r="M30" s="92"/>
      <c r="N30" s="92"/>
      <c r="O30"/>
      <c r="P30"/>
    </row>
    <row r="31" spans="1:17">
      <c r="A31" s="100">
        <f t="shared" si="0"/>
        <v>17</v>
      </c>
      <c r="B31" s="92"/>
      <c r="C31" s="92"/>
      <c r="D31" s="92"/>
      <c r="E31" s="92"/>
      <c r="F31" s="92"/>
      <c r="G31" s="92"/>
      <c r="H31" s="108"/>
      <c r="I31" s="92"/>
      <c r="J31" s="108"/>
      <c r="K31" s="92"/>
      <c r="L31" s="108" t="s">
        <v>327</v>
      </c>
      <c r="M31" s="92"/>
      <c r="N31" s="92"/>
      <c r="O31"/>
      <c r="P31"/>
    </row>
    <row r="32" spans="1:17" ht="15.75" thickBot="1">
      <c r="A32" s="100">
        <f t="shared" si="0"/>
        <v>18</v>
      </c>
      <c r="B32" s="92"/>
      <c r="C32" s="90" t="s">
        <v>690</v>
      </c>
      <c r="D32" s="92"/>
      <c r="E32" s="92"/>
      <c r="F32" s="92"/>
      <c r="G32" s="92"/>
      <c r="H32" s="703">
        <f>(+H20+H26+H30)</f>
        <v>15604207.7717625</v>
      </c>
      <c r="I32" s="92"/>
      <c r="J32" s="703">
        <f>(+J20+J26+J30)</f>
        <v>624168.31087050075</v>
      </c>
      <c r="K32" s="92"/>
      <c r="L32" s="703">
        <f>(+L20+L26+L30)</f>
        <v>16228376.082633004</v>
      </c>
      <c r="M32" s="92"/>
      <c r="N32" s="92"/>
      <c r="O32"/>
      <c r="P32"/>
    </row>
    <row r="33" spans="1:16" ht="15.75" thickTop="1">
      <c r="A33" s="92"/>
      <c r="B33" s="92"/>
      <c r="C33" s="92"/>
      <c r="D33" s="92"/>
      <c r="E33" s="92"/>
      <c r="F33" s="92"/>
      <c r="G33" s="92"/>
      <c r="H33" s="106"/>
      <c r="I33" s="92"/>
      <c r="J33" s="106"/>
      <c r="K33" s="92"/>
      <c r="L33" s="134" t="s">
        <v>327</v>
      </c>
      <c r="M33" s="92"/>
      <c r="N33" s="92"/>
      <c r="O33"/>
      <c r="P33"/>
    </row>
    <row r="34" spans="1:16">
      <c r="A34" t="s">
        <v>841</v>
      </c>
      <c r="B34" s="90"/>
      <c r="C34" s="92"/>
      <c r="D34" s="92"/>
      <c r="E34" s="92"/>
      <c r="F34" s="92"/>
      <c r="G34" s="92"/>
      <c r="H34" s="106"/>
      <c r="I34" s="92"/>
      <c r="J34" s="106"/>
      <c r="K34" s="92"/>
      <c r="L34" s="106"/>
      <c r="M34" s="92"/>
      <c r="N34" s="92"/>
      <c r="O34"/>
      <c r="P34"/>
    </row>
    <row r="35" spans="1:16">
      <c r="B35" s="90"/>
      <c r="C35" s="92"/>
      <c r="D35" s="92"/>
      <c r="E35" s="92"/>
      <c r="F35" s="92"/>
      <c r="G35" s="92"/>
      <c r="H35" s="106"/>
      <c r="I35" s="92"/>
      <c r="J35" s="106"/>
      <c r="K35" s="92"/>
      <c r="L35" s="106"/>
      <c r="M35" s="92"/>
      <c r="N35" s="92"/>
      <c r="O35"/>
      <c r="P35"/>
    </row>
    <row r="36" spans="1:16">
      <c r="A36" s="647" t="s">
        <v>396</v>
      </c>
      <c r="C36" s="90"/>
      <c r="D36" s="92"/>
      <c r="E36" s="591"/>
      <c r="F36" s="92"/>
      <c r="G36" s="92"/>
      <c r="H36" s="108"/>
      <c r="I36" s="92"/>
      <c r="J36" s="108"/>
      <c r="K36" s="92"/>
      <c r="L36" s="108"/>
      <c r="M36" s="92"/>
      <c r="N36" s="92"/>
      <c r="O36"/>
      <c r="P36"/>
    </row>
    <row r="37" spans="1:16">
      <c r="A37" s="92" t="s">
        <v>1669</v>
      </c>
      <c r="C37" s="92"/>
      <c r="D37" s="92"/>
      <c r="E37" s="92"/>
      <c r="F37" s="92"/>
      <c r="G37" s="92"/>
      <c r="H37" s="106"/>
      <c r="I37" s="92"/>
      <c r="J37" s="106"/>
      <c r="K37" s="92"/>
      <c r="L37" s="106"/>
      <c r="M37" s="92"/>
      <c r="N37" s="92"/>
      <c r="O37"/>
      <c r="P37"/>
    </row>
    <row r="38" spans="1:16">
      <c r="A38" s="92" t="s">
        <v>1670</v>
      </c>
      <c r="C38" s="92"/>
      <c r="D38" s="92"/>
      <c r="E38" s="92"/>
      <c r="F38" s="92"/>
      <c r="G38" s="92"/>
      <c r="H38" s="106"/>
      <c r="I38" s="92"/>
      <c r="J38" s="106"/>
      <c r="K38" s="92"/>
      <c r="L38" s="106"/>
      <c r="M38" s="92"/>
      <c r="N38" s="92"/>
      <c r="O38"/>
      <c r="P38"/>
    </row>
    <row r="39" spans="1:16">
      <c r="A39" s="92" t="s">
        <v>1671</v>
      </c>
      <c r="C39" s="92"/>
      <c r="D39" s="92"/>
      <c r="E39" s="92"/>
      <c r="F39" s="92"/>
      <c r="G39" s="92"/>
      <c r="H39" s="92"/>
      <c r="I39" s="55"/>
      <c r="J39" s="92"/>
      <c r="K39" s="92"/>
      <c r="L39" s="92"/>
      <c r="M39" s="92"/>
      <c r="N39" s="92"/>
      <c r="O39"/>
      <c r="P39"/>
    </row>
    <row r="40" spans="1:16">
      <c r="A40" s="92" t="s">
        <v>1672</v>
      </c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/>
      <c r="P40"/>
    </row>
    <row r="41" spans="1:16">
      <c r="A41" s="92" t="s">
        <v>1673</v>
      </c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/>
      <c r="P41"/>
    </row>
    <row r="42" spans="1:16">
      <c r="A42" s="92" t="s">
        <v>1674</v>
      </c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/>
      <c r="P42"/>
    </row>
    <row r="43" spans="1:16">
      <c r="A43" s="1" t="s">
        <v>1675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/>
      <c r="P43"/>
    </row>
    <row r="44" spans="1:16"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795"/>
      <c r="P44" s="795"/>
    </row>
    <row r="45" spans="1:16">
      <c r="A45" s="234" t="s">
        <v>397</v>
      </c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/>
      <c r="P45"/>
    </row>
    <row r="46" spans="1:16">
      <c r="A46" s="92" t="s">
        <v>1649</v>
      </c>
      <c r="B46"/>
      <c r="C46"/>
      <c r="D46"/>
      <c r="E46"/>
      <c r="F46"/>
      <c r="G46" s="795"/>
      <c r="H46"/>
      <c r="I46"/>
      <c r="J46"/>
      <c r="K46"/>
      <c r="L46"/>
      <c r="M46"/>
      <c r="N46"/>
      <c r="O46"/>
      <c r="P46"/>
    </row>
    <row r="47" spans="1:16">
      <c r="B47"/>
      <c r="C47"/>
      <c r="D47"/>
      <c r="E47"/>
      <c r="F47"/>
      <c r="G47" s="795"/>
      <c r="H47"/>
      <c r="I47"/>
      <c r="J47"/>
      <c r="K47"/>
      <c r="L47"/>
      <c r="M47"/>
      <c r="N47"/>
      <c r="O47"/>
      <c r="P47"/>
    </row>
    <row r="48" spans="1:16">
      <c r="A48" t="s">
        <v>1247</v>
      </c>
      <c r="B48"/>
      <c r="D48"/>
      <c r="E48"/>
      <c r="F48"/>
      <c r="G48" s="795"/>
      <c r="H48"/>
      <c r="I48"/>
      <c r="J48"/>
      <c r="K48"/>
      <c r="L48"/>
      <c r="M48"/>
      <c r="N48"/>
      <c r="O48"/>
      <c r="P48"/>
    </row>
    <row r="49" spans="1:16">
      <c r="A49" s="702" t="s">
        <v>1664</v>
      </c>
      <c r="B49" s="80"/>
      <c r="C49" s="81"/>
      <c r="D49" s="80"/>
      <c r="E49" s="80"/>
      <c r="F49" s="80"/>
      <c r="G49" s="80"/>
      <c r="H49" s="80"/>
      <c r="I49"/>
      <c r="J49"/>
      <c r="K49"/>
      <c r="L49" s="591"/>
      <c r="M49"/>
      <c r="N49"/>
      <c r="O49"/>
      <c r="P49"/>
    </row>
    <row r="50" spans="1:16">
      <c r="A50"/>
      <c r="B50"/>
      <c r="C50" s="641"/>
      <c r="D50"/>
      <c r="E50"/>
      <c r="F50"/>
      <c r="G50" s="795"/>
      <c r="H50"/>
      <c r="I50"/>
      <c r="J50"/>
      <c r="K50"/>
      <c r="L50"/>
      <c r="M50"/>
      <c r="N50"/>
      <c r="O50"/>
      <c r="P50"/>
    </row>
    <row r="51" spans="1:16">
      <c r="A51"/>
      <c r="B51"/>
      <c r="C51"/>
      <c r="D51"/>
      <c r="E51"/>
      <c r="F51"/>
      <c r="G51" s="795"/>
      <c r="H51"/>
      <c r="I51"/>
      <c r="J51"/>
      <c r="K51"/>
      <c r="L51"/>
      <c r="M51"/>
      <c r="N51"/>
      <c r="O51"/>
      <c r="P51"/>
    </row>
    <row r="52" spans="1:16">
      <c r="A52"/>
      <c r="B52"/>
      <c r="C52"/>
      <c r="D52"/>
      <c r="E52"/>
      <c r="F52"/>
      <c r="G52" s="795"/>
      <c r="H52"/>
      <c r="I52"/>
      <c r="J52"/>
      <c r="K52"/>
      <c r="L52"/>
      <c r="M52"/>
      <c r="N52"/>
      <c r="O52"/>
      <c r="P52"/>
    </row>
    <row r="53" spans="1:16">
      <c r="A53"/>
      <c r="B53"/>
      <c r="C53"/>
      <c r="D53"/>
      <c r="E53"/>
      <c r="F53"/>
      <c r="G53" s="795"/>
      <c r="H53"/>
      <c r="I53"/>
      <c r="J53"/>
      <c r="K53"/>
      <c r="L53"/>
      <c r="M53"/>
      <c r="N53"/>
      <c r="O53"/>
      <c r="P53"/>
    </row>
    <row r="54" spans="1:16">
      <c r="A54"/>
      <c r="B54"/>
      <c r="C54"/>
      <c r="D54"/>
      <c r="E54"/>
      <c r="F54"/>
      <c r="G54" s="795"/>
      <c r="H54"/>
      <c r="I54"/>
      <c r="J54"/>
      <c r="K54"/>
      <c r="L54"/>
      <c r="M54"/>
      <c r="N54"/>
      <c r="O54"/>
      <c r="P54"/>
    </row>
    <row r="55" spans="1:16">
      <c r="A55"/>
      <c r="B55"/>
      <c r="C55"/>
      <c r="D55"/>
      <c r="E55"/>
      <c r="F55"/>
      <c r="G55" s="795"/>
      <c r="H55"/>
      <c r="I55"/>
      <c r="J55"/>
      <c r="K55"/>
      <c r="L55"/>
      <c r="M55"/>
      <c r="N55"/>
      <c r="O55"/>
      <c r="P55"/>
    </row>
    <row r="56" spans="1:16">
      <c r="A56"/>
      <c r="B56"/>
      <c r="C56"/>
      <c r="D56"/>
      <c r="E56"/>
      <c r="F56"/>
      <c r="G56" s="795"/>
      <c r="H56"/>
      <c r="I56"/>
      <c r="J56"/>
      <c r="K56"/>
      <c r="L56"/>
      <c r="M56"/>
      <c r="N56"/>
      <c r="O56"/>
      <c r="P56"/>
    </row>
    <row r="57" spans="1:16">
      <c r="A57"/>
      <c r="B57"/>
      <c r="C57"/>
      <c r="D57"/>
      <c r="E57"/>
      <c r="F57"/>
      <c r="G57" s="795"/>
      <c r="H57"/>
      <c r="I57"/>
      <c r="J57"/>
      <c r="K57"/>
      <c r="L57"/>
      <c r="M57"/>
      <c r="N57"/>
      <c r="O57"/>
      <c r="P57"/>
    </row>
    <row r="58" spans="1:16">
      <c r="A58"/>
      <c r="B58"/>
      <c r="C58"/>
      <c r="D58"/>
      <c r="E58"/>
      <c r="F58"/>
      <c r="G58" s="795"/>
      <c r="H58"/>
      <c r="I58"/>
      <c r="J58"/>
      <c r="K58"/>
      <c r="L58"/>
      <c r="M58"/>
      <c r="N58"/>
      <c r="O58"/>
      <c r="P58"/>
    </row>
    <row r="59" spans="1:16">
      <c r="A59"/>
      <c r="B59"/>
      <c r="C59"/>
      <c r="D59"/>
      <c r="E59"/>
      <c r="F59"/>
      <c r="G59" s="795"/>
      <c r="H59"/>
      <c r="I59"/>
      <c r="J59"/>
      <c r="K59"/>
      <c r="L59"/>
      <c r="M59"/>
      <c r="N59"/>
      <c r="O59"/>
      <c r="P59"/>
    </row>
    <row r="60" spans="1:16">
      <c r="A60"/>
      <c r="B60"/>
      <c r="C60"/>
      <c r="D60"/>
      <c r="E60"/>
      <c r="F60"/>
      <c r="G60" s="795"/>
      <c r="H60"/>
      <c r="I60"/>
      <c r="J60"/>
      <c r="K60"/>
      <c r="L60"/>
      <c r="M60"/>
      <c r="N60"/>
      <c r="O60"/>
      <c r="P60"/>
    </row>
    <row r="61" spans="1:16">
      <c r="A61"/>
      <c r="B61"/>
      <c r="C61"/>
      <c r="D61"/>
      <c r="E61"/>
      <c r="F61"/>
      <c r="G61" s="795"/>
      <c r="H61"/>
      <c r="I61"/>
      <c r="J61"/>
      <c r="K61"/>
      <c r="L61"/>
      <c r="M61"/>
      <c r="N61"/>
      <c r="O61"/>
      <c r="P61"/>
    </row>
    <row r="62" spans="1:16">
      <c r="A62"/>
      <c r="B62"/>
      <c r="C62"/>
      <c r="D62"/>
      <c r="E62"/>
      <c r="F62"/>
      <c r="G62" s="795"/>
      <c r="H62"/>
      <c r="I62"/>
      <c r="J62"/>
      <c r="K62"/>
      <c r="L62"/>
      <c r="M62"/>
      <c r="N62"/>
      <c r="O62"/>
      <c r="P62"/>
    </row>
    <row r="63" spans="1:16">
      <c r="A63"/>
      <c r="B63"/>
      <c r="C63"/>
      <c r="D63"/>
      <c r="E63"/>
      <c r="F63"/>
      <c r="G63" s="795"/>
      <c r="H63"/>
      <c r="I63"/>
      <c r="J63"/>
      <c r="K63"/>
      <c r="L63"/>
      <c r="M63"/>
      <c r="N63"/>
      <c r="O63"/>
      <c r="P63"/>
    </row>
    <row r="64" spans="1:16">
      <c r="A64"/>
      <c r="B64"/>
      <c r="C64"/>
      <c r="D64"/>
      <c r="E64"/>
      <c r="F64"/>
      <c r="G64" s="795"/>
      <c r="H64"/>
      <c r="I64"/>
      <c r="J64"/>
      <c r="K64"/>
      <c r="L64"/>
      <c r="M64"/>
      <c r="N64"/>
      <c r="O64"/>
      <c r="P64"/>
    </row>
    <row r="65" spans="1:16">
      <c r="A65"/>
      <c r="B65"/>
      <c r="C65"/>
      <c r="D65"/>
      <c r="E65"/>
      <c r="F65"/>
      <c r="G65" s="795"/>
      <c r="H65"/>
      <c r="I65"/>
      <c r="J65"/>
      <c r="K65"/>
      <c r="L65"/>
      <c r="M65"/>
      <c r="N65"/>
      <c r="O65"/>
      <c r="P65"/>
    </row>
    <row r="66" spans="1:16">
      <c r="A66"/>
      <c r="B66"/>
      <c r="C66"/>
      <c r="D66"/>
      <c r="E66"/>
      <c r="F66"/>
      <c r="G66" s="795"/>
      <c r="H66"/>
      <c r="I66"/>
      <c r="J66"/>
      <c r="K66"/>
      <c r="L66"/>
      <c r="M66"/>
      <c r="N66"/>
      <c r="O66"/>
      <c r="P66"/>
    </row>
  </sheetData>
  <phoneticPr fontId="22" type="noConversion"/>
  <printOptions horizontalCentered="1"/>
  <pageMargins left="0.5" right="0.5" top="0.75" bottom="0.52" header="0.25" footer="0.25"/>
  <pageSetup scale="75" orientation="landscape" verticalDpi="300" r:id="rId1"/>
  <headerFooter alignWithMargins="0">
    <oddFooter>&amp;RSchedule &amp;A
Page &amp;P of 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G44"/>
  <sheetViews>
    <sheetView view="pageBreakPreview" zoomScale="80" zoomScaleNormal="100" zoomScaleSheetLayoutView="80" workbookViewId="0">
      <selection activeCell="G33" sqref="G33"/>
    </sheetView>
  </sheetViews>
  <sheetFormatPr defaultColWidth="9.6640625" defaultRowHeight="15"/>
  <cols>
    <col min="1" max="1" width="9.6640625" style="1"/>
    <col min="2" max="2" width="34.77734375" style="1" customWidth="1"/>
    <col min="3" max="3" width="6.77734375" style="1" customWidth="1"/>
    <col min="4" max="4" width="15.88671875" style="1" customWidth="1"/>
    <col min="5" max="5" width="15.77734375" style="1" customWidth="1"/>
    <col min="6" max="16384" width="9.6640625" style="1"/>
  </cols>
  <sheetData>
    <row r="1" spans="1:7">
      <c r="A1" s="1190" t="str">
        <f>'Table of Contents'!A1:C1</f>
        <v>Atmos Energy Corporation, Kentucky/Mid-States Division</v>
      </c>
      <c r="B1" s="1190"/>
      <c r="C1" s="1190"/>
      <c r="D1" s="1190"/>
      <c r="E1" s="1190"/>
    </row>
    <row r="2" spans="1:7">
      <c r="A2" s="1190" t="str">
        <f>'Table of Contents'!A2:C2</f>
        <v>Kentucky Jurisdiction Case No. 2017-00349</v>
      </c>
      <c r="B2" s="1190"/>
      <c r="C2" s="1190"/>
      <c r="D2" s="1190"/>
      <c r="E2" s="1190"/>
    </row>
    <row r="3" spans="1:7">
      <c r="A3" s="1190" t="s">
        <v>617</v>
      </c>
      <c r="B3" s="1190"/>
      <c r="C3" s="1190"/>
      <c r="D3" s="1190"/>
      <c r="E3" s="1190"/>
    </row>
    <row r="4" spans="1:7">
      <c r="A4" s="1190" t="str">
        <f>'Table of Contents'!A3:C3</f>
        <v>Base Period: Twelve Months Ended December 31, 2017</v>
      </c>
      <c r="B4" s="1190"/>
      <c r="C4" s="1190"/>
      <c r="D4" s="1190"/>
      <c r="E4" s="1190"/>
    </row>
    <row r="5" spans="1:7">
      <c r="A5" s="1190" t="str">
        <f>'Table of Contents'!A4:C4</f>
        <v>Forecasted Test Period: Twelve Months Ended March 31, 2019</v>
      </c>
      <c r="B5" s="1190"/>
      <c r="C5" s="1190"/>
      <c r="D5" s="1190"/>
      <c r="E5" s="1190"/>
    </row>
    <row r="6" spans="1:7">
      <c r="A6" s="169"/>
      <c r="B6" s="169"/>
      <c r="C6" s="169"/>
      <c r="D6" s="169"/>
      <c r="E6" s="169"/>
      <c r="G6" s="796"/>
    </row>
    <row r="8" spans="1:7">
      <c r="A8" s="4" t="s">
        <v>199</v>
      </c>
      <c r="E8" s="375" t="s">
        <v>1436</v>
      </c>
    </row>
    <row r="9" spans="1:7">
      <c r="A9" s="66" t="s">
        <v>621</v>
      </c>
      <c r="E9" s="487" t="s">
        <v>36</v>
      </c>
    </row>
    <row r="10" spans="1:7">
      <c r="A10" s="5" t="s">
        <v>431</v>
      </c>
      <c r="B10" s="6"/>
      <c r="C10" s="6"/>
      <c r="D10" s="6"/>
      <c r="E10" s="548" t="s">
        <v>1325</v>
      </c>
    </row>
    <row r="12" spans="1:7" ht="15.75">
      <c r="D12" s="298" t="s">
        <v>1137</v>
      </c>
      <c r="E12" s="298" t="s">
        <v>129</v>
      </c>
    </row>
    <row r="13" spans="1:7">
      <c r="D13" s="2" t="s">
        <v>901</v>
      </c>
      <c r="E13" s="2" t="s">
        <v>901</v>
      </c>
    </row>
    <row r="14" spans="1:7">
      <c r="A14" s="2" t="s">
        <v>94</v>
      </c>
      <c r="D14" s="2" t="s">
        <v>902</v>
      </c>
      <c r="E14" s="2" t="s">
        <v>902</v>
      </c>
    </row>
    <row r="15" spans="1:7">
      <c r="A15" s="32" t="s">
        <v>100</v>
      </c>
      <c r="B15" s="408" t="s">
        <v>993</v>
      </c>
      <c r="C15" s="33"/>
      <c r="D15" s="32" t="s">
        <v>126</v>
      </c>
      <c r="E15" s="32" t="s">
        <v>126</v>
      </c>
    </row>
    <row r="17" spans="1:7">
      <c r="A17" s="2" t="s">
        <v>370</v>
      </c>
      <c r="B17" s="4" t="s">
        <v>745</v>
      </c>
      <c r="D17" s="24">
        <v>1</v>
      </c>
      <c r="E17" s="24">
        <v>1</v>
      </c>
    </row>
    <row r="19" spans="1:7">
      <c r="A19" s="2" t="s">
        <v>372</v>
      </c>
      <c r="B19" s="4" t="s">
        <v>903</v>
      </c>
      <c r="D19" s="575">
        <v>5.0000000000000001E-3</v>
      </c>
      <c r="E19" s="575">
        <v>5.0000000000000001E-3</v>
      </c>
    </row>
    <row r="21" spans="1:7">
      <c r="A21" s="2" t="s">
        <v>374</v>
      </c>
      <c r="B21" s="4" t="s">
        <v>904</v>
      </c>
      <c r="D21" s="841">
        <f>[29]Sheet1!$D$18</f>
        <v>1.9959999999999999E-3</v>
      </c>
      <c r="E21" s="841">
        <f>[29]Sheet1!$D$18</f>
        <v>1.9959999999999999E-3</v>
      </c>
      <c r="G21" s="796"/>
    </row>
    <row r="23" spans="1:7">
      <c r="A23" s="2" t="s">
        <v>375</v>
      </c>
      <c r="B23" s="4" t="s">
        <v>905</v>
      </c>
      <c r="D23" s="24">
        <f>D17-D19-D21</f>
        <v>0.993004</v>
      </c>
      <c r="E23" s="24">
        <f>E17-E19-E21</f>
        <v>0.993004</v>
      </c>
    </row>
    <row r="25" spans="1:7">
      <c r="A25" s="2" t="s">
        <v>376</v>
      </c>
      <c r="B25" s="4" t="s">
        <v>255</v>
      </c>
      <c r="C25" s="67">
        <v>0.06</v>
      </c>
      <c r="D25" s="25">
        <f>ROUND(D23*C25,8)</f>
        <v>5.958024E-2</v>
      </c>
      <c r="E25" s="25">
        <f>ROUND(E23*C25,8)</f>
        <v>5.958024E-2</v>
      </c>
    </row>
    <row r="27" spans="1:7">
      <c r="A27" s="2" t="s">
        <v>377</v>
      </c>
      <c r="B27" s="4" t="s">
        <v>906</v>
      </c>
      <c r="D27" s="24">
        <f>(D23-D25)</f>
        <v>0.93342376000000005</v>
      </c>
      <c r="E27" s="24">
        <f>(E23-E25)</f>
        <v>0.93342376000000005</v>
      </c>
    </row>
    <row r="29" spans="1:7">
      <c r="A29" s="2" t="s">
        <v>378</v>
      </c>
      <c r="B29" s="66" t="s">
        <v>170</v>
      </c>
      <c r="C29" s="68">
        <v>0.21</v>
      </c>
      <c r="D29" s="69">
        <f>ROUND(D27*C29,6)</f>
        <v>0.196019</v>
      </c>
      <c r="E29" s="69">
        <f>ROUND(E27*C29,6)</f>
        <v>0.196019</v>
      </c>
    </row>
    <row r="31" spans="1:7">
      <c r="A31" s="2" t="s">
        <v>380</v>
      </c>
      <c r="B31" s="4" t="s">
        <v>390</v>
      </c>
      <c r="D31" s="24">
        <f>D27-D29</f>
        <v>0.73740475999999999</v>
      </c>
      <c r="E31" s="24">
        <f>E27-E29</f>
        <v>0.73740475999999999</v>
      </c>
    </row>
    <row r="33" spans="1:5">
      <c r="A33" s="2" t="s">
        <v>381</v>
      </c>
      <c r="B33" s="4" t="s">
        <v>127</v>
      </c>
    </row>
    <row r="34" spans="1:5">
      <c r="A34" s="2" t="s">
        <v>382</v>
      </c>
      <c r="B34" s="4" t="s">
        <v>907</v>
      </c>
      <c r="D34" s="409">
        <f>ROUND(1/$D$31,6)</f>
        <v>1.356107</v>
      </c>
      <c r="E34" s="409">
        <f>ROUND(1/$E$31,6)</f>
        <v>1.356107</v>
      </c>
    </row>
    <row r="37" spans="1:5">
      <c r="B37" s="4"/>
    </row>
    <row r="44" spans="1:5">
      <c r="A44" s="4" t="s">
        <v>569</v>
      </c>
    </row>
  </sheetData>
  <mergeCells count="5">
    <mergeCell ref="A5:E5"/>
    <mergeCell ref="A1:E1"/>
    <mergeCell ref="A2:E2"/>
    <mergeCell ref="A3:E3"/>
    <mergeCell ref="A4:E4"/>
  </mergeCells>
  <phoneticPr fontId="22" type="noConversion"/>
  <pageMargins left="0.83" right="0.5" top="1.0900000000000001" bottom="0.5" header="0.5" footer="0.5"/>
  <pageSetup scale="92" orientation="portrait" verticalDpi="300" r:id="rId1"/>
  <headerFooter alignWithMargins="0">
    <oddFooter>&amp;RSchedule &amp;A
Page &amp;P of 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U58"/>
  <sheetViews>
    <sheetView view="pageBreakPreview" zoomScale="70" zoomScaleNormal="80" zoomScaleSheetLayoutView="70" workbookViewId="0">
      <pane xSplit="3" ySplit="13" topLeftCell="D14" activePane="bottomRight" state="frozen"/>
      <selection activeCell="F45" sqref="F45"/>
      <selection pane="topRight" activeCell="F45" sqref="F45"/>
      <selection pane="bottomLeft" activeCell="F45" sqref="F45"/>
      <selection pane="bottomRight" activeCell="L43" sqref="L43"/>
    </sheetView>
  </sheetViews>
  <sheetFormatPr defaultColWidth="7.109375" defaultRowHeight="15"/>
  <cols>
    <col min="1" max="1" width="5.109375" style="103" customWidth="1"/>
    <col min="2" max="2" width="18.109375" style="103" customWidth="1"/>
    <col min="3" max="3" width="5" style="103" customWidth="1"/>
    <col min="4" max="6" width="10.33203125" style="103" customWidth="1"/>
    <col min="7" max="7" width="11.44140625" style="103" bestFit="1" customWidth="1"/>
    <col min="8" max="8" width="10.44140625" style="103" customWidth="1"/>
    <col min="9" max="9" width="1.6640625" style="103" customWidth="1"/>
    <col min="10" max="10" width="10.6640625" style="103" bestFit="1" customWidth="1"/>
    <col min="11" max="11" width="1.109375" style="103" customWidth="1"/>
    <col min="12" max="12" width="10.21875" style="103" customWidth="1"/>
    <col min="13" max="13" width="1.6640625" style="103" customWidth="1"/>
    <col min="14" max="14" width="10.44140625" style="103" bestFit="1" customWidth="1"/>
    <col min="15" max="15" width="8.21875" style="103" customWidth="1"/>
    <col min="16" max="16" width="8.77734375" style="103" customWidth="1"/>
    <col min="17" max="17" width="8.88671875" style="103" bestFit="1" customWidth="1"/>
    <col min="18" max="19" width="8" style="103" bestFit="1" customWidth="1"/>
    <col min="20" max="16384" width="7.109375" style="103"/>
  </cols>
  <sheetData>
    <row r="1" spans="1:21">
      <c r="A1" s="1203" t="str">
        <f>'Table of Contents'!A1:C1</f>
        <v>Atmos Energy Corporation, Kentucky/Mid-States Division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1203"/>
      <c r="M1" s="1203"/>
      <c r="N1" s="1203"/>
      <c r="O1" s="1203"/>
      <c r="P1" s="1203"/>
    </row>
    <row r="2" spans="1:21">
      <c r="A2" s="1203" t="str">
        <f>'Table of Contents'!A2:C2</f>
        <v>Kentucky Jurisdiction Case No. 2017-00349</v>
      </c>
      <c r="B2" s="1203"/>
      <c r="C2" s="1203"/>
      <c r="D2" s="1203"/>
      <c r="E2" s="1203"/>
      <c r="F2" s="1203"/>
      <c r="G2" s="1203"/>
      <c r="H2" s="1203"/>
      <c r="I2" s="1203"/>
      <c r="J2" s="1203"/>
      <c r="K2" s="1203"/>
      <c r="L2" s="1203"/>
      <c r="M2" s="1203"/>
      <c r="N2" s="1203"/>
      <c r="O2" s="1203"/>
      <c r="P2" s="1203"/>
    </row>
    <row r="3" spans="1:21">
      <c r="A3" s="1203" t="s">
        <v>618</v>
      </c>
      <c r="B3" s="1203"/>
      <c r="C3" s="1203"/>
      <c r="D3" s="1203"/>
      <c r="E3" s="1203"/>
      <c r="F3" s="1203"/>
      <c r="G3" s="1203"/>
      <c r="H3" s="1203"/>
      <c r="I3" s="1203"/>
      <c r="J3" s="1203"/>
      <c r="K3" s="1203"/>
      <c r="L3" s="1203"/>
      <c r="M3" s="1203"/>
      <c r="N3" s="1203"/>
      <c r="O3" s="1203"/>
      <c r="P3" s="1203"/>
    </row>
    <row r="4" spans="1:21">
      <c r="A4" s="1203" t="str">
        <f>'Table of Contents'!A3:C3</f>
        <v>Base Period: Twelve Months Ended December 31, 2017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1203"/>
      <c r="M4" s="1203"/>
      <c r="N4" s="1203"/>
      <c r="O4" s="1203"/>
      <c r="P4" s="1203"/>
    </row>
    <row r="5" spans="1:21">
      <c r="A5" s="1203" t="str">
        <f>'Table of Contents'!A4:C4</f>
        <v>Forecasted Test Period: Twelve Months Ended March 31, 2019</v>
      </c>
      <c r="B5" s="1203"/>
      <c r="C5" s="1203"/>
      <c r="D5" s="1203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  <c r="P5" s="1203"/>
    </row>
    <row r="6" spans="1:21">
      <c r="A6" s="764"/>
      <c r="B6" s="764"/>
      <c r="C6" s="764"/>
      <c r="D6" s="764"/>
      <c r="E6" s="764"/>
      <c r="F6" s="764"/>
      <c r="G6" s="764"/>
      <c r="H6" s="764"/>
      <c r="I6" s="764"/>
      <c r="J6" s="764"/>
      <c r="K6" s="764"/>
      <c r="L6" s="764"/>
      <c r="M6" s="764"/>
      <c r="N6" s="764"/>
      <c r="O6" s="764"/>
      <c r="P6" s="764"/>
      <c r="U6" s="103" t="s">
        <v>327</v>
      </c>
    </row>
    <row r="7" spans="1:21">
      <c r="A7" s="583" t="s">
        <v>686</v>
      </c>
      <c r="P7" s="954" t="s">
        <v>1463</v>
      </c>
    </row>
    <row r="8" spans="1:21">
      <c r="A8" s="583" t="s">
        <v>621</v>
      </c>
      <c r="P8" s="961" t="s">
        <v>1146</v>
      </c>
    </row>
    <row r="9" spans="1:21">
      <c r="A9" s="955" t="s">
        <v>369</v>
      </c>
      <c r="B9" s="934"/>
      <c r="C9" s="934"/>
      <c r="D9" s="934"/>
      <c r="E9" s="934"/>
      <c r="F9" s="934"/>
      <c r="G9" s="934"/>
      <c r="H9" s="934"/>
      <c r="I9" s="934"/>
      <c r="J9" s="934"/>
      <c r="K9" s="934"/>
      <c r="L9" s="934"/>
      <c r="M9" s="951"/>
      <c r="N9" s="962"/>
      <c r="O9" s="962"/>
      <c r="P9" s="963" t="s">
        <v>1682</v>
      </c>
    </row>
    <row r="10" spans="1:21">
      <c r="D10" s="1202" t="s">
        <v>1171</v>
      </c>
      <c r="E10" s="1202"/>
      <c r="F10" s="1202"/>
      <c r="G10" s="1202"/>
      <c r="H10" s="1202"/>
      <c r="J10" s="964" t="s">
        <v>1137</v>
      </c>
      <c r="K10" s="764"/>
      <c r="L10" s="964" t="s">
        <v>129</v>
      </c>
      <c r="N10" s="965"/>
      <c r="O10" s="965"/>
      <c r="P10" s="965"/>
    </row>
    <row r="12" spans="1:21">
      <c r="D12" s="633"/>
      <c r="E12" s="633"/>
      <c r="F12" s="633"/>
      <c r="G12" s="633"/>
      <c r="H12" s="633"/>
      <c r="J12" s="966"/>
      <c r="K12" s="967"/>
      <c r="L12" s="966"/>
    </row>
    <row r="13" spans="1:21">
      <c r="A13" s="968"/>
      <c r="B13" s="968"/>
      <c r="C13" s="968"/>
      <c r="D13" s="634" t="s">
        <v>1412</v>
      </c>
      <c r="E13" s="634" t="s">
        <v>1369</v>
      </c>
      <c r="F13" s="634" t="s">
        <v>1413</v>
      </c>
      <c r="G13" s="634" t="s">
        <v>1608</v>
      </c>
      <c r="H13" s="634" t="s">
        <v>1607</v>
      </c>
      <c r="J13" s="969">
        <v>43100</v>
      </c>
      <c r="K13" s="970"/>
      <c r="L13" s="969">
        <v>43555</v>
      </c>
      <c r="N13" s="639">
        <v>2019</v>
      </c>
      <c r="O13" s="634" t="s">
        <v>1651</v>
      </c>
      <c r="P13" s="634" t="s">
        <v>1652</v>
      </c>
      <c r="Q13" s="968"/>
      <c r="R13" s="968"/>
      <c r="S13" s="968"/>
      <c r="T13" s="968"/>
      <c r="U13" s="968"/>
    </row>
    <row r="14" spans="1:21">
      <c r="A14" s="103" t="s">
        <v>603</v>
      </c>
      <c r="D14" s="764" t="s">
        <v>147</v>
      </c>
      <c r="E14" s="764" t="s">
        <v>147</v>
      </c>
      <c r="F14" s="764" t="s">
        <v>147</v>
      </c>
      <c r="G14" s="764" t="s">
        <v>147</v>
      </c>
      <c r="H14" s="764"/>
      <c r="J14" s="764" t="s">
        <v>147</v>
      </c>
      <c r="L14" s="764" t="s">
        <v>147</v>
      </c>
      <c r="N14" s="764" t="s">
        <v>147</v>
      </c>
      <c r="O14" s="764" t="s">
        <v>147</v>
      </c>
      <c r="P14" s="764" t="s">
        <v>147</v>
      </c>
    </row>
    <row r="15" spans="1:21">
      <c r="A15" s="103" t="s">
        <v>604</v>
      </c>
    </row>
    <row r="16" spans="1:21">
      <c r="B16" s="103" t="s">
        <v>605</v>
      </c>
      <c r="D16" s="635">
        <f>'[30]Div 9'!C12/1000</f>
        <v>121689.04076999999</v>
      </c>
      <c r="E16" s="635">
        <f>'[30]Div 9'!D12/1000</f>
        <v>148864.67317000002</v>
      </c>
      <c r="F16" s="635">
        <f>'[30]Div 9'!E12/1000</f>
        <v>180147.32215999995</v>
      </c>
      <c r="G16" s="635">
        <f>'[30]Div 9'!F12/1000</f>
        <v>153227.91774999999</v>
      </c>
      <c r="H16" s="635">
        <f>'[30]Div 9'!G12/1000</f>
        <v>129826.66337000002</v>
      </c>
      <c r="I16" s="635"/>
      <c r="J16" s="635">
        <f>'C.2.1 B'!D23/1000</f>
        <v>137671.43518861925</v>
      </c>
      <c r="K16" s="635"/>
      <c r="L16" s="635">
        <f>'C.2.1 F'!D19/1000</f>
        <v>151149.11087877443</v>
      </c>
      <c r="M16" s="635"/>
      <c r="N16" s="635">
        <f>'[6]Summary of Revenue'!AI$15/1000</f>
        <v>150715.87304581597</v>
      </c>
      <c r="O16" s="635">
        <f>'[6]Summary of Revenue'!AJ$15/1000</f>
        <v>149327.24276938336</v>
      </c>
      <c r="P16" s="635">
        <f>'[6]Summary of Revenue'!AK$15/1000</f>
        <v>149157.51587125679</v>
      </c>
      <c r="Q16" s="635"/>
    </row>
    <row r="17" spans="1:18">
      <c r="B17" s="103" t="s">
        <v>181</v>
      </c>
      <c r="D17" s="635">
        <f>'[30]Div 9'!C13/1000</f>
        <v>11315.066650000001</v>
      </c>
      <c r="E17" s="635">
        <f>'[30]Div 9'!D13/1000</f>
        <v>12586.588680000001</v>
      </c>
      <c r="F17" s="635">
        <f>'[30]Div 9'!E13/1000</f>
        <v>14310.851760000001</v>
      </c>
      <c r="G17" s="635">
        <f>'[30]Div 9'!F13/1000</f>
        <v>15087.053259999999</v>
      </c>
      <c r="H17" s="635">
        <f>'[30]Div 9'!G13/1000</f>
        <v>15747.936089999999</v>
      </c>
      <c r="I17" s="635"/>
      <c r="J17" s="635">
        <f>('C.2.1 B'!D28)/1000</f>
        <v>15830.893886251401</v>
      </c>
      <c r="K17" s="635"/>
      <c r="L17" s="635">
        <f>('C.2.1 F'!D24)/1000</f>
        <v>15202.087192665644</v>
      </c>
      <c r="M17" s="635"/>
      <c r="N17" s="635">
        <f>'[6]Summary of Revenue'!AI$20/1000</f>
        <v>15202.087192665644</v>
      </c>
      <c r="O17" s="635">
        <f>'[6]Summary of Revenue'!AJ$20/1000</f>
        <v>15202.087192665644</v>
      </c>
      <c r="P17" s="635">
        <f>'[6]Summary of Revenue'!AK$20/1000</f>
        <v>15202.087192665644</v>
      </c>
      <c r="Q17" s="635"/>
      <c r="R17" s="804"/>
    </row>
    <row r="18" spans="1:18">
      <c r="B18" s="103" t="s">
        <v>606</v>
      </c>
      <c r="D18" s="643">
        <f>SUM('[30]Div 9'!C14:C15)/1000</f>
        <v>1773.7464399999999</v>
      </c>
      <c r="E18" s="643">
        <f>SUM('[30]Div 9'!D14:D15)/1000</f>
        <v>1517.1913500000001</v>
      </c>
      <c r="F18" s="643">
        <f>SUM('[30]Div 9'!E14:E15)/1000</f>
        <v>2423.5631400000002</v>
      </c>
      <c r="G18" s="643">
        <f>SUM('[30]Div 9'!F14:F15)/1000</f>
        <v>2152.5820800000001</v>
      </c>
      <c r="H18" s="643">
        <f>SUM('[30]Div 9'!G14:G15)/1000</f>
        <v>1856.60124</v>
      </c>
      <c r="I18" s="643"/>
      <c r="J18" s="643">
        <f>('C.2.1 B'!D26+'C.2.1 B'!D27+'C.2.1 B'!D29)/1000</f>
        <v>3210.9178060851568</v>
      </c>
      <c r="K18" s="643"/>
      <c r="L18" s="643">
        <f>('C.2.1 F'!D22+'C.2.1 F'!D23+'C.2.1 F'!D25)/1000</f>
        <v>4378.0778399806186</v>
      </c>
      <c r="M18" s="643"/>
      <c r="N18" s="643">
        <f t="shared" ref="N18:P18" si="0">N19-N16-N17</f>
        <v>4374.8961074321087</v>
      </c>
      <c r="O18" s="643">
        <f t="shared" si="0"/>
        <v>4362.7967202192776</v>
      </c>
      <c r="P18" s="643">
        <f t="shared" si="0"/>
        <v>4361.3432839682755</v>
      </c>
      <c r="Q18" s="635"/>
    </row>
    <row r="19" spans="1:18">
      <c r="A19" s="103" t="s">
        <v>607</v>
      </c>
      <c r="D19" s="635">
        <f>SUM(D16:D18)</f>
        <v>134777.85385999997</v>
      </c>
      <c r="E19" s="635">
        <f>SUM(E16:E18)</f>
        <v>162968.45320000002</v>
      </c>
      <c r="F19" s="635">
        <f>SUM(F16:F18)</f>
        <v>196881.73705999996</v>
      </c>
      <c r="G19" s="635">
        <f>SUM(G16:G18)</f>
        <v>170467.55308999997</v>
      </c>
      <c r="H19" s="635">
        <f>SUM(H16:H18)</f>
        <v>147431.20070000002</v>
      </c>
      <c r="I19" s="635"/>
      <c r="J19" s="635">
        <f>SUM(J16:J18)</f>
        <v>156713.24688095582</v>
      </c>
      <c r="K19" s="635"/>
      <c r="L19" s="635">
        <f>SUM(L16:L18)</f>
        <v>170729.2759114207</v>
      </c>
      <c r="M19" s="635"/>
      <c r="N19" s="635">
        <f>'[6]Summary of Revenue'!AI$23/1000</f>
        <v>170292.85634591372</v>
      </c>
      <c r="O19" s="635">
        <f>'[6]Summary of Revenue'!AJ$23/1000</f>
        <v>168892.12668226828</v>
      </c>
      <c r="P19" s="635">
        <f>'[6]Summary of Revenue'!AK$23/1000</f>
        <v>168720.94634789071</v>
      </c>
      <c r="Q19" s="635"/>
    </row>
    <row r="20" spans="1:18">
      <c r="D20" s="635"/>
      <c r="E20" s="635"/>
      <c r="F20" s="635"/>
      <c r="G20" s="635"/>
      <c r="H20" s="635"/>
      <c r="I20" s="635"/>
      <c r="J20" s="635"/>
      <c r="K20" s="635"/>
      <c r="L20" s="635"/>
      <c r="M20" s="635"/>
      <c r="N20" s="635"/>
      <c r="O20" s="635"/>
      <c r="P20" s="635"/>
      <c r="Q20" s="635"/>
    </row>
    <row r="21" spans="1:18">
      <c r="A21" s="103" t="s">
        <v>608</v>
      </c>
      <c r="D21" s="635">
        <f>'[30]Div 9'!C18/1000</f>
        <v>70662.981899999999</v>
      </c>
      <c r="E21" s="635">
        <f>'[30]Div 9'!D18/1000</f>
        <v>94656.999469999981</v>
      </c>
      <c r="F21" s="635">
        <f>'[30]Div 9'!E18/1000</f>
        <v>118107.39396</v>
      </c>
      <c r="G21" s="635">
        <f>'[30]Div 9'!F18/1000</f>
        <v>87746.322199999995</v>
      </c>
      <c r="H21" s="635">
        <f>'[30]Div 9'!G18/1000</f>
        <v>61180.230949999997</v>
      </c>
      <c r="I21" s="643"/>
      <c r="J21" s="643">
        <f>'C.2.1 B'!D104/1000</f>
        <v>65546.014381216271</v>
      </c>
      <c r="K21" s="643"/>
      <c r="L21" s="643">
        <f>'C.2.1 F'!D100/1000</f>
        <v>78709.117242809036</v>
      </c>
      <c r="M21" s="643"/>
      <c r="N21" s="635">
        <f>'[6]Summary of Revenue'!AI$25/1000</f>
        <v>78235.802071391736</v>
      </c>
      <c r="O21" s="635">
        <f>'[6]Summary of Revenue'!AJ$25/1000</f>
        <v>76749.216804471449</v>
      </c>
      <c r="P21" s="635">
        <f>'[6]Summary of Revenue'!AK$25/1000</f>
        <v>76481.534142260978</v>
      </c>
      <c r="Q21" s="635"/>
    </row>
    <row r="22" spans="1:18">
      <c r="A22" s="103" t="s">
        <v>114</v>
      </c>
      <c r="D22" s="636">
        <f>+D19-D21</f>
        <v>64114.871959999975</v>
      </c>
      <c r="E22" s="636">
        <f>+E19-E21</f>
        <v>68311.453730000037</v>
      </c>
      <c r="F22" s="636">
        <f>+F19-F21</f>
        <v>78774.343099999955</v>
      </c>
      <c r="G22" s="636">
        <f>+G19-G21</f>
        <v>82721.230889999977</v>
      </c>
      <c r="H22" s="636">
        <f>+H19-H21</f>
        <v>86250.969750000018</v>
      </c>
      <c r="I22" s="635"/>
      <c r="J22" s="635">
        <f>+J19-J21</f>
        <v>91167.232499739548</v>
      </c>
      <c r="K22" s="635"/>
      <c r="L22" s="635">
        <f>+L19-L21</f>
        <v>92020.158668611664</v>
      </c>
      <c r="M22" s="635"/>
      <c r="N22" s="636">
        <f>+N19-N21</f>
        <v>92057.054274521986</v>
      </c>
      <c r="O22" s="636">
        <f>+O19-O21</f>
        <v>92142.909877796832</v>
      </c>
      <c r="P22" s="636">
        <f>+P19-P21</f>
        <v>92239.412205629735</v>
      </c>
      <c r="Q22" s="635"/>
    </row>
    <row r="23" spans="1:18">
      <c r="D23" s="635"/>
      <c r="E23" s="635"/>
      <c r="F23" s="635"/>
      <c r="G23" s="635"/>
      <c r="H23" s="635"/>
      <c r="I23" s="635"/>
      <c r="J23" s="635"/>
      <c r="K23" s="635"/>
      <c r="L23" s="635"/>
      <c r="M23" s="635"/>
      <c r="N23" s="635"/>
      <c r="O23" s="635"/>
      <c r="P23" s="635"/>
      <c r="Q23" s="635"/>
    </row>
    <row r="24" spans="1:18">
      <c r="A24" s="103" t="s">
        <v>998</v>
      </c>
      <c r="D24" s="635"/>
      <c r="E24" s="635"/>
      <c r="F24" s="635"/>
      <c r="G24" s="635"/>
      <c r="H24" s="635"/>
      <c r="I24" s="635"/>
      <c r="J24" s="635"/>
      <c r="K24" s="635"/>
      <c r="L24" s="635"/>
      <c r="M24" s="635"/>
      <c r="N24" s="635"/>
      <c r="O24" s="635"/>
      <c r="P24" s="635"/>
      <c r="Q24" s="635"/>
    </row>
    <row r="25" spans="1:18">
      <c r="B25" s="103" t="s">
        <v>115</v>
      </c>
      <c r="D25" s="635">
        <f>SUM('[30]Div 9'!C23:C24)/1000</f>
        <v>12979.823540000001</v>
      </c>
      <c r="E25" s="635">
        <f>SUM('[30]Div 9'!D23:D24)/1000</f>
        <v>14376.623550000002</v>
      </c>
      <c r="F25" s="635">
        <f>SUM('[30]Div 9'!E23:E24)/1000</f>
        <v>14815.001260000003</v>
      </c>
      <c r="G25" s="635">
        <f>SUM('[30]Div 9'!F23:F24)/1000</f>
        <v>14926.689049999994</v>
      </c>
      <c r="H25" s="635">
        <f>SUM('[30]Div 9'!G23:G24)/1000</f>
        <v>14518.409320000001</v>
      </c>
      <c r="I25" s="635"/>
      <c r="J25" s="635">
        <f>(SUM('C.2.2 B 09'!P46:P109)-'C.2.2 B 09'!P100)/1000</f>
        <v>13435.811581799995</v>
      </c>
      <c r="K25" s="635"/>
      <c r="L25" s="635">
        <f>C.1!F19/1000-I.1!L26</f>
        <v>12151.628399031448</v>
      </c>
      <c r="M25" s="635"/>
      <c r="N25" s="635">
        <v>17267</v>
      </c>
      <c r="O25" s="635">
        <v>17484</v>
      </c>
      <c r="P25" s="635">
        <v>17707</v>
      </c>
      <c r="Q25" s="635"/>
    </row>
    <row r="26" spans="1:18">
      <c r="B26" s="103" t="s">
        <v>567</v>
      </c>
      <c r="D26" s="635">
        <f>'[30]Div 9'!C25/1000</f>
        <v>10085.67484</v>
      </c>
      <c r="E26" s="635">
        <f>'[30]Div 9'!D25/1000</f>
        <v>11534.019540000001</v>
      </c>
      <c r="F26" s="635">
        <f>'[30]Div 9'!E25/1000</f>
        <v>12035.970230000001</v>
      </c>
      <c r="G26" s="635">
        <f>'[30]Div 9'!F25/1000</f>
        <v>12874.015009999999</v>
      </c>
      <c r="H26" s="635">
        <f>'[30]Div 9'!G25/1000</f>
        <v>12708.20644</v>
      </c>
      <c r="I26" s="635"/>
      <c r="J26" s="635">
        <f>'C.2.2 B 09'!P100/1000</f>
        <v>13526.079802595161</v>
      </c>
      <c r="K26" s="635"/>
      <c r="L26" s="635">
        <f>'C.2.2-F 09'!P100/1000</f>
        <v>14012.400830261086</v>
      </c>
      <c r="M26" s="635"/>
      <c r="N26" s="635">
        <v>10868</v>
      </c>
      <c r="O26" s="635">
        <v>11079</v>
      </c>
      <c r="P26" s="635">
        <v>11463</v>
      </c>
      <c r="Q26" s="635"/>
    </row>
    <row r="27" spans="1:18">
      <c r="B27" s="103" t="s">
        <v>116</v>
      </c>
      <c r="D27" s="635">
        <f>'[30]Div 9'!C26/1000</f>
        <v>13981.399549999998</v>
      </c>
      <c r="E27" s="635">
        <f>'[30]Div 9'!D26/1000</f>
        <v>14919.020950000002</v>
      </c>
      <c r="F27" s="635">
        <f>'[30]Div 9'!E26/1000</f>
        <v>16845.712130000004</v>
      </c>
      <c r="G27" s="635">
        <f>'[30]Div 9'!F26/1000</f>
        <v>18635.692589999995</v>
      </c>
      <c r="H27" s="635">
        <f>'[30]Div 9'!G26/1000</f>
        <v>19120.630430000001</v>
      </c>
      <c r="I27" s="635"/>
      <c r="J27" s="635">
        <f>'C.2.1 B'!D175/1000</f>
        <v>18849.734532483872</v>
      </c>
      <c r="K27" s="635"/>
      <c r="L27" s="635">
        <f>C.2!K26/1000</f>
        <v>21511.931130947833</v>
      </c>
      <c r="M27" s="635"/>
      <c r="N27" s="635">
        <v>23286</v>
      </c>
      <c r="O27" s="635">
        <v>26472</v>
      </c>
      <c r="P27" s="635">
        <v>30012</v>
      </c>
      <c r="Q27" s="635"/>
    </row>
    <row r="28" spans="1:18">
      <c r="B28" s="103" t="s">
        <v>117</v>
      </c>
      <c r="D28" s="635">
        <f>'[30]Div 9'!C27/1000</f>
        <v>4317.3126800000009</v>
      </c>
      <c r="E28" s="635">
        <f>'[30]Div 9'!D27/1000</f>
        <v>3871.4445599999999</v>
      </c>
      <c r="F28" s="635">
        <f>'[30]Div 9'!E27/1000</f>
        <v>4647.8071999999993</v>
      </c>
      <c r="G28" s="635">
        <f>'[30]Div 9'!F27/1000</f>
        <v>7342.9721099999997</v>
      </c>
      <c r="H28" s="635">
        <f>'[30]Div 9'!G27/1000</f>
        <v>5919.1201500000006</v>
      </c>
      <c r="I28" s="643"/>
      <c r="J28" s="643">
        <f>'C.2.1 B'!D176/1000</f>
        <v>4830.3754565365161</v>
      </c>
      <c r="K28" s="643"/>
      <c r="L28" s="643">
        <f>'C.2.1 F'!D172/1000</f>
        <v>6566.4452651408128</v>
      </c>
      <c r="M28" s="643"/>
      <c r="N28" s="643">
        <v>7349</v>
      </c>
      <c r="O28" s="643">
        <v>8469</v>
      </c>
      <c r="P28" s="643">
        <v>9714</v>
      </c>
      <c r="Q28" s="635"/>
    </row>
    <row r="29" spans="1:18">
      <c r="A29" s="103" t="s">
        <v>1130</v>
      </c>
      <c r="D29" s="636">
        <f>SUM(D25:D28)</f>
        <v>41364.210610000002</v>
      </c>
      <c r="E29" s="636">
        <f>SUM(E25:E28)</f>
        <v>44701.108600000007</v>
      </c>
      <c r="F29" s="636">
        <f>SUM(F25:F28)</f>
        <v>48344.490820000006</v>
      </c>
      <c r="G29" s="636">
        <f>SUM(G25:G28)</f>
        <v>53779.36875999999</v>
      </c>
      <c r="H29" s="636">
        <f>SUM(H25:H28)</f>
        <v>52266.366340000008</v>
      </c>
      <c r="I29" s="635"/>
      <c r="J29" s="635">
        <f>SUM(J25:J28)</f>
        <v>50642.001373415544</v>
      </c>
      <c r="K29" s="635"/>
      <c r="L29" s="635">
        <f>SUM(L25:L28)</f>
        <v>54242.40562538118</v>
      </c>
      <c r="M29" s="635"/>
      <c r="N29" s="635">
        <f>SUM(N25:N28)</f>
        <v>58770</v>
      </c>
      <c r="O29" s="635">
        <f>SUM(O25:O28)</f>
        <v>63504</v>
      </c>
      <c r="P29" s="635">
        <f>SUM(P25:P28)</f>
        <v>68896</v>
      </c>
      <c r="Q29" s="635"/>
    </row>
    <row r="30" spans="1:18">
      <c r="D30" s="643"/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/>
      <c r="Q30" s="635"/>
    </row>
    <row r="31" spans="1:18">
      <c r="A31" s="103" t="s">
        <v>587</v>
      </c>
      <c r="D31" s="635">
        <f>+D22-D29</f>
        <v>22750.661349999973</v>
      </c>
      <c r="E31" s="635">
        <f>+E22-E29</f>
        <v>23610.345130000031</v>
      </c>
      <c r="F31" s="635">
        <f>+F22-F29</f>
        <v>30429.852279999948</v>
      </c>
      <c r="G31" s="635">
        <f>+G22-G29</f>
        <v>28941.862129999987</v>
      </c>
      <c r="H31" s="635">
        <f>+H22-H29</f>
        <v>33984.603410000011</v>
      </c>
      <c r="I31" s="635"/>
      <c r="J31" s="635">
        <f>+J22-J29</f>
        <v>40525.231126324004</v>
      </c>
      <c r="K31" s="635"/>
      <c r="L31" s="635">
        <f>+L22-L29</f>
        <v>37777.753043230485</v>
      </c>
      <c r="M31" s="635"/>
      <c r="N31" s="635">
        <f>+N22-N29</f>
        <v>33287.054274521986</v>
      </c>
      <c r="O31" s="635">
        <f>+O22-O29</f>
        <v>28638.909877796832</v>
      </c>
      <c r="P31" s="635">
        <f>+P22-P29</f>
        <v>23343.412205629735</v>
      </c>
      <c r="Q31" s="635"/>
    </row>
    <row r="32" spans="1:18">
      <c r="D32" s="635"/>
      <c r="E32" s="635"/>
      <c r="F32" s="635"/>
      <c r="G32" s="635"/>
      <c r="H32" s="635"/>
      <c r="I32" s="635"/>
      <c r="J32" s="635"/>
      <c r="K32" s="635"/>
      <c r="L32" s="635"/>
      <c r="M32" s="635"/>
      <c r="N32" s="635"/>
      <c r="O32" s="635"/>
      <c r="P32" s="635"/>
      <c r="Q32" s="635"/>
    </row>
    <row r="33" spans="1:18">
      <c r="A33" s="103" t="s">
        <v>588</v>
      </c>
      <c r="D33" s="635"/>
      <c r="E33" s="635"/>
      <c r="F33" s="635"/>
      <c r="G33" s="635"/>
      <c r="H33" s="635"/>
      <c r="I33" s="635"/>
      <c r="J33" s="635"/>
      <c r="K33" s="635"/>
      <c r="L33" s="635"/>
      <c r="M33" s="635"/>
      <c r="N33" s="635"/>
      <c r="O33" s="635"/>
      <c r="P33" s="635"/>
      <c r="Q33" s="635"/>
    </row>
    <row r="34" spans="1:18">
      <c r="B34" s="103" t="s">
        <v>806</v>
      </c>
      <c r="D34" s="635">
        <f>'[30]Div 9'!C33/1000</f>
        <v>63.590940000000003</v>
      </c>
      <c r="E34" s="635">
        <f>'[30]Div 9'!D33/1000</f>
        <v>82.738509999999991</v>
      </c>
      <c r="F34" s="635">
        <f>'[30]Div 9'!E33/1000</f>
        <v>69.150829999999999</v>
      </c>
      <c r="G34" s="635">
        <f>'[30]Div 9'!F33/1000</f>
        <v>39.563759999999995</v>
      </c>
      <c r="H34" s="635">
        <f>'[30]Div 9'!G33/1000</f>
        <v>42.014340000000004</v>
      </c>
      <c r="I34" s="635"/>
      <c r="J34" s="635">
        <f>H34</f>
        <v>42.014340000000004</v>
      </c>
      <c r="K34" s="635"/>
      <c r="L34" s="635">
        <f>J34</f>
        <v>42.014340000000004</v>
      </c>
      <c r="M34" s="635"/>
      <c r="N34" s="635">
        <v>52</v>
      </c>
      <c r="O34" s="635">
        <v>46</v>
      </c>
      <c r="P34" s="635">
        <v>41</v>
      </c>
      <c r="Q34" s="635"/>
    </row>
    <row r="35" spans="1:18">
      <c r="B35" s="103" t="s">
        <v>51</v>
      </c>
      <c r="D35" s="635">
        <f>'[30]Div 9'!C34/1000</f>
        <v>2702.1011899999999</v>
      </c>
      <c r="E35" s="635">
        <f>'[30]Div 9'!D34/1000</f>
        <v>2658.6314700000003</v>
      </c>
      <c r="F35" s="635">
        <f>'[30]Div 9'!E34/1000</f>
        <v>2704.8019899999999</v>
      </c>
      <c r="G35" s="635">
        <f>'[30]Div 9'!F34/1000</f>
        <v>2795.0063499999997</v>
      </c>
      <c r="H35" s="635">
        <f>'[30]Div 9'!G34/1000</f>
        <v>2791.57728</v>
      </c>
      <c r="I35" s="635"/>
      <c r="J35" s="635">
        <f>H35</f>
        <v>2791.57728</v>
      </c>
      <c r="K35" s="635"/>
      <c r="L35" s="635">
        <f t="shared" ref="L35:L36" si="1">J35</f>
        <v>2791.57728</v>
      </c>
      <c r="M35" s="635"/>
      <c r="N35" s="635">
        <v>2500</v>
      </c>
      <c r="O35" s="635">
        <v>2500</v>
      </c>
      <c r="P35" s="635">
        <v>2500</v>
      </c>
      <c r="R35" s="635"/>
    </row>
    <row r="36" spans="1:18">
      <c r="B36" s="103" t="s">
        <v>1614</v>
      </c>
      <c r="D36" s="635">
        <f>'[30]Div 9'!C40/-1000</f>
        <v>-328.98149999999998</v>
      </c>
      <c r="E36" s="635">
        <f>'[30]Div 9'!D40/-1000</f>
        <v>-193.89732000000001</v>
      </c>
      <c r="F36" s="635">
        <f>'[30]Div 9'!E40/-1000</f>
        <v>-298.85159999999996</v>
      </c>
      <c r="G36" s="635">
        <f>'[30]Div 9'!F40/-1000</f>
        <v>-427.16967999999997</v>
      </c>
      <c r="H36" s="635">
        <f>'[30]Div 9'!G40/-1000</f>
        <v>-354.79807</v>
      </c>
      <c r="I36" s="635"/>
      <c r="J36" s="635">
        <f>H36</f>
        <v>-354.79807</v>
      </c>
      <c r="K36" s="635"/>
      <c r="L36" s="635">
        <f t="shared" si="1"/>
        <v>-354.79807</v>
      </c>
      <c r="M36" s="635"/>
      <c r="N36" s="635">
        <f>L36</f>
        <v>-354.79807</v>
      </c>
      <c r="O36" s="635">
        <f>N36</f>
        <v>-354.79807</v>
      </c>
      <c r="P36" s="635">
        <f t="shared" ref="P36" si="2">N36</f>
        <v>-354.79807</v>
      </c>
      <c r="R36" s="635"/>
    </row>
    <row r="37" spans="1:18">
      <c r="B37" s="103" t="s">
        <v>589</v>
      </c>
      <c r="D37" s="635">
        <f>('[30]Div 9'!C35-'[30]Div 9'!C41)/1000</f>
        <v>-390.74576999999999</v>
      </c>
      <c r="E37" s="635">
        <f>('[30]Div 9'!D35-'[30]Div 9'!D41)/1000</f>
        <v>-514.19116999999994</v>
      </c>
      <c r="F37" s="635">
        <f>('[30]Div 9'!E35-'[30]Div 9'!E41)/1000</f>
        <v>-455.90368999999998</v>
      </c>
      <c r="G37" s="635">
        <f>('[30]Div 9'!F35-'[30]Div 9'!F41)/1000</f>
        <v>-344.33965000000001</v>
      </c>
      <c r="H37" s="635">
        <f>('[30]Div 9'!G35-'[30]Div 9'!G41)/1000</f>
        <v>-391.44265999999999</v>
      </c>
      <c r="I37" s="643"/>
      <c r="J37" s="643">
        <f>H37</f>
        <v>-391.44265999999999</v>
      </c>
      <c r="K37" s="643"/>
      <c r="L37" s="643">
        <f>J37</f>
        <v>-391.44265999999999</v>
      </c>
      <c r="M37" s="643"/>
      <c r="N37" s="643">
        <f>N38-N36-N35-N34</f>
        <v>-351.20193000000017</v>
      </c>
      <c r="O37" s="643">
        <f t="shared" ref="O37:P37" si="3">O38-O36-O35-O34</f>
        <v>-350.20193000000017</v>
      </c>
      <c r="P37" s="643">
        <f t="shared" si="3"/>
        <v>-350.20193000000017</v>
      </c>
      <c r="Q37" s="635"/>
    </row>
    <row r="38" spans="1:18">
      <c r="A38" s="103" t="s">
        <v>52</v>
      </c>
      <c r="D38" s="636">
        <f>D34+D35+D37-D36</f>
        <v>2703.9278599999998</v>
      </c>
      <c r="E38" s="636">
        <f t="shared" ref="E38:H38" si="4">E34+E35+E37-E36</f>
        <v>2421.0761300000004</v>
      </c>
      <c r="F38" s="636">
        <f t="shared" si="4"/>
        <v>2616.9007299999998</v>
      </c>
      <c r="G38" s="636">
        <f t="shared" si="4"/>
        <v>2917.4001399999997</v>
      </c>
      <c r="H38" s="636">
        <f t="shared" si="4"/>
        <v>2796.9470299999998</v>
      </c>
      <c r="I38" s="635"/>
      <c r="J38" s="635">
        <f>SUM(J34:J37)</f>
        <v>2087.3508900000002</v>
      </c>
      <c r="K38" s="635"/>
      <c r="L38" s="635">
        <f>SUM(L34:L37)</f>
        <v>2087.3508900000002</v>
      </c>
      <c r="M38" s="635"/>
      <c r="N38" s="635">
        <v>1846</v>
      </c>
      <c r="O38" s="635">
        <v>1841</v>
      </c>
      <c r="P38" s="635">
        <v>1836</v>
      </c>
      <c r="Q38" s="635"/>
    </row>
    <row r="39" spans="1:18">
      <c r="D39" s="635"/>
      <c r="E39" s="635"/>
      <c r="F39" s="635"/>
      <c r="G39" s="635"/>
      <c r="H39" s="635"/>
      <c r="I39" s="635"/>
      <c r="J39" s="635"/>
      <c r="K39" s="635"/>
      <c r="L39" s="635"/>
      <c r="M39" s="635"/>
      <c r="N39" s="635"/>
      <c r="O39" s="635"/>
      <c r="P39" s="635"/>
      <c r="Q39" s="635"/>
    </row>
    <row r="40" spans="1:18">
      <c r="A40" s="103" t="s">
        <v>997</v>
      </c>
      <c r="D40" s="635"/>
      <c r="E40" s="635"/>
      <c r="F40" s="635"/>
      <c r="G40" s="635"/>
      <c r="H40" s="635"/>
      <c r="I40" s="635"/>
      <c r="J40" s="635"/>
      <c r="K40" s="635"/>
      <c r="L40" s="635"/>
      <c r="M40" s="635"/>
      <c r="N40" s="635"/>
      <c r="O40" s="635"/>
      <c r="P40" s="635"/>
      <c r="Q40" s="635"/>
    </row>
    <row r="41" spans="1:18">
      <c r="A41" s="103" t="s">
        <v>729</v>
      </c>
      <c r="D41" s="637">
        <f>('[30]Div 9'!C38+'[30]Div 9'!C39)/1000</f>
        <v>5510.9806100000005</v>
      </c>
      <c r="E41" s="637">
        <f>('[30]Div 9'!D38+'[30]Div 9'!D39)/1000</f>
        <v>6436.1180700000004</v>
      </c>
      <c r="F41" s="637">
        <f>('[30]Div 9'!E38+'[30]Div 9'!E39)/1000</f>
        <v>6419.0697699999992</v>
      </c>
      <c r="G41" s="637">
        <f>('[30]Div 9'!F38+'[30]Div 9'!F39)/1000</f>
        <v>6743.6427100000001</v>
      </c>
      <c r="H41" s="637">
        <f>('[30]Div 9'!G38+'[30]Div 9'!G39)/1000</f>
        <v>7377.4536399999997</v>
      </c>
      <c r="I41" s="637"/>
      <c r="J41" s="637">
        <f>E!E32/1000</f>
        <v>8070.2148141079806</v>
      </c>
      <c r="K41" s="637"/>
      <c r="L41" s="637">
        <f>E!G32/1000</f>
        <v>9854.6136052209367</v>
      </c>
      <c r="M41" s="637"/>
      <c r="N41" s="637">
        <v>9234.2297497154977</v>
      </c>
      <c r="O41" s="637">
        <v>9911.4857940153634</v>
      </c>
      <c r="P41" s="637">
        <v>11131.60946837807</v>
      </c>
      <c r="Q41" s="635"/>
    </row>
    <row r="42" spans="1:18">
      <c r="A42" s="103" t="s">
        <v>730</v>
      </c>
      <c r="D42" s="637">
        <f>+D31+D38-D41</f>
        <v>19943.60859999997</v>
      </c>
      <c r="E42" s="637">
        <f>+E31+E38-E41</f>
        <v>19595.303190000031</v>
      </c>
      <c r="F42" s="637">
        <f>+F31+F38-F41</f>
        <v>26627.683239999951</v>
      </c>
      <c r="G42" s="637">
        <f>+G31+G38-G41</f>
        <v>25115.619559999985</v>
      </c>
      <c r="H42" s="637">
        <f>+H31+H38-H41</f>
        <v>29404.096800000014</v>
      </c>
      <c r="I42" s="637"/>
      <c r="J42" s="637">
        <f>+J31+J38-J41</f>
        <v>34542.367202216024</v>
      </c>
      <c r="K42" s="637"/>
      <c r="L42" s="637">
        <f>+L31+L38-L41</f>
        <v>30010.49032800955</v>
      </c>
      <c r="M42" s="637"/>
      <c r="N42" s="637">
        <f>+N31+N38-N41</f>
        <v>25898.824524806489</v>
      </c>
      <c r="O42" s="637">
        <f>+O31+O38-O41</f>
        <v>20568.424083781469</v>
      </c>
      <c r="P42" s="637">
        <f>+P31+P38-P41</f>
        <v>14047.802737251664</v>
      </c>
      <c r="Q42" s="635"/>
    </row>
    <row r="43" spans="1:18">
      <c r="B43" s="103" t="s">
        <v>731</v>
      </c>
      <c r="D43" s="637">
        <f>'[30]Div 9'!C48/1000</f>
        <v>5350.1074900000003</v>
      </c>
      <c r="E43" s="637">
        <f>'[30]Div 9'!D48/1000</f>
        <v>7419.8234199999997</v>
      </c>
      <c r="F43" s="637">
        <f>'[30]Div 9'!E48/1000</f>
        <v>9671.5353700000014</v>
      </c>
      <c r="G43" s="637">
        <f>'[30]Div 9'!F48/1000</f>
        <v>9884.3428100000001</v>
      </c>
      <c r="H43" s="637">
        <f>'[30]Div 9'!G48/1000</f>
        <v>9516.4333000000006</v>
      </c>
      <c r="I43" s="637"/>
      <c r="J43" s="637">
        <f>J42*E!$G$21</f>
        <v>8891.2053178504048</v>
      </c>
      <c r="K43" s="637"/>
      <c r="L43" s="637">
        <f>L42*E!$G$21</f>
        <v>7724.7002104296589</v>
      </c>
      <c r="M43" s="637"/>
      <c r="N43" s="637">
        <f>N42*E!$G$21</f>
        <v>6666.3574326851904</v>
      </c>
      <c r="O43" s="637">
        <f>O42*E!$G$21</f>
        <v>5294.3123591653502</v>
      </c>
      <c r="P43" s="637">
        <f>P42*E!$G$21</f>
        <v>3615.9044245685786</v>
      </c>
      <c r="Q43" s="635"/>
    </row>
    <row r="44" spans="1:18">
      <c r="D44" s="635"/>
      <c r="E44" s="635"/>
      <c r="F44" s="635"/>
      <c r="G44" s="635"/>
      <c r="H44" s="635"/>
      <c r="I44" s="635"/>
      <c r="J44" s="635"/>
      <c r="K44" s="635"/>
      <c r="L44" s="635"/>
      <c r="M44" s="635"/>
      <c r="N44" s="635"/>
      <c r="O44" s="635"/>
      <c r="P44" s="635"/>
      <c r="Q44" s="635"/>
    </row>
    <row r="45" spans="1:18" ht="15.75" thickBot="1">
      <c r="A45" s="103" t="s">
        <v>173</v>
      </c>
      <c r="D45" s="638">
        <f>+D42-D43</f>
        <v>14593.50110999997</v>
      </c>
      <c r="E45" s="638">
        <f>+E42-E43</f>
        <v>12175.479770000031</v>
      </c>
      <c r="F45" s="638">
        <f>+F42-F43</f>
        <v>16956.14786999995</v>
      </c>
      <c r="G45" s="638">
        <f>+G42-G43</f>
        <v>15231.276749999985</v>
      </c>
      <c r="H45" s="638">
        <f>+H42-H43</f>
        <v>19887.663500000013</v>
      </c>
      <c r="I45" s="638"/>
      <c r="J45" s="638">
        <f>+J42-J43</f>
        <v>25651.161884365618</v>
      </c>
      <c r="K45" s="638"/>
      <c r="L45" s="638">
        <f>+L42-L43</f>
        <v>22285.790117579891</v>
      </c>
      <c r="M45" s="638"/>
      <c r="N45" s="638">
        <f>+N42-N43</f>
        <v>19232.467092121296</v>
      </c>
      <c r="O45" s="638">
        <f>+O42-O43</f>
        <v>15274.111724616119</v>
      </c>
      <c r="P45" s="638">
        <f>+P42-P43</f>
        <v>10431.898312683086</v>
      </c>
      <c r="Q45" s="635"/>
    </row>
    <row r="46" spans="1:18" ht="15.75" thickTop="1">
      <c r="D46" s="426"/>
      <c r="E46" s="426"/>
      <c r="F46" s="426"/>
      <c r="G46" s="426"/>
      <c r="H46" s="426"/>
      <c r="I46" s="635"/>
      <c r="J46" s="426"/>
      <c r="K46" s="426"/>
      <c r="L46" s="426"/>
      <c r="M46" s="426"/>
      <c r="N46" s="426"/>
      <c r="O46" s="426"/>
      <c r="P46" s="426"/>
      <c r="Q46" s="426"/>
      <c r="R46" s="103" t="s">
        <v>327</v>
      </c>
    </row>
    <row r="47" spans="1:18">
      <c r="B47" s="959"/>
      <c r="D47" s="635"/>
      <c r="E47" s="635"/>
      <c r="F47" s="635"/>
      <c r="G47" s="635"/>
      <c r="H47" s="635"/>
      <c r="I47" s="635"/>
      <c r="J47" s="635"/>
      <c r="K47" s="635"/>
      <c r="L47" s="635"/>
      <c r="M47" s="635"/>
      <c r="N47" s="635"/>
      <c r="O47" s="635"/>
      <c r="P47" s="635"/>
      <c r="Q47" s="635"/>
    </row>
    <row r="48" spans="1:18">
      <c r="B48" s="959"/>
      <c r="D48" s="635"/>
      <c r="E48" s="635"/>
      <c r="F48" s="635"/>
      <c r="G48" s="635"/>
      <c r="H48" s="635"/>
      <c r="I48" s="635"/>
      <c r="J48" s="635"/>
      <c r="K48" s="635"/>
      <c r="L48" s="635"/>
      <c r="M48" s="635"/>
      <c r="N48" s="635"/>
      <c r="O48" s="635"/>
      <c r="P48" s="635"/>
      <c r="Q48" s="131"/>
    </row>
    <row r="49" spans="4:18">
      <c r="D49" s="635"/>
      <c r="E49" s="635"/>
      <c r="F49" s="635"/>
      <c r="G49" s="635"/>
      <c r="H49" s="635"/>
      <c r="I49" s="635"/>
      <c r="J49" s="635"/>
      <c r="K49" s="635"/>
      <c r="L49" s="635"/>
      <c r="M49" s="635"/>
      <c r="N49" s="635"/>
      <c r="O49" s="635"/>
      <c r="P49" s="635"/>
      <c r="Q49" s="131"/>
      <c r="R49" s="108"/>
    </row>
    <row r="50" spans="4:18">
      <c r="D50" s="635"/>
      <c r="E50" s="635"/>
      <c r="F50" s="635"/>
      <c r="G50" s="635"/>
      <c r="H50" s="635"/>
      <c r="I50" s="635"/>
      <c r="J50" s="635"/>
      <c r="K50" s="635"/>
      <c r="L50" s="635"/>
      <c r="M50" s="635"/>
      <c r="N50" s="635"/>
      <c r="O50" s="635"/>
      <c r="P50" s="635"/>
      <c r="Q50" s="131"/>
      <c r="R50" s="108"/>
    </row>
    <row r="51" spans="4:18">
      <c r="D51" s="635"/>
      <c r="E51" s="635"/>
      <c r="F51" s="635"/>
      <c r="G51" s="635"/>
      <c r="H51" s="635"/>
      <c r="I51" s="635"/>
      <c r="J51" s="635"/>
      <c r="K51" s="635"/>
      <c r="L51" s="635"/>
      <c r="M51" s="635"/>
      <c r="N51" s="635"/>
      <c r="O51" s="635"/>
      <c r="P51" s="635"/>
      <c r="Q51" s="635"/>
    </row>
    <row r="52" spans="4:18">
      <c r="D52" s="635"/>
      <c r="E52" s="635"/>
      <c r="F52" s="635"/>
      <c r="G52" s="635"/>
      <c r="H52" s="635"/>
      <c r="I52" s="635"/>
      <c r="J52" s="635"/>
      <c r="K52" s="635"/>
      <c r="L52" s="635"/>
      <c r="M52" s="635"/>
      <c r="N52" s="635"/>
      <c r="O52" s="635"/>
      <c r="P52" s="635"/>
      <c r="Q52" s="635"/>
    </row>
    <row r="53" spans="4:18">
      <c r="D53" s="635"/>
      <c r="E53" s="635"/>
      <c r="F53" s="635"/>
      <c r="G53" s="635"/>
      <c r="H53" s="635"/>
      <c r="I53" s="635"/>
      <c r="J53" s="635"/>
      <c r="K53" s="635"/>
      <c r="L53" s="635"/>
      <c r="M53" s="635"/>
      <c r="N53" s="635"/>
      <c r="O53" s="635"/>
      <c r="P53" s="635"/>
      <c r="Q53" s="108"/>
    </row>
    <row r="54" spans="4:18">
      <c r="D54" s="635"/>
      <c r="E54" s="635"/>
      <c r="F54" s="635"/>
      <c r="G54" s="635"/>
      <c r="H54" s="635"/>
      <c r="I54" s="635"/>
      <c r="J54" s="635"/>
      <c r="K54" s="635"/>
      <c r="L54" s="635"/>
      <c r="M54" s="635"/>
      <c r="N54" s="635"/>
      <c r="O54" s="635"/>
      <c r="P54" s="635"/>
      <c r="Q54" s="635"/>
    </row>
    <row r="55" spans="4:18"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108"/>
      <c r="O55" s="108"/>
      <c r="P55" s="635"/>
      <c r="Q55" s="635"/>
    </row>
    <row r="56" spans="4:18">
      <c r="D56" s="635"/>
      <c r="E56" s="635"/>
      <c r="F56" s="635"/>
      <c r="G56" s="635"/>
      <c r="H56" s="635"/>
      <c r="I56" s="635"/>
      <c r="J56" s="635"/>
      <c r="K56" s="635"/>
      <c r="L56" s="635"/>
      <c r="M56" s="635"/>
      <c r="N56" s="108"/>
      <c r="O56" s="108"/>
      <c r="P56" s="635"/>
      <c r="Q56" s="635"/>
    </row>
    <row r="57" spans="4:18">
      <c r="D57" s="635"/>
      <c r="E57" s="635"/>
      <c r="F57" s="635"/>
      <c r="G57" s="635"/>
      <c r="H57" s="635"/>
      <c r="I57" s="635"/>
      <c r="J57" s="635"/>
      <c r="K57" s="635"/>
      <c r="L57" s="635"/>
      <c r="M57" s="635"/>
      <c r="N57" s="635"/>
      <c r="O57" s="635"/>
      <c r="P57" s="635"/>
      <c r="Q57" s="635"/>
    </row>
    <row r="58" spans="4:18">
      <c r="D58" s="635"/>
      <c r="E58" s="635"/>
      <c r="F58" s="635"/>
      <c r="G58" s="635"/>
      <c r="H58" s="635"/>
      <c r="I58" s="635"/>
      <c r="J58" s="635"/>
      <c r="K58" s="635"/>
      <c r="L58" s="635"/>
      <c r="M58" s="635"/>
      <c r="N58" s="635"/>
      <c r="O58" s="635"/>
      <c r="P58" s="635"/>
      <c r="Q58" s="635"/>
    </row>
  </sheetData>
  <mergeCells count="6">
    <mergeCell ref="D10:H10"/>
    <mergeCell ref="A1:P1"/>
    <mergeCell ref="A2:P2"/>
    <mergeCell ref="A3:P3"/>
    <mergeCell ref="A4:P4"/>
    <mergeCell ref="A5:P5"/>
  </mergeCells>
  <phoneticPr fontId="22" type="noConversion"/>
  <printOptions horizontalCentered="1"/>
  <pageMargins left="0.5" right="0.5" top="0.66" bottom="0.5" header="0.5" footer="0.5"/>
  <pageSetup scale="70" orientation="landscape" verticalDpi="300" r:id="rId1"/>
  <headerFooter alignWithMargins="0">
    <oddFooter>&amp;RSchedule &amp;A
Page &amp;P of &amp;N</oddFooter>
  </headerFooter>
  <ignoredErrors>
    <ignoredError sqref="O3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0">
    <pageSetUpPr fitToPage="1"/>
  </sheetPr>
  <dimension ref="A1:M32"/>
  <sheetViews>
    <sheetView view="pageBreakPreview" zoomScale="60" zoomScaleNormal="100" workbookViewId="0">
      <selection activeCell="F27" sqref="F27"/>
    </sheetView>
  </sheetViews>
  <sheetFormatPr defaultColWidth="8" defaultRowHeight="15"/>
  <cols>
    <col min="1" max="1" width="8" style="1" customWidth="1"/>
    <col min="2" max="2" width="45.88671875" style="1" customWidth="1"/>
    <col min="3" max="3" width="14.33203125" style="1" customWidth="1"/>
    <col min="4" max="4" width="14.44140625" style="1" customWidth="1"/>
    <col min="5" max="5" width="4.77734375" style="1" customWidth="1"/>
    <col min="6" max="6" width="15.5546875" style="1" customWidth="1"/>
    <col min="7" max="7" width="5.77734375" style="1" customWidth="1"/>
    <col min="8" max="8" width="4.44140625" style="1" customWidth="1"/>
    <col min="9" max="9" width="13.109375" style="1" bestFit="1" customWidth="1"/>
    <col min="10" max="10" width="2.44140625" style="1" customWidth="1"/>
    <col min="11" max="11" width="13.109375" style="1" bestFit="1" customWidth="1"/>
    <col min="12" max="12" width="5.5546875" style="1" customWidth="1"/>
    <col min="13" max="13" width="11" style="1" bestFit="1" customWidth="1"/>
    <col min="14" max="14" width="2.21875" style="1" customWidth="1"/>
    <col min="15" max="15" width="11" style="1" bestFit="1" customWidth="1"/>
    <col min="16" max="16384" width="8" style="1"/>
  </cols>
  <sheetData>
    <row r="1" spans="1:13">
      <c r="A1" s="167" t="str">
        <f>'Table of Contents'!A1:C1</f>
        <v>Atmos Energy Corporation, Kentucky/Mid-States Division</v>
      </c>
      <c r="B1" s="30"/>
      <c r="C1" s="30"/>
      <c r="D1" s="30"/>
      <c r="E1" s="30"/>
      <c r="F1" s="30"/>
    </row>
    <row r="2" spans="1:13">
      <c r="A2" s="167" t="str">
        <f>'Table of Contents'!A2:C2</f>
        <v>Kentucky Jurisdiction Case No. 2017-00349</v>
      </c>
      <c r="B2" s="30"/>
      <c r="C2" s="30"/>
      <c r="D2" s="30"/>
      <c r="E2" s="30"/>
      <c r="F2" s="30"/>
    </row>
    <row r="3" spans="1:13">
      <c r="A3" s="31" t="s">
        <v>1120</v>
      </c>
      <c r="B3" s="30"/>
      <c r="C3" s="30"/>
      <c r="D3" s="30"/>
      <c r="E3" s="30"/>
      <c r="F3" s="30"/>
    </row>
    <row r="4" spans="1:13">
      <c r="A4" s="31" t="s">
        <v>1528</v>
      </c>
      <c r="B4" s="30"/>
      <c r="C4" s="30"/>
      <c r="D4" s="30"/>
      <c r="E4" s="30"/>
      <c r="F4" s="30"/>
    </row>
    <row r="6" spans="1:13">
      <c r="A6" s="4" t="s">
        <v>149</v>
      </c>
      <c r="F6" s="1" t="s">
        <v>1441</v>
      </c>
      <c r="H6" s="665"/>
      <c r="I6" s="665"/>
      <c r="J6" s="665"/>
      <c r="K6" s="665"/>
      <c r="L6" s="665"/>
    </row>
    <row r="7" spans="1:13">
      <c r="A7" s="4" t="str">
        <f>A.1!A8</f>
        <v>Type of Filing:___X____Original________Updated ________Revised</v>
      </c>
      <c r="F7" s="4" t="s">
        <v>753</v>
      </c>
      <c r="H7" s="665"/>
      <c r="I7" s="665"/>
      <c r="J7" s="665"/>
      <c r="K7" s="665"/>
      <c r="L7" s="665"/>
    </row>
    <row r="8" spans="1:13">
      <c r="A8" s="5" t="s">
        <v>431</v>
      </c>
      <c r="B8" s="6"/>
      <c r="C8" s="6"/>
      <c r="D8" s="6"/>
      <c r="E8" s="33"/>
      <c r="F8" s="5" t="str">
        <f>'B.1 B'!F8</f>
        <v>Witness:   Waller</v>
      </c>
      <c r="H8" s="665"/>
      <c r="I8" s="665"/>
      <c r="J8" s="665"/>
      <c r="K8" s="665"/>
      <c r="L8" s="665"/>
    </row>
    <row r="9" spans="1:13">
      <c r="F9" s="2"/>
      <c r="H9" s="665"/>
      <c r="I9" s="665"/>
      <c r="J9" s="665"/>
      <c r="K9" s="665"/>
      <c r="L9" s="665"/>
    </row>
    <row r="10" spans="1:13">
      <c r="C10" s="2" t="s">
        <v>1195</v>
      </c>
      <c r="D10" s="2" t="s">
        <v>44</v>
      </c>
      <c r="F10" s="2" t="s">
        <v>44</v>
      </c>
      <c r="H10" s="665"/>
      <c r="I10" s="726"/>
      <c r="J10" s="665"/>
      <c r="K10" s="665"/>
      <c r="L10" s="665"/>
      <c r="M10" s="665"/>
    </row>
    <row r="11" spans="1:13">
      <c r="A11" s="2" t="s">
        <v>94</v>
      </c>
      <c r="C11" s="2" t="s">
        <v>59</v>
      </c>
      <c r="D11" s="2" t="s">
        <v>320</v>
      </c>
      <c r="F11" s="2" t="s">
        <v>320</v>
      </c>
      <c r="H11" s="665"/>
      <c r="I11" s="665"/>
      <c r="J11" s="665"/>
      <c r="K11" s="665"/>
      <c r="L11" s="665"/>
      <c r="M11" s="665"/>
    </row>
    <row r="12" spans="1:13">
      <c r="A12" s="9" t="s">
        <v>100</v>
      </c>
      <c r="B12" s="5" t="s">
        <v>1198</v>
      </c>
      <c r="C12" s="9" t="s">
        <v>102</v>
      </c>
      <c r="D12" s="9" t="s">
        <v>321</v>
      </c>
      <c r="E12" s="6"/>
      <c r="F12" s="9" t="s">
        <v>517</v>
      </c>
      <c r="H12" s="665"/>
      <c r="I12" s="726"/>
      <c r="J12" s="665"/>
      <c r="K12" s="665"/>
      <c r="L12" s="665"/>
      <c r="M12" s="665"/>
    </row>
    <row r="13" spans="1:13">
      <c r="D13" s="2"/>
      <c r="F13" s="2"/>
      <c r="H13" s="665"/>
      <c r="I13" s="726"/>
      <c r="J13" s="665"/>
      <c r="K13" s="665"/>
      <c r="L13" s="665"/>
      <c r="M13" s="665"/>
    </row>
    <row r="14" spans="1:13">
      <c r="H14" s="665"/>
      <c r="I14" s="726"/>
      <c r="J14" s="665"/>
      <c r="K14" s="665"/>
      <c r="L14" s="665"/>
      <c r="M14" s="665"/>
    </row>
    <row r="15" spans="1:13">
      <c r="A15" s="2">
        <v>1</v>
      </c>
      <c r="B15" s="4" t="s">
        <v>168</v>
      </c>
      <c r="C15" s="2" t="s">
        <v>699</v>
      </c>
      <c r="D15" s="305">
        <f>'B.2 F'!I263</f>
        <v>679131592.9004035</v>
      </c>
      <c r="E15" s="73"/>
      <c r="F15" s="305">
        <f>'B.2 F'!N263</f>
        <v>657447129.35568082</v>
      </c>
      <c r="G15" s="81"/>
      <c r="H15" s="727"/>
      <c r="I15" s="726"/>
      <c r="J15" s="665"/>
      <c r="K15" s="665"/>
      <c r="L15" s="665"/>
      <c r="M15" s="665"/>
    </row>
    <row r="16" spans="1:13">
      <c r="A16" s="2">
        <f>A15+1</f>
        <v>2</v>
      </c>
      <c r="B16" s="4" t="s">
        <v>496</v>
      </c>
      <c r="C16" s="2" t="s">
        <v>699</v>
      </c>
      <c r="D16" s="73">
        <f>'B.2 F'!I265</f>
        <v>27493203.263484463</v>
      </c>
      <c r="E16" s="73"/>
      <c r="F16" s="73">
        <f>'B.2 F'!N265</f>
        <v>27493203.263484463</v>
      </c>
      <c r="G16" s="81"/>
      <c r="H16" s="727"/>
      <c r="I16" s="726"/>
      <c r="J16" s="665"/>
      <c r="K16" s="665"/>
      <c r="L16" s="665"/>
      <c r="M16" s="665"/>
    </row>
    <row r="17" spans="1:13">
      <c r="A17" s="2">
        <f>A16+1</f>
        <v>3</v>
      </c>
      <c r="B17" s="4" t="s">
        <v>534</v>
      </c>
      <c r="C17" s="2" t="s">
        <v>700</v>
      </c>
      <c r="D17" s="85">
        <f>-'B.3 F'!I263</f>
        <v>-199948564.40244839</v>
      </c>
      <c r="E17" s="73"/>
      <c r="F17" s="85">
        <f>-'B.3 F'!N263</f>
        <v>-191846139.2169258</v>
      </c>
      <c r="G17" s="81"/>
      <c r="H17" s="727"/>
      <c r="I17" s="726"/>
      <c r="J17" s="665"/>
      <c r="K17" s="665"/>
      <c r="L17" s="665"/>
      <c r="M17" s="665"/>
    </row>
    <row r="18" spans="1:13">
      <c r="A18" s="721"/>
      <c r="B18" s="4"/>
      <c r="C18" s="721"/>
      <c r="D18" s="77"/>
      <c r="E18" s="73"/>
      <c r="F18" s="77"/>
      <c r="G18" s="81"/>
      <c r="H18" s="727"/>
      <c r="I18" s="726"/>
      <c r="J18" s="665"/>
      <c r="K18" s="665"/>
      <c r="L18" s="665"/>
      <c r="M18" s="665"/>
    </row>
    <row r="19" spans="1:13">
      <c r="A19" s="2">
        <f>+A17+1</f>
        <v>4</v>
      </c>
      <c r="B19" s="4" t="s">
        <v>159</v>
      </c>
      <c r="D19" s="305">
        <f>SUM(D15:D17)</f>
        <v>506676231.76143956</v>
      </c>
      <c r="E19" s="73"/>
      <c r="F19" s="305">
        <f>SUM(F15:F17)</f>
        <v>493094193.4022395</v>
      </c>
      <c r="G19" s="81"/>
      <c r="H19" s="727"/>
      <c r="I19" s="726"/>
      <c r="J19" s="665"/>
      <c r="K19" s="665"/>
      <c r="L19" s="665"/>
      <c r="M19" s="665"/>
    </row>
    <row r="20" spans="1:13">
      <c r="A20" s="2"/>
      <c r="B20" s="4"/>
      <c r="D20" s="73"/>
      <c r="E20" s="73"/>
      <c r="F20" s="73"/>
      <c r="G20" s="81"/>
      <c r="H20" s="727"/>
      <c r="I20" s="726"/>
      <c r="J20" s="665"/>
      <c r="K20" s="665"/>
      <c r="L20" s="665"/>
      <c r="M20" s="665"/>
    </row>
    <row r="21" spans="1:13">
      <c r="A21" s="2">
        <f>A19+1</f>
        <v>5</v>
      </c>
      <c r="B21" s="4" t="s">
        <v>793</v>
      </c>
      <c r="C21" s="2" t="s">
        <v>701</v>
      </c>
      <c r="D21" s="305">
        <f>+'B.4 F'!E14</f>
        <v>3270503.6536615668</v>
      </c>
      <c r="E21" s="73"/>
      <c r="F21" s="305">
        <f>D21</f>
        <v>3270503.6536615668</v>
      </c>
      <c r="G21" s="81"/>
      <c r="H21" s="727"/>
      <c r="I21" s="726"/>
      <c r="J21" s="665"/>
      <c r="K21" s="665"/>
      <c r="L21" s="665"/>
      <c r="M21" s="665"/>
    </row>
    <row r="22" spans="1:13">
      <c r="A22" s="2">
        <f>+A21+1</f>
        <v>6</v>
      </c>
      <c r="B22" s="4" t="s">
        <v>1067</v>
      </c>
      <c r="C22" s="2" t="s">
        <v>702</v>
      </c>
      <c r="D22" s="355">
        <f>+'B.4.1 F'!F37</f>
        <v>-3947172.0595065602</v>
      </c>
      <c r="E22" s="355"/>
      <c r="F22" s="355">
        <f>+'B.4.1 F'!K37</f>
        <v>8469206.4432660379</v>
      </c>
      <c r="G22" s="81"/>
      <c r="H22" s="727"/>
      <c r="I22" s="726"/>
      <c r="J22" s="665"/>
      <c r="K22" s="665"/>
      <c r="L22" s="665"/>
      <c r="M22" s="665"/>
    </row>
    <row r="23" spans="1:13">
      <c r="A23" s="2">
        <f>+A22+1</f>
        <v>7</v>
      </c>
      <c r="B23" s="4" t="s">
        <v>639</v>
      </c>
      <c r="C23" s="2" t="s">
        <v>703</v>
      </c>
      <c r="D23" s="355">
        <f>'B.6 F'!G24</f>
        <v>-1437536.5350000001</v>
      </c>
      <c r="E23" s="355"/>
      <c r="F23" s="355">
        <f>'B.6 F'!L24</f>
        <v>-1437536.5350000001</v>
      </c>
      <c r="G23" s="81"/>
      <c r="H23" s="727"/>
      <c r="I23" s="726"/>
      <c r="J23" s="665"/>
      <c r="K23" s="665"/>
      <c r="L23" s="665"/>
      <c r="M23" s="665"/>
    </row>
    <row r="24" spans="1:13">
      <c r="A24" s="805">
        <f t="shared" ref="A24:A25" si="0">+A23+1</f>
        <v>8</v>
      </c>
      <c r="B24" s="4" t="s">
        <v>1693</v>
      </c>
      <c r="C24" s="1154" t="s">
        <v>1694</v>
      </c>
      <c r="D24" s="355">
        <f>F.6!I26+'WP B.5 F1'!C10</f>
        <v>-35152654.740000002</v>
      </c>
      <c r="E24" s="355"/>
      <c r="F24" s="355">
        <f>F.6!I27+'WP B.5 F1'!G23</f>
        <v>-34338567.120416686</v>
      </c>
      <c r="G24" s="81"/>
      <c r="H24" s="727"/>
      <c r="I24" s="726"/>
      <c r="J24" s="665"/>
      <c r="K24" s="665"/>
      <c r="L24" s="665"/>
      <c r="M24" s="665"/>
    </row>
    <row r="25" spans="1:13">
      <c r="A25" s="805">
        <f t="shared" si="0"/>
        <v>9</v>
      </c>
      <c r="B25" s="88" t="s">
        <v>1142</v>
      </c>
      <c r="C25" s="117" t="s">
        <v>704</v>
      </c>
      <c r="D25" s="418">
        <f>'B.5 F'!G49</f>
        <v>-36190615.515993476</v>
      </c>
      <c r="E25" s="355" t="s">
        <v>782</v>
      </c>
      <c r="F25" s="418">
        <f>'B.5 F'!L53</f>
        <v>-41906578.688600793</v>
      </c>
      <c r="G25" s="81"/>
      <c r="H25" s="727"/>
      <c r="I25" s="726"/>
      <c r="J25" s="665"/>
      <c r="K25" s="665"/>
      <c r="L25" s="665"/>
      <c r="M25" s="665"/>
    </row>
    <row r="26" spans="1:13">
      <c r="A26" s="2"/>
      <c r="E26" s="81"/>
      <c r="G26" s="81"/>
      <c r="H26" s="727"/>
      <c r="I26" s="726"/>
      <c r="J26" s="665"/>
      <c r="K26" s="665"/>
      <c r="L26" s="665"/>
      <c r="M26" s="665"/>
    </row>
    <row r="27" spans="1:13" ht="15.75" thickBot="1">
      <c r="A27" s="2">
        <f>A25+1</f>
        <v>10</v>
      </c>
      <c r="B27" s="4" t="s">
        <v>160</v>
      </c>
      <c r="D27" s="307">
        <f>SUM(D19:D25)</f>
        <v>433218756.56460106</v>
      </c>
      <c r="E27" s="73"/>
      <c r="F27" s="307">
        <f>SUM(F19:F25)</f>
        <v>427151221.15514958</v>
      </c>
      <c r="G27" s="430"/>
      <c r="H27" s="728"/>
      <c r="I27" s="726"/>
      <c r="J27" s="665"/>
      <c r="K27" s="665"/>
      <c r="L27" s="665"/>
      <c r="M27" s="665"/>
    </row>
    <row r="28" spans="1:13" ht="15.75" thickTop="1">
      <c r="D28" s="10"/>
      <c r="E28" s="73"/>
      <c r="F28" s="10"/>
      <c r="G28" s="81"/>
      <c r="H28" s="727"/>
      <c r="J28" s="667"/>
      <c r="K28" s="665"/>
      <c r="L28" s="665"/>
    </row>
    <row r="29" spans="1:13" ht="33.75">
      <c r="B29" s="844" t="s">
        <v>1524</v>
      </c>
    </row>
    <row r="31" spans="1:13">
      <c r="D31" s="10"/>
      <c r="E31" s="10"/>
      <c r="F31" s="10"/>
    </row>
    <row r="32" spans="1:13">
      <c r="D32" s="10"/>
      <c r="E32" s="10"/>
      <c r="F32" s="10"/>
    </row>
  </sheetData>
  <phoneticPr fontId="22" type="noConversion"/>
  <printOptions horizontalCentered="1"/>
  <pageMargins left="0.72" right="0.79" top="0.74" bottom="0.5" header="0.5" footer="0.5"/>
  <pageSetup scale="98" orientation="landscape" verticalDpi="300" r:id="rId1"/>
  <headerFooter alignWithMargins="0">
    <oddFooter>&amp;RSchedule &amp;A
Page &amp;P of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V74"/>
  <sheetViews>
    <sheetView view="pageBreakPreview" zoomScale="70" zoomScaleNormal="80" zoomScaleSheetLayoutView="70" workbookViewId="0">
      <pane xSplit="6" ySplit="12" topLeftCell="G13" activePane="bottomRight" state="frozen"/>
      <selection activeCell="F45" sqref="F45"/>
      <selection pane="topRight" activeCell="F45" sqref="F45"/>
      <selection pane="bottomLeft" activeCell="F45" sqref="F45"/>
      <selection pane="bottomRight" activeCell="V21" sqref="V21"/>
    </sheetView>
  </sheetViews>
  <sheetFormatPr defaultColWidth="7.109375" defaultRowHeight="15"/>
  <cols>
    <col min="1" max="1" width="4.44140625" style="103" customWidth="1"/>
    <col min="2" max="2" width="0" style="103" hidden="1" customWidth="1"/>
    <col min="3" max="3" width="12.33203125" style="103" customWidth="1"/>
    <col min="4" max="4" width="7.109375" style="103"/>
    <col min="5" max="5" width="4.44140625" style="103" customWidth="1"/>
    <col min="6" max="6" width="1.44140625" style="103" customWidth="1"/>
    <col min="7" max="7" width="13.33203125" style="103" bestFit="1" customWidth="1"/>
    <col min="8" max="8" width="12.88671875" style="103" customWidth="1"/>
    <col min="9" max="10" width="13.33203125" style="103" bestFit="1" customWidth="1"/>
    <col min="11" max="11" width="13.33203125" style="103" customWidth="1"/>
    <col min="12" max="12" width="1.44140625" style="103" customWidth="1"/>
    <col min="13" max="13" width="13.109375" style="103" bestFit="1" customWidth="1"/>
    <col min="14" max="14" width="1.44140625" style="103" customWidth="1"/>
    <col min="15" max="15" width="13.109375" style="103" bestFit="1" customWidth="1"/>
    <col min="16" max="16" width="1.44140625" style="103" customWidth="1"/>
    <col min="17" max="17" width="13.44140625" style="103" customWidth="1"/>
    <col min="18" max="19" width="13.5546875" style="103" customWidth="1"/>
    <col min="20" max="20" width="9.33203125" style="103" customWidth="1"/>
    <col min="21" max="22" width="11.44140625" style="103" bestFit="1" customWidth="1"/>
    <col min="23" max="16384" width="7.109375" style="103"/>
  </cols>
  <sheetData>
    <row r="1" spans="1:21">
      <c r="A1" s="1203" t="str">
        <f>'Table of Contents'!A1:C1</f>
        <v>Atmos Energy Corporation, Kentucky/Mid-States Division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1203"/>
      <c r="M1" s="1203"/>
      <c r="N1" s="1203"/>
      <c r="O1" s="1203"/>
      <c r="P1" s="1203"/>
      <c r="Q1" s="1203"/>
      <c r="R1" s="1203"/>
      <c r="S1" s="764"/>
    </row>
    <row r="2" spans="1:21">
      <c r="A2" s="1203" t="str">
        <f>'Table of Contents'!A2:C2</f>
        <v>Kentucky Jurisdiction Case No. 2017-00349</v>
      </c>
      <c r="B2" s="1203"/>
      <c r="C2" s="1203"/>
      <c r="D2" s="1203"/>
      <c r="E2" s="1203"/>
      <c r="F2" s="1203"/>
      <c r="G2" s="1203"/>
      <c r="H2" s="1203"/>
      <c r="I2" s="1203"/>
      <c r="J2" s="1203"/>
      <c r="K2" s="1203"/>
      <c r="L2" s="1203"/>
      <c r="M2" s="1203"/>
      <c r="N2" s="1203"/>
      <c r="O2" s="1203"/>
      <c r="P2" s="1203"/>
      <c r="Q2" s="1203"/>
      <c r="R2" s="1203"/>
      <c r="S2" s="764"/>
    </row>
    <row r="3" spans="1:21">
      <c r="A3" s="1203" t="s">
        <v>317</v>
      </c>
      <c r="B3" s="1203"/>
      <c r="C3" s="1203"/>
      <c r="D3" s="1203"/>
      <c r="E3" s="1203"/>
      <c r="F3" s="1203"/>
      <c r="G3" s="1203"/>
      <c r="H3" s="1203"/>
      <c r="I3" s="1203"/>
      <c r="J3" s="1203"/>
      <c r="K3" s="1203"/>
      <c r="L3" s="1203"/>
      <c r="M3" s="1203"/>
      <c r="N3" s="1203"/>
      <c r="O3" s="1203"/>
      <c r="P3" s="1203"/>
      <c r="Q3" s="1203"/>
      <c r="R3" s="1203"/>
      <c r="S3" s="764"/>
    </row>
    <row r="4" spans="1:21">
      <c r="A4" s="1203" t="str">
        <f>'Table of Contents'!A3:C3</f>
        <v>Base Period: Twelve Months Ended December 31, 2017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1203"/>
      <c r="M4" s="1203"/>
      <c r="N4" s="1203"/>
      <c r="O4" s="1203"/>
      <c r="P4" s="1203"/>
      <c r="Q4" s="1203"/>
      <c r="R4" s="1203"/>
      <c r="S4" s="764"/>
    </row>
    <row r="5" spans="1:21">
      <c r="A5" s="1203" t="str">
        <f>'Table of Contents'!A4:C4</f>
        <v>Forecasted Test Period: Twelve Months Ended March 31, 2019</v>
      </c>
      <c r="B5" s="1203"/>
      <c r="C5" s="1203"/>
      <c r="D5" s="1203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  <c r="P5" s="1203"/>
      <c r="Q5" s="1203"/>
      <c r="R5" s="1203"/>
      <c r="S5" s="764"/>
    </row>
    <row r="6" spans="1:21">
      <c r="T6" s="804"/>
      <c r="U6" s="804"/>
    </row>
    <row r="7" spans="1:21">
      <c r="A7" s="583" t="s">
        <v>686</v>
      </c>
      <c r="R7" s="103" t="s">
        <v>1464</v>
      </c>
      <c r="T7" s="804"/>
      <c r="U7" s="804"/>
    </row>
    <row r="8" spans="1:21">
      <c r="A8" s="583" t="s">
        <v>545</v>
      </c>
      <c r="Q8" s="583"/>
      <c r="R8" s="583" t="s">
        <v>1146</v>
      </c>
      <c r="T8" s="804"/>
      <c r="U8" s="804"/>
    </row>
    <row r="9" spans="1:21">
      <c r="A9" s="955" t="s">
        <v>369</v>
      </c>
      <c r="B9" s="934"/>
      <c r="C9" s="934"/>
      <c r="D9" s="934"/>
      <c r="E9" s="934"/>
      <c r="F9" s="934"/>
      <c r="G9" s="934"/>
      <c r="H9" s="934"/>
      <c r="I9" s="934"/>
      <c r="J9" s="934"/>
      <c r="K9" s="934"/>
      <c r="L9" s="934"/>
      <c r="M9" s="934"/>
      <c r="N9" s="934"/>
      <c r="O9" s="934"/>
      <c r="P9" s="934"/>
      <c r="Q9" s="955"/>
      <c r="R9" s="955" t="s">
        <v>1678</v>
      </c>
      <c r="S9" s="804"/>
      <c r="T9" s="804"/>
      <c r="U9" s="804"/>
    </row>
    <row r="10" spans="1:21">
      <c r="M10" s="121" t="s">
        <v>45</v>
      </c>
      <c r="O10" s="121" t="s">
        <v>44</v>
      </c>
      <c r="P10" s="121"/>
      <c r="T10" s="804"/>
      <c r="U10" s="804"/>
    </row>
    <row r="11" spans="1:21">
      <c r="A11" s="583" t="s">
        <v>94</v>
      </c>
      <c r="G11" s="1204" t="s">
        <v>1171</v>
      </c>
      <c r="H11" s="1204"/>
      <c r="I11" s="1204"/>
      <c r="J11" s="1204"/>
      <c r="K11" s="1204"/>
      <c r="M11" s="121" t="s">
        <v>543</v>
      </c>
      <c r="O11" s="121" t="s">
        <v>543</v>
      </c>
      <c r="P11" s="121"/>
      <c r="Q11" s="1204" t="s">
        <v>1040</v>
      </c>
      <c r="R11" s="1204"/>
      <c r="S11" s="1204"/>
      <c r="T11" s="804"/>
      <c r="U11" s="804"/>
    </row>
    <row r="12" spans="1:21">
      <c r="A12" s="955" t="s">
        <v>100</v>
      </c>
      <c r="B12" s="934"/>
      <c r="C12" s="648" t="s">
        <v>993</v>
      </c>
      <c r="D12" s="934"/>
      <c r="E12" s="934"/>
      <c r="F12" s="934"/>
      <c r="G12" s="639" t="str">
        <f>I.1!D13</f>
        <v>2012</v>
      </c>
      <c r="H12" s="639" t="str">
        <f>I.1!E13</f>
        <v>2013</v>
      </c>
      <c r="I12" s="639" t="str">
        <f>I.1!F13</f>
        <v>2014</v>
      </c>
      <c r="J12" s="639" t="str">
        <f>I.1!G13</f>
        <v>2015</v>
      </c>
      <c r="K12" s="639" t="str">
        <f>I.1!H13</f>
        <v>2016</v>
      </c>
      <c r="L12" s="971"/>
      <c r="M12" s="969">
        <f>I.1!J13</f>
        <v>43100</v>
      </c>
      <c r="N12" s="970"/>
      <c r="O12" s="969">
        <f>I.1!L13</f>
        <v>43555</v>
      </c>
      <c r="P12" s="972"/>
      <c r="Q12" s="639">
        <f>I.1!N13</f>
        <v>2019</v>
      </c>
      <c r="R12" s="639" t="str">
        <f>I.1!O13</f>
        <v>2020</v>
      </c>
      <c r="S12" s="639" t="str">
        <f>I.1!P13</f>
        <v>2021</v>
      </c>
      <c r="T12" s="804"/>
      <c r="U12" s="804"/>
    </row>
    <row r="13" spans="1:21">
      <c r="G13" s="121"/>
      <c r="H13" s="121"/>
      <c r="I13" s="121"/>
      <c r="J13" s="121"/>
      <c r="K13" s="121"/>
      <c r="M13" s="121"/>
      <c r="O13" s="121"/>
      <c r="P13" s="121"/>
      <c r="Q13" s="121"/>
      <c r="R13" s="121"/>
      <c r="S13" s="121"/>
      <c r="T13" s="804"/>
      <c r="U13" s="804"/>
    </row>
    <row r="14" spans="1:21">
      <c r="T14" s="804"/>
      <c r="U14" s="804"/>
    </row>
    <row r="15" spans="1:21">
      <c r="A15" s="121" t="s">
        <v>370</v>
      </c>
      <c r="C15" s="583" t="s">
        <v>723</v>
      </c>
      <c r="M15" s="103" t="s">
        <v>327</v>
      </c>
      <c r="T15" s="804"/>
      <c r="U15" s="804"/>
    </row>
    <row r="16" spans="1:21">
      <c r="A16" s="121" t="s">
        <v>372</v>
      </c>
      <c r="C16" s="583" t="s">
        <v>131</v>
      </c>
      <c r="G16" s="571">
        <f>SUM('[30]gas rev'!C12:C13)</f>
        <v>78630274.98999998</v>
      </c>
      <c r="H16" s="571">
        <f>SUM('[30]gas rev'!D12:D13)</f>
        <v>96055210.370000005</v>
      </c>
      <c r="I16" s="571">
        <f>SUM('[30]gas rev'!E12:E13)</f>
        <v>115327134.43999998</v>
      </c>
      <c r="J16" s="571">
        <f>SUM('[30]gas rev'!F12:F13)</f>
        <v>97211019.359999999</v>
      </c>
      <c r="K16" s="571">
        <f>SUM('[30]gas rev'!G12:G13)</f>
        <v>85596831.810000017</v>
      </c>
      <c r="M16" s="571">
        <f>'C.2.1 B'!D15+'C.2.1 B'!D16</f>
        <v>87967889.343029201</v>
      </c>
      <c r="O16" s="571">
        <f>'C.2.1 F'!D15</f>
        <v>98377919.415192276</v>
      </c>
      <c r="Q16" s="571">
        <f>'[6]Summary of Revenue'!AI11</f>
        <v>98211507.954418644</v>
      </c>
      <c r="R16" s="571">
        <f>'[6]Summary of Revenue'!AJ11</f>
        <v>97443624.928845793</v>
      </c>
      <c r="S16" s="571">
        <f>'[6]Summary of Revenue'!AK11</f>
        <v>97406846.124352798</v>
      </c>
      <c r="T16" s="683"/>
      <c r="U16" s="804"/>
    </row>
    <row r="17" spans="1:22">
      <c r="A17" s="121" t="s">
        <v>374</v>
      </c>
      <c r="C17" s="583" t="s">
        <v>132</v>
      </c>
      <c r="D17" s="121"/>
      <c r="G17" s="108">
        <f>'[30]gas rev'!C14</f>
        <v>31478562.100000001</v>
      </c>
      <c r="H17" s="108">
        <f>'[30]gas rev'!D14</f>
        <v>39938783.520000003</v>
      </c>
      <c r="I17" s="108">
        <f>'[30]gas rev'!E14</f>
        <v>49294803.939999998</v>
      </c>
      <c r="J17" s="108">
        <f>'[30]gas rev'!F14</f>
        <v>42476905.359999992</v>
      </c>
      <c r="K17" s="108">
        <f>'[30]gas rev'!G14</f>
        <v>34032004.469999999</v>
      </c>
      <c r="M17" s="108">
        <f>'C.2.1 B'!D17+'C.2.1 B'!D19</f>
        <v>36918736.901499577</v>
      </c>
      <c r="O17" s="108">
        <f>'C.2.1 F'!D16</f>
        <v>40637063.73720403</v>
      </c>
      <c r="Q17" s="571">
        <f>'[6]Summary of Revenue'!AI12</f>
        <v>40456028.424050696</v>
      </c>
      <c r="R17" s="571">
        <f>'[6]Summary of Revenue'!AJ12</f>
        <v>40007807.519311324</v>
      </c>
      <c r="S17" s="571">
        <f>'[6]Summary of Revenue'!AK12</f>
        <v>39910195.540734909</v>
      </c>
      <c r="T17" s="683"/>
      <c r="U17" s="804"/>
    </row>
    <row r="18" spans="1:22">
      <c r="A18" s="121" t="s">
        <v>375</v>
      </c>
      <c r="C18" s="583" t="s">
        <v>133</v>
      </c>
      <c r="D18" s="121"/>
      <c r="G18" s="108">
        <f>'[30]gas rev'!C15</f>
        <v>4926384.9400000004</v>
      </c>
      <c r="H18" s="108">
        <f>'[30]gas rev'!D15</f>
        <v>4796885.17</v>
      </c>
      <c r="I18" s="108">
        <f>'[30]gas rev'!E15</f>
        <v>5845776.3600000003</v>
      </c>
      <c r="J18" s="108">
        <f>'[30]gas rev'!F15</f>
        <v>5705426.8300000001</v>
      </c>
      <c r="K18" s="108">
        <f>'[30]gas rev'!G15</f>
        <v>4441439.42</v>
      </c>
      <c r="M18" s="108">
        <f>'C.2.1 B'!D18+'C.2.1 B'!D20</f>
        <v>6716990.634743318</v>
      </c>
      <c r="O18" s="108">
        <f>'C.2.1 F'!D17</f>
        <v>5286755.3393530753</v>
      </c>
      <c r="Q18" s="571">
        <f>'[6]Summary of Revenue'!AI13</f>
        <v>5232280.628185886</v>
      </c>
      <c r="R18" s="571">
        <f>'[6]Summary of Revenue'!AJ13</f>
        <v>5149116.8401296604</v>
      </c>
      <c r="S18" s="571">
        <f>'[6]Summary of Revenue'!AK13</f>
        <v>5133564.2935704105</v>
      </c>
      <c r="T18" s="683"/>
      <c r="U18" s="804"/>
    </row>
    <row r="19" spans="1:22">
      <c r="A19" s="121" t="s">
        <v>376</v>
      </c>
      <c r="C19" s="583" t="s">
        <v>164</v>
      </c>
      <c r="D19" s="121"/>
      <c r="G19" s="108">
        <f>'[30]gas rev'!C16</f>
        <v>6653818.7400000002</v>
      </c>
      <c r="H19" s="108">
        <f>'[30]gas rev'!D16</f>
        <v>8073794.1100000013</v>
      </c>
      <c r="I19" s="108">
        <f>'[30]gas rev'!E16</f>
        <v>9679607.4199999999</v>
      </c>
      <c r="J19" s="108">
        <f>'[30]gas rev'!F16</f>
        <v>7834566.2000000002</v>
      </c>
      <c r="K19" s="108">
        <f>'[30]gas rev'!G16</f>
        <v>5756387.6699999999</v>
      </c>
      <c r="M19" s="108">
        <f>'C.2.1 B'!D21+'C.2.1 B'!D22</f>
        <v>6067818.3093471676</v>
      </c>
      <c r="O19" s="108">
        <f>'C.2.1 F'!D18</f>
        <v>6847372.3870250378</v>
      </c>
      <c r="Q19" s="571">
        <f>'[6]Summary of Revenue'!AI14</f>
        <v>6816056.0391607247</v>
      </c>
      <c r="R19" s="571">
        <f>'[6]Summary of Revenue'!AJ14</f>
        <v>6726693.4810965508</v>
      </c>
      <c r="S19" s="571">
        <f>'[6]Summary of Revenue'!AK14</f>
        <v>6706909.91259869</v>
      </c>
      <c r="T19" s="683"/>
      <c r="U19" s="804"/>
    </row>
    <row r="20" spans="1:22">
      <c r="A20" s="121" t="s">
        <v>377</v>
      </c>
      <c r="C20" s="583" t="s">
        <v>86</v>
      </c>
      <c r="G20" s="425"/>
      <c r="H20" s="425"/>
      <c r="I20" s="425"/>
      <c r="J20" s="425"/>
      <c r="K20" s="425"/>
      <c r="M20" s="425"/>
      <c r="N20" s="934"/>
      <c r="O20" s="109"/>
      <c r="Q20" s="109"/>
      <c r="R20" s="109"/>
      <c r="S20" s="109"/>
      <c r="T20" s="683"/>
      <c r="U20" s="804"/>
    </row>
    <row r="21" spans="1:22">
      <c r="G21" s="108"/>
      <c r="H21" s="108"/>
      <c r="I21" s="108"/>
      <c r="J21" s="108"/>
      <c r="K21" s="108"/>
      <c r="M21" s="108"/>
      <c r="O21" s="108"/>
      <c r="Q21" s="108"/>
      <c r="R21" s="108"/>
      <c r="S21" s="108"/>
      <c r="T21" s="683"/>
    </row>
    <row r="22" spans="1:22">
      <c r="A22" s="121" t="s">
        <v>378</v>
      </c>
      <c r="C22" s="583" t="s">
        <v>424</v>
      </c>
      <c r="G22" s="571">
        <f>SUM(G16:G20)</f>
        <v>121689040.76999997</v>
      </c>
      <c r="H22" s="571">
        <f>SUM(H16:H20)</f>
        <v>148864673.17000002</v>
      </c>
      <c r="I22" s="571">
        <f>SUM(I16:I20)</f>
        <v>180147322.16</v>
      </c>
      <c r="J22" s="571">
        <f>SUM(J16:J20)</f>
        <v>153227917.75</v>
      </c>
      <c r="K22" s="571">
        <f>SUM(K16:K20)</f>
        <v>129826663.37000002</v>
      </c>
      <c r="M22" s="571">
        <f>SUM(M16:M20)</f>
        <v>137671435.18861926</v>
      </c>
      <c r="N22" s="359"/>
      <c r="O22" s="571">
        <f>SUM(O16:O20)</f>
        <v>151149110.87877443</v>
      </c>
      <c r="Q22" s="571">
        <f>SUM(Q16:Q20)</f>
        <v>150715873.04581597</v>
      </c>
      <c r="R22" s="571">
        <f>SUM(R16:R20)</f>
        <v>149327242.76938337</v>
      </c>
      <c r="S22" s="571">
        <f>SUM(S16:S20)</f>
        <v>149157515.8712568</v>
      </c>
      <c r="T22" s="683"/>
      <c r="U22" s="804"/>
      <c r="V22" s="804"/>
    </row>
    <row r="23" spans="1:22">
      <c r="G23" s="108"/>
      <c r="H23" s="108"/>
      <c r="I23" s="108"/>
      <c r="J23" s="108"/>
      <c r="K23" s="108"/>
      <c r="M23" s="108"/>
      <c r="O23" s="108"/>
      <c r="Q23" s="108"/>
      <c r="R23" s="108"/>
      <c r="S23" s="108"/>
      <c r="T23" s="683"/>
    </row>
    <row r="24" spans="1:22">
      <c r="A24" s="121">
        <v>8</v>
      </c>
      <c r="C24" s="583" t="s">
        <v>165</v>
      </c>
      <c r="G24" s="108"/>
      <c r="H24" s="108"/>
      <c r="I24" s="108"/>
      <c r="J24" s="108"/>
      <c r="K24" s="108"/>
      <c r="M24" s="108"/>
      <c r="O24" s="108"/>
      <c r="Q24" s="108"/>
      <c r="R24" s="108"/>
      <c r="S24" s="108"/>
      <c r="T24" s="683"/>
      <c r="U24" s="804"/>
    </row>
    <row r="25" spans="1:22">
      <c r="A25" s="121" t="s">
        <v>381</v>
      </c>
      <c r="C25" s="583" t="s">
        <v>131</v>
      </c>
      <c r="D25" s="121" t="s">
        <v>327</v>
      </c>
      <c r="G25" s="627">
        <f>'[30]Gas Customers (2)'!H28</f>
        <v>153903.75</v>
      </c>
      <c r="H25" s="627">
        <f>'[30]Gas Customers (2)'!I28</f>
        <v>155702.08333333334</v>
      </c>
      <c r="I25" s="627">
        <f>'[30]Gas Customers (2)'!J28</f>
        <v>155280.75</v>
      </c>
      <c r="J25" s="627">
        <f>'[30]Gas Customers (2)'!K28</f>
        <v>155597.41666666666</v>
      </c>
      <c r="K25" s="627">
        <f>'[30]Gas Customers (2)'!L28</f>
        <v>156173.75</v>
      </c>
      <c r="M25" s="627">
        <f>'[6]Summary of Stats'!O11</f>
        <v>156822.25</v>
      </c>
      <c r="N25" s="616"/>
      <c r="O25" s="627">
        <f>'[6]Summary of Stats'!AF11</f>
        <v>157197.25</v>
      </c>
      <c r="Q25" s="627">
        <f>'[6]Summary of Stats'!AI11</f>
        <v>157347.25</v>
      </c>
      <c r="R25" s="627">
        <f>'[6]Summary of Stats'!AJ11</f>
        <v>157647.25</v>
      </c>
      <c r="S25" s="627">
        <f>'[6]Summary of Stats'!AK11</f>
        <v>157947.25</v>
      </c>
      <c r="T25" s="683"/>
      <c r="U25" s="804"/>
    </row>
    <row r="26" spans="1:22">
      <c r="A26" s="121" t="s">
        <v>382</v>
      </c>
      <c r="C26" s="583" t="s">
        <v>132</v>
      </c>
      <c r="D26" s="121"/>
      <c r="G26" s="627">
        <f>'[30]Gas Customers (2)'!H42</f>
        <v>17318</v>
      </c>
      <c r="H26" s="627">
        <f>'[30]Gas Customers (2)'!I42</f>
        <v>17435.166666666668</v>
      </c>
      <c r="I26" s="627">
        <f>'[30]Gas Customers (2)'!J42</f>
        <v>17333.333333333332</v>
      </c>
      <c r="J26" s="627">
        <f>'[30]Gas Customers (2)'!K42</f>
        <v>17339</v>
      </c>
      <c r="K26" s="627">
        <f>'[30]Gas Customers (2)'!L42</f>
        <v>17353.666666666668</v>
      </c>
      <c r="M26" s="627">
        <f>'[6]Summary of Stats'!O12</f>
        <v>17418.583333333332</v>
      </c>
      <c r="O26" s="627">
        <f>'[6]Summary of Stats'!AF12</f>
        <v>17418.583333333332</v>
      </c>
      <c r="Q26" s="627">
        <f>'[6]Summary of Stats'!AI12</f>
        <v>17418.583333333336</v>
      </c>
      <c r="R26" s="627">
        <f>'[6]Summary of Stats'!AJ12</f>
        <v>17418.583333333336</v>
      </c>
      <c r="S26" s="627">
        <f>'[6]Summary of Stats'!AK12</f>
        <v>17418.583333333336</v>
      </c>
      <c r="T26" s="683"/>
      <c r="U26" s="804"/>
    </row>
    <row r="27" spans="1:22">
      <c r="A27" s="121">
        <v>11</v>
      </c>
      <c r="C27" s="583" t="s">
        <v>133</v>
      </c>
      <c r="D27" s="121"/>
      <c r="G27" s="627">
        <f>'[30]Gas Customers (2)'!H56</f>
        <v>206.91666666666666</v>
      </c>
      <c r="H27" s="627">
        <f>'[30]Gas Customers (2)'!I56</f>
        <v>203.66666666666666</v>
      </c>
      <c r="I27" s="627">
        <f>'[30]Gas Customers (2)'!J56</f>
        <v>201.16666666666666</v>
      </c>
      <c r="J27" s="627">
        <f>'[30]Gas Customers (2)'!K56</f>
        <v>205.33333333333334</v>
      </c>
      <c r="K27" s="627">
        <f>'[30]Gas Customers (2)'!L56</f>
        <v>205.83333333333334</v>
      </c>
      <c r="M27" s="627">
        <f>'[6]Summary of Stats'!O13</f>
        <v>211.61018518518517</v>
      </c>
      <c r="O27" s="627">
        <f>'[6]Summary of Stats'!AF13</f>
        <v>211.61018518518517</v>
      </c>
      <c r="Q27" s="627">
        <f>'[6]Summary of Stats'!AI13</f>
        <v>211.6101851851852</v>
      </c>
      <c r="R27" s="627">
        <f>'[6]Summary of Stats'!AJ13</f>
        <v>211.6101851851852</v>
      </c>
      <c r="S27" s="627">
        <f>'[6]Summary of Stats'!AK13</f>
        <v>211.6101851851852</v>
      </c>
      <c r="T27" s="683"/>
      <c r="U27" s="804"/>
    </row>
    <row r="28" spans="1:22">
      <c r="A28" s="121">
        <v>12</v>
      </c>
      <c r="C28" s="583" t="s">
        <v>164</v>
      </c>
      <c r="D28" s="121"/>
      <c r="G28" s="627">
        <f>'[30]Gas Customers (2)'!H70</f>
        <v>1575.3333333333333</v>
      </c>
      <c r="H28" s="627">
        <f>'[30]Gas Customers (2)'!I70</f>
        <v>1576.1666666666667</v>
      </c>
      <c r="I28" s="627">
        <f>'[30]Gas Customers (2)'!J70</f>
        <v>1560.8333333333333</v>
      </c>
      <c r="J28" s="627">
        <f>'[30]Gas Customers (2)'!K70</f>
        <v>1550</v>
      </c>
      <c r="K28" s="627">
        <f>'[30]Gas Customers (2)'!L70</f>
        <v>1548.5833333333333</v>
      </c>
      <c r="M28" s="627">
        <f>'[6]Summary of Stats'!O14</f>
        <v>1548.5833333333333</v>
      </c>
      <c r="O28" s="627">
        <f>'[6]Summary of Stats'!AF14</f>
        <v>1548.5833333333333</v>
      </c>
      <c r="Q28" s="627">
        <f>'[6]Summary of Stats'!AI14</f>
        <v>1548.5833333333333</v>
      </c>
      <c r="R28" s="627">
        <f>'[6]Summary of Stats'!AJ14</f>
        <v>1548.5833333333333</v>
      </c>
      <c r="S28" s="627">
        <f>'[6]Summary of Stats'!AK14</f>
        <v>1548.5833333333333</v>
      </c>
      <c r="T28" s="683"/>
      <c r="U28" s="804"/>
    </row>
    <row r="29" spans="1:22">
      <c r="A29" s="764" t="s">
        <v>327</v>
      </c>
      <c r="G29" s="108"/>
      <c r="H29" s="108"/>
      <c r="I29" s="108"/>
      <c r="J29" s="108"/>
      <c r="K29" s="108"/>
      <c r="M29" s="108"/>
      <c r="O29" s="108"/>
      <c r="Q29" s="108"/>
      <c r="R29" s="108"/>
      <c r="S29" s="108"/>
      <c r="T29" s="108"/>
    </row>
    <row r="30" spans="1:22">
      <c r="A30" s="764">
        <v>13</v>
      </c>
      <c r="C30" s="583" t="s">
        <v>97</v>
      </c>
      <c r="D30" s="121"/>
      <c r="G30" s="627">
        <f>SUM(G25:G29)</f>
        <v>173004</v>
      </c>
      <c r="H30" s="627">
        <f>SUM(H25:H29)</f>
        <v>174917.08333333331</v>
      </c>
      <c r="I30" s="627">
        <f>SUM(I25:I29)</f>
        <v>174376.08333333334</v>
      </c>
      <c r="J30" s="627">
        <f>SUM(J25:J29)</f>
        <v>174691.75</v>
      </c>
      <c r="K30" s="627">
        <f>SUM(K25:K29)</f>
        <v>175281.83333333334</v>
      </c>
      <c r="M30" s="627">
        <f>SUM(M25:M29)</f>
        <v>176001.02685185187</v>
      </c>
      <c r="N30" s="616"/>
      <c r="O30" s="627">
        <f>SUM(O25:O29)</f>
        <v>176376.02685185187</v>
      </c>
      <c r="Q30" s="627">
        <f>SUM(Q25:Q29)</f>
        <v>176526.02685185187</v>
      </c>
      <c r="R30" s="627">
        <f>SUM(R25:R29)</f>
        <v>176826.02685185187</v>
      </c>
      <c r="S30" s="627">
        <f>SUM(S25:S29)</f>
        <v>177126.02685185187</v>
      </c>
      <c r="T30" s="108"/>
    </row>
    <row r="31" spans="1:22">
      <c r="G31" s="108"/>
      <c r="H31" s="108"/>
      <c r="I31" s="108"/>
      <c r="J31" s="108"/>
      <c r="K31" s="108"/>
      <c r="M31" s="108"/>
      <c r="O31" s="108"/>
      <c r="P31" s="108"/>
      <c r="Q31" s="108"/>
      <c r="R31" s="108"/>
      <c r="S31" s="108"/>
      <c r="T31" s="108"/>
    </row>
    <row r="32" spans="1:22">
      <c r="A32" s="121">
        <v>14</v>
      </c>
      <c r="C32" s="583" t="s">
        <v>134</v>
      </c>
      <c r="G32" s="108"/>
      <c r="H32" s="108"/>
      <c r="I32" s="108"/>
      <c r="J32" s="108"/>
      <c r="K32" s="108"/>
      <c r="M32" s="108"/>
      <c r="O32" s="108"/>
      <c r="P32" s="108"/>
      <c r="Q32" s="108"/>
      <c r="R32" s="108"/>
      <c r="S32" s="108"/>
      <c r="T32" s="108"/>
    </row>
    <row r="33" spans="1:20">
      <c r="A33" s="121">
        <v>15</v>
      </c>
      <c r="C33" s="583" t="s">
        <v>131</v>
      </c>
      <c r="G33" s="571">
        <f t="shared" ref="G33:J36" si="0">(G16/G25)</f>
        <v>510.90551718200487</v>
      </c>
      <c r="H33" s="571">
        <f t="shared" si="0"/>
        <v>616.91666748197008</v>
      </c>
      <c r="I33" s="571">
        <f t="shared" si="0"/>
        <v>742.70078190632114</v>
      </c>
      <c r="J33" s="571">
        <f t="shared" si="0"/>
        <v>624.75985426064813</v>
      </c>
      <c r="K33" s="571">
        <f t="shared" ref="K33" si="1">(K16/K25)</f>
        <v>548.08719013278494</v>
      </c>
      <c r="L33" s="359"/>
      <c r="M33" s="571">
        <f>(M16/M25)</f>
        <v>560.94010475572952</v>
      </c>
      <c r="N33" s="359"/>
      <c r="O33" s="571">
        <f>(O16/O25)</f>
        <v>625.82468468877335</v>
      </c>
      <c r="P33" s="571"/>
      <c r="Q33" s="571">
        <f t="shared" ref="Q33:R36" si="2">(Q16/Q25)</f>
        <v>624.17047615651779</v>
      </c>
      <c r="R33" s="571">
        <f t="shared" si="2"/>
        <v>618.11179661456697</v>
      </c>
      <c r="S33" s="571">
        <f t="shared" ref="S33" si="3">(S16/S25)</f>
        <v>616.70491967636531</v>
      </c>
      <c r="T33" s="108"/>
    </row>
    <row r="34" spans="1:20">
      <c r="A34" s="121">
        <v>16</v>
      </c>
      <c r="C34" s="583" t="s">
        <v>132</v>
      </c>
      <c r="G34" s="108">
        <f t="shared" si="0"/>
        <v>1817.6788370481581</v>
      </c>
      <c r="H34" s="108">
        <f t="shared" si="0"/>
        <v>2290.7027092753151</v>
      </c>
      <c r="I34" s="108">
        <f t="shared" si="0"/>
        <v>2843.9309965384614</v>
      </c>
      <c r="J34" s="108">
        <f t="shared" si="0"/>
        <v>2449.7898010265872</v>
      </c>
      <c r="K34" s="108">
        <f t="shared" ref="K34" si="4">(K17/K26)</f>
        <v>1961.0843704500487</v>
      </c>
      <c r="M34" s="108">
        <f>(M17/M26)</f>
        <v>2119.5028433138696</v>
      </c>
      <c r="O34" s="108">
        <f>(O17/O26)</f>
        <v>2332.9718014115597</v>
      </c>
      <c r="P34" s="108"/>
      <c r="Q34" s="108">
        <f t="shared" si="2"/>
        <v>2322.5785731168735</v>
      </c>
      <c r="R34" s="108">
        <f t="shared" si="2"/>
        <v>2296.8462333414782</v>
      </c>
      <c r="S34" s="108">
        <f t="shared" ref="S34" si="5">(S17/S26)</f>
        <v>2291.2423345221282</v>
      </c>
      <c r="T34" s="108"/>
    </row>
    <row r="35" spans="1:20">
      <c r="A35" s="121">
        <v>17</v>
      </c>
      <c r="C35" s="583" t="s">
        <v>133</v>
      </c>
      <c r="G35" s="108">
        <f t="shared" si="0"/>
        <v>23808.545823600485</v>
      </c>
      <c r="H35" s="108">
        <f t="shared" si="0"/>
        <v>23552.627675941079</v>
      </c>
      <c r="I35" s="108">
        <f t="shared" si="0"/>
        <v>29059.368815244412</v>
      </c>
      <c r="J35" s="108">
        <f t="shared" si="0"/>
        <v>27786.169626623374</v>
      </c>
      <c r="K35" s="108">
        <f t="shared" ref="K35" si="6">(K18/K27)</f>
        <v>21577.843336032387</v>
      </c>
      <c r="M35" s="108">
        <f>(M18/M27)</f>
        <v>31742.28418573103</v>
      </c>
      <c r="O35" s="108">
        <f>(O18/O27)</f>
        <v>24983.463507328383</v>
      </c>
      <c r="P35" s="108"/>
      <c r="Q35" s="108">
        <f t="shared" si="2"/>
        <v>24726.033974248407</v>
      </c>
      <c r="R35" s="108">
        <f t="shared" si="2"/>
        <v>24333.029318147157</v>
      </c>
      <c r="S35" s="108">
        <f t="shared" ref="S35" si="7">(S18/S27)</f>
        <v>24259.533108379939</v>
      </c>
      <c r="T35" s="108"/>
    </row>
    <row r="36" spans="1:20">
      <c r="A36" s="121">
        <v>18</v>
      </c>
      <c r="C36" s="583" t="s">
        <v>164</v>
      </c>
      <c r="G36" s="108">
        <f t="shared" si="0"/>
        <v>4223.7529030892938</v>
      </c>
      <c r="H36" s="108">
        <f t="shared" si="0"/>
        <v>5122.4240943216673</v>
      </c>
      <c r="I36" s="108">
        <f t="shared" si="0"/>
        <v>6201.5637501334759</v>
      </c>
      <c r="J36" s="108">
        <f t="shared" si="0"/>
        <v>5054.5588387096777</v>
      </c>
      <c r="K36" s="108">
        <f t="shared" ref="K36" si="8">(K19/K28)</f>
        <v>3717.1959339180971</v>
      </c>
      <c r="M36" s="108">
        <f>(M19/M28)</f>
        <v>3918.3027343360068</v>
      </c>
      <c r="O36" s="108">
        <f>(O19/O28)</f>
        <v>4421.7009441048513</v>
      </c>
      <c r="P36" s="108"/>
      <c r="Q36" s="108">
        <f t="shared" si="2"/>
        <v>4401.4783657067592</v>
      </c>
      <c r="R36" s="108">
        <f t="shared" si="2"/>
        <v>4343.7723603916811</v>
      </c>
      <c r="S36" s="108">
        <f t="shared" ref="S36" si="9">(S19/S28)</f>
        <v>4330.9970914913783</v>
      </c>
      <c r="T36" s="108"/>
    </row>
    <row r="37" spans="1:20">
      <c r="H37" s="108"/>
      <c r="I37" s="108"/>
      <c r="J37" s="108"/>
      <c r="K37" s="108"/>
      <c r="M37" s="108"/>
    </row>
    <row r="38" spans="1:20">
      <c r="A38" s="583"/>
      <c r="C38" s="583" t="s">
        <v>1242</v>
      </c>
      <c r="G38" s="108"/>
      <c r="H38" s="108"/>
      <c r="I38" s="108"/>
      <c r="J38" s="108"/>
      <c r="K38" s="108"/>
      <c r="M38" s="108"/>
      <c r="O38" s="108"/>
      <c r="P38" s="108"/>
      <c r="Q38" s="108"/>
      <c r="R38" s="108"/>
      <c r="S38" s="108"/>
      <c r="T38" s="108"/>
    </row>
    <row r="39" spans="1:20">
      <c r="C39" s="583"/>
      <c r="G39" s="108"/>
      <c r="H39" s="108"/>
      <c r="I39" s="108"/>
      <c r="J39" s="108"/>
      <c r="K39" s="108"/>
      <c r="M39" s="108"/>
      <c r="O39" s="108"/>
      <c r="P39" s="108"/>
      <c r="Q39" s="108"/>
      <c r="R39" s="108"/>
      <c r="S39" s="108"/>
      <c r="T39" s="108"/>
    </row>
    <row r="40" spans="1:20">
      <c r="R40" s="108"/>
      <c r="S40" s="108"/>
      <c r="T40" s="108"/>
    </row>
    <row r="42" spans="1:20">
      <c r="R42" s="108"/>
      <c r="S42" s="108"/>
      <c r="T42" s="108"/>
    </row>
    <row r="43" spans="1:20">
      <c r="R43" s="108"/>
      <c r="S43" s="108"/>
      <c r="T43" s="108"/>
    </row>
    <row r="71" spans="9:11">
      <c r="I71" s="108"/>
      <c r="J71" s="108"/>
      <c r="K71" s="108"/>
    </row>
    <row r="72" spans="9:11">
      <c r="I72" s="108"/>
      <c r="J72" s="108"/>
      <c r="K72" s="108"/>
    </row>
    <row r="73" spans="9:11">
      <c r="I73" s="108"/>
      <c r="J73" s="108"/>
      <c r="K73" s="108"/>
    </row>
    <row r="74" spans="9:11">
      <c r="I74" s="108"/>
      <c r="J74" s="108"/>
      <c r="K74" s="108"/>
    </row>
  </sheetData>
  <mergeCells count="7">
    <mergeCell ref="G11:K11"/>
    <mergeCell ref="Q11:S11"/>
    <mergeCell ref="A1:R1"/>
    <mergeCell ref="A2:R2"/>
    <mergeCell ref="A4:R4"/>
    <mergeCell ref="A5:R5"/>
    <mergeCell ref="A3:R3"/>
  </mergeCells>
  <phoneticPr fontId="22" type="noConversion"/>
  <pageMargins left="0.5" right="0.5" top="0.75" bottom="0.5" header="0.5" footer="0.5"/>
  <pageSetup scale="64" orientation="landscape" verticalDpi="300" r:id="rId1"/>
  <headerFooter alignWithMargins="0">
    <oddFooter>&amp;RSchedule &amp;A
Page &amp;P of 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T74"/>
  <sheetViews>
    <sheetView view="pageBreakPreview" zoomScale="60" zoomScaleNormal="90" workbookViewId="0">
      <pane xSplit="6" ySplit="13" topLeftCell="G14" activePane="bottomRight" state="frozen"/>
      <selection activeCell="F45" sqref="F45"/>
      <selection pane="topRight" activeCell="F45" sqref="F45"/>
      <selection pane="bottomLeft" activeCell="F45" sqref="F45"/>
      <selection pane="bottomRight" activeCell="F45" sqref="F45"/>
    </sheetView>
  </sheetViews>
  <sheetFormatPr defaultColWidth="7.109375" defaultRowHeight="15"/>
  <cols>
    <col min="1" max="1" width="4" style="96" customWidth="1"/>
    <col min="2" max="2" width="0" style="96" hidden="1" customWidth="1"/>
    <col min="3" max="3" width="16.44140625" style="96" customWidth="1"/>
    <col min="4" max="4" width="5" style="96" customWidth="1"/>
    <col min="5" max="5" width="3.21875" style="96" customWidth="1"/>
    <col min="6" max="6" width="1.44140625" style="96" customWidth="1"/>
    <col min="7" max="8" width="11.44140625" style="96" customWidth="1"/>
    <col min="9" max="9" width="12.88671875" style="96" customWidth="1"/>
    <col min="10" max="11" width="11.44140625" style="96" customWidth="1"/>
    <col min="12" max="12" width="1.44140625" style="96" customWidth="1"/>
    <col min="13" max="13" width="12.109375" style="96" customWidth="1"/>
    <col min="14" max="14" width="1.44140625" style="96" customWidth="1"/>
    <col min="15" max="15" width="12.88671875" style="96" customWidth="1"/>
    <col min="16" max="16" width="1.5546875" style="96" customWidth="1"/>
    <col min="17" max="17" width="12.33203125" style="96" customWidth="1"/>
    <col min="18" max="19" width="12.88671875" style="96" customWidth="1"/>
    <col min="20" max="20" width="9.33203125" style="96" customWidth="1"/>
    <col min="21" max="16384" width="7.109375" style="96"/>
  </cols>
  <sheetData>
    <row r="1" spans="1:20">
      <c r="A1" s="1206" t="str">
        <f>'Table of Contents'!A1:C1</f>
        <v>Atmos Energy Corporation, Kentucky/Mid-States Division</v>
      </c>
      <c r="B1" s="1206"/>
      <c r="C1" s="1206"/>
      <c r="D1" s="1206"/>
      <c r="E1" s="1206"/>
      <c r="F1" s="1206"/>
      <c r="G1" s="1206"/>
      <c r="H1" s="1206"/>
      <c r="I1" s="1206"/>
      <c r="J1" s="1206"/>
      <c r="K1" s="1206"/>
      <c r="L1" s="1206"/>
      <c r="M1" s="1206"/>
      <c r="N1" s="1206"/>
      <c r="O1" s="1206"/>
      <c r="P1" s="1206"/>
      <c r="Q1" s="1206"/>
      <c r="R1" s="1206"/>
      <c r="S1" s="856"/>
    </row>
    <row r="2" spans="1:20">
      <c r="A2" s="1206" t="str">
        <f>'Table of Contents'!A2:C2</f>
        <v>Kentucky Jurisdiction Case No. 2017-00349</v>
      </c>
      <c r="B2" s="1206"/>
      <c r="C2" s="1206"/>
      <c r="D2" s="1206"/>
      <c r="E2" s="1206"/>
      <c r="F2" s="1206"/>
      <c r="G2" s="1206"/>
      <c r="H2" s="1206"/>
      <c r="I2" s="1206"/>
      <c r="J2" s="1206"/>
      <c r="K2" s="1206"/>
      <c r="L2" s="1206"/>
      <c r="M2" s="1206"/>
      <c r="N2" s="1206"/>
      <c r="O2" s="1206"/>
      <c r="P2" s="1206"/>
      <c r="Q2" s="1206"/>
      <c r="R2" s="1206"/>
      <c r="S2" s="856"/>
    </row>
    <row r="3" spans="1:20">
      <c r="A3" s="1206" t="s">
        <v>1145</v>
      </c>
      <c r="B3" s="1206"/>
      <c r="C3" s="1206"/>
      <c r="D3" s="1206"/>
      <c r="E3" s="1206"/>
      <c r="F3" s="1206"/>
      <c r="G3" s="1206"/>
      <c r="H3" s="1206"/>
      <c r="I3" s="1206"/>
      <c r="J3" s="1206"/>
      <c r="K3" s="1206"/>
      <c r="L3" s="1206"/>
      <c r="M3" s="1206"/>
      <c r="N3" s="1206"/>
      <c r="O3" s="1206"/>
      <c r="P3" s="1206"/>
      <c r="Q3" s="1206"/>
      <c r="R3" s="1206"/>
      <c r="S3" s="856"/>
    </row>
    <row r="4" spans="1:20">
      <c r="A4" s="1206" t="str">
        <f>'Table of Contents'!A3:C3</f>
        <v>Base Period: Twelve Months Ended December 31, 2017</v>
      </c>
      <c r="B4" s="1206"/>
      <c r="C4" s="1206"/>
      <c r="D4" s="1206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856"/>
    </row>
    <row r="5" spans="1:20">
      <c r="A5" s="1206" t="str">
        <f>'Table of Contents'!A4:C4</f>
        <v>Forecasted Test Period: Twelve Months Ended March 31, 2019</v>
      </c>
      <c r="B5" s="1206"/>
      <c r="C5" s="1206"/>
      <c r="D5" s="1206"/>
      <c r="E5" s="1206"/>
      <c r="F5" s="1206"/>
      <c r="G5" s="1206"/>
      <c r="H5" s="1206"/>
      <c r="I5" s="1206"/>
      <c r="J5" s="1206"/>
      <c r="K5" s="1206"/>
      <c r="L5" s="1206"/>
      <c r="M5" s="1206"/>
      <c r="N5" s="1206"/>
      <c r="O5" s="1206"/>
      <c r="P5" s="1206"/>
      <c r="Q5" s="1206"/>
      <c r="R5" s="1206"/>
      <c r="S5" s="856"/>
    </row>
    <row r="7" spans="1:20">
      <c r="A7" s="694" t="s">
        <v>686</v>
      </c>
      <c r="R7" s="96" t="s">
        <v>1465</v>
      </c>
    </row>
    <row r="8" spans="1:20">
      <c r="A8" s="694" t="s">
        <v>545</v>
      </c>
      <c r="R8" s="694" t="s">
        <v>1146</v>
      </c>
    </row>
    <row r="9" spans="1:20">
      <c r="A9" s="973" t="s">
        <v>1143</v>
      </c>
      <c r="B9" s="640"/>
      <c r="C9" s="640"/>
      <c r="D9" s="640"/>
      <c r="E9" s="640"/>
      <c r="F9" s="640"/>
      <c r="G9" s="640"/>
      <c r="H9" s="640"/>
      <c r="I9" s="640"/>
      <c r="J9" s="640"/>
      <c r="K9" s="640"/>
      <c r="L9" s="640"/>
      <c r="M9" s="640"/>
      <c r="N9" s="640"/>
      <c r="O9" s="640"/>
      <c r="P9" s="640"/>
      <c r="Q9" s="640"/>
      <c r="R9" s="973" t="str">
        <f>I.2!R9</f>
        <v>Witness: Gillham, Martin</v>
      </c>
      <c r="S9" s="107"/>
    </row>
    <row r="10" spans="1:20">
      <c r="M10" s="853" t="s">
        <v>45</v>
      </c>
      <c r="O10" s="853" t="s">
        <v>44</v>
      </c>
      <c r="P10" s="853"/>
    </row>
    <row r="11" spans="1:20">
      <c r="A11" s="694" t="s">
        <v>94</v>
      </c>
      <c r="G11" s="974"/>
      <c r="H11" s="975"/>
      <c r="I11" s="975" t="s">
        <v>1171</v>
      </c>
      <c r="J11" s="976"/>
      <c r="K11" s="976"/>
      <c r="M11" s="853" t="s">
        <v>543</v>
      </c>
      <c r="O11" s="853" t="s">
        <v>543</v>
      </c>
      <c r="P11" s="853"/>
      <c r="Q11" s="1205" t="s">
        <v>1040</v>
      </c>
      <c r="R11" s="1205"/>
      <c r="S11" s="1205"/>
    </row>
    <row r="12" spans="1:20">
      <c r="A12" s="973" t="s">
        <v>57</v>
      </c>
      <c r="B12" s="640"/>
      <c r="C12" s="977" t="s">
        <v>993</v>
      </c>
      <c r="D12" s="640"/>
      <c r="E12" s="640"/>
      <c r="F12" s="640"/>
      <c r="G12" s="978" t="str">
        <f>I.1!D13</f>
        <v>2012</v>
      </c>
      <c r="H12" s="978" t="str">
        <f>I.1!E13</f>
        <v>2013</v>
      </c>
      <c r="I12" s="978" t="str">
        <f>I.1!F13</f>
        <v>2014</v>
      </c>
      <c r="J12" s="978" t="str">
        <f>I.1!G13</f>
        <v>2015</v>
      </c>
      <c r="K12" s="978" t="str">
        <f>I.1!H13</f>
        <v>2016</v>
      </c>
      <c r="L12" s="979"/>
      <c r="M12" s="980">
        <f>I.1!J13</f>
        <v>43100</v>
      </c>
      <c r="N12" s="981"/>
      <c r="O12" s="980">
        <f>I.1!L13</f>
        <v>43555</v>
      </c>
      <c r="P12" s="982"/>
      <c r="Q12" s="978">
        <f>I.2!Q12</f>
        <v>2019</v>
      </c>
      <c r="R12" s="978" t="str">
        <f>I.2!R12</f>
        <v>2020</v>
      </c>
      <c r="S12" s="978" t="str">
        <f>I.2!S12</f>
        <v>2021</v>
      </c>
    </row>
    <row r="13" spans="1:20">
      <c r="G13" s="853" t="s">
        <v>570</v>
      </c>
      <c r="H13" s="853" t="s">
        <v>570</v>
      </c>
      <c r="I13" s="853" t="s">
        <v>570</v>
      </c>
      <c r="J13" s="853" t="s">
        <v>570</v>
      </c>
      <c r="K13" s="853"/>
      <c r="M13" s="853" t="s">
        <v>570</v>
      </c>
      <c r="O13" s="853" t="s">
        <v>570</v>
      </c>
      <c r="P13" s="853"/>
      <c r="Q13" s="853" t="s">
        <v>570</v>
      </c>
      <c r="R13" s="853" t="s">
        <v>570</v>
      </c>
      <c r="S13" s="853"/>
    </row>
    <row r="15" spans="1:20">
      <c r="A15" s="853">
        <v>1</v>
      </c>
      <c r="C15" s="694" t="s">
        <v>344</v>
      </c>
      <c r="M15" s="96" t="s">
        <v>327</v>
      </c>
      <c r="T15" s="86"/>
    </row>
    <row r="16" spans="1:20">
      <c r="A16" s="853">
        <v>2</v>
      </c>
      <c r="C16" s="694" t="s">
        <v>131</v>
      </c>
      <c r="G16" s="86">
        <f>[30]vols!C13</f>
        <v>8369577.9699999997</v>
      </c>
      <c r="H16" s="86">
        <f>[30]vols!D13</f>
        <v>10662876.41</v>
      </c>
      <c r="I16" s="86">
        <f>[30]vols!E13</f>
        <v>11757006.99</v>
      </c>
      <c r="J16" s="86">
        <f>[30]vols!F13</f>
        <v>10133137.57</v>
      </c>
      <c r="K16" s="86">
        <f>[30]vols!G13</f>
        <v>8859272.2200000007</v>
      </c>
      <c r="M16" s="86">
        <f>'[6]Summary of Stats'!O17</f>
        <v>9997159.5259268768</v>
      </c>
      <c r="O16" s="86">
        <f>'[6]Summary of Stats'!AF17</f>
        <v>10026385.522694048</v>
      </c>
      <c r="Q16" s="86">
        <f>'[6]Summary of Stats'!AI17</f>
        <v>10030146.499525107</v>
      </c>
      <c r="R16" s="86">
        <f>'[6]Summary of Stats'!AJ17</f>
        <v>10049272.308187226</v>
      </c>
      <c r="S16" s="86">
        <f>'[6]Summary of Stats'!AK17</f>
        <v>10068398.621149346</v>
      </c>
      <c r="T16" s="87"/>
    </row>
    <row r="17" spans="1:20">
      <c r="A17" s="853">
        <v>3</v>
      </c>
      <c r="C17" s="694" t="s">
        <v>132</v>
      </c>
      <c r="D17" s="853"/>
      <c r="G17" s="86">
        <f>[30]vols!C14</f>
        <v>3946439.65</v>
      </c>
      <c r="H17" s="86">
        <f>[30]vols!D14</f>
        <v>5112547.93</v>
      </c>
      <c r="I17" s="86">
        <f>[30]vols!E14</f>
        <v>5657641.1699999999</v>
      </c>
      <c r="J17" s="86">
        <f>[30]vols!F14</f>
        <v>4981322.42</v>
      </c>
      <c r="K17" s="86">
        <f>[30]vols!G14</f>
        <v>4436287.6000000006</v>
      </c>
      <c r="M17" s="86">
        <f>'[6]Summary of Stats'!O18</f>
        <v>4895832.09</v>
      </c>
      <c r="O17" s="86">
        <f>'[6]Summary of Stats'!AF18</f>
        <v>4895832.09</v>
      </c>
      <c r="Q17" s="86">
        <f>'[6]Summary of Stats'!AI18</f>
        <v>4895832.09</v>
      </c>
      <c r="R17" s="86">
        <f>'[6]Summary of Stats'!AJ18</f>
        <v>4895832.09</v>
      </c>
      <c r="S17" s="86">
        <f>'[6]Summary of Stats'!AK18</f>
        <v>4895832.09</v>
      </c>
      <c r="T17" s="87"/>
    </row>
    <row r="18" spans="1:20">
      <c r="A18" s="853">
        <v>4</v>
      </c>
      <c r="C18" s="694" t="s">
        <v>133</v>
      </c>
      <c r="D18" s="853"/>
      <c r="G18" s="86">
        <f>[30]vols!C15</f>
        <v>995094.70000000019</v>
      </c>
      <c r="H18" s="86">
        <f>[30]vols!D15</f>
        <v>807005.98999999987</v>
      </c>
      <c r="I18" s="86">
        <f>[30]vols!E15</f>
        <v>780038.61999999976</v>
      </c>
      <c r="J18" s="86">
        <f>[30]vols!F15</f>
        <v>706192.47</v>
      </c>
      <c r="K18" s="86">
        <f>[30]vols!G15</f>
        <v>1021717.6900000001</v>
      </c>
      <c r="M18" s="86">
        <f>'[6]Summary of Stats'!O19</f>
        <v>972670.4600000002</v>
      </c>
      <c r="O18" s="86">
        <f>'[6]Summary of Stats'!AF19</f>
        <v>972670.46000000008</v>
      </c>
      <c r="Q18" s="86">
        <f>'[6]Summary of Stats'!AI19</f>
        <v>972670.46</v>
      </c>
      <c r="R18" s="86">
        <f>'[6]Summary of Stats'!AJ19</f>
        <v>972670.46</v>
      </c>
      <c r="S18" s="86">
        <f>'[6]Summary of Stats'!AK19</f>
        <v>972670.46</v>
      </c>
      <c r="T18" s="87"/>
    </row>
    <row r="19" spans="1:20">
      <c r="A19" s="853">
        <v>5</v>
      </c>
      <c r="C19" s="694" t="s">
        <v>164</v>
      </c>
      <c r="D19" s="853"/>
      <c r="G19" s="86">
        <f>[30]vols!C16</f>
        <v>967626.79</v>
      </c>
      <c r="H19" s="86">
        <f>[30]vols!D16</f>
        <v>1185264.3900000001</v>
      </c>
      <c r="I19" s="86">
        <f>[30]vols!E16</f>
        <v>1241309.8799999999</v>
      </c>
      <c r="J19" s="86">
        <f>[30]vols!F16</f>
        <v>1055743.3699999999</v>
      </c>
      <c r="K19" s="86">
        <f>[30]vols!G16</f>
        <v>896168.19</v>
      </c>
      <c r="M19" s="86">
        <f>'[6]Summary of Stats'!O20</f>
        <v>963106.67</v>
      </c>
      <c r="O19" s="86">
        <f>'[6]Summary of Stats'!AF20</f>
        <v>963106.67</v>
      </c>
      <c r="Q19" s="86">
        <f>'[6]Summary of Stats'!AI20</f>
        <v>963106.66999999993</v>
      </c>
      <c r="R19" s="86">
        <f>'[6]Summary of Stats'!AJ20</f>
        <v>963106.66999999993</v>
      </c>
      <c r="S19" s="86">
        <f>'[6]Summary of Stats'!AK20</f>
        <v>963106.66999999993</v>
      </c>
      <c r="T19" s="87"/>
    </row>
    <row r="20" spans="1:20">
      <c r="A20" s="853">
        <v>6</v>
      </c>
      <c r="C20" s="694" t="s">
        <v>86</v>
      </c>
      <c r="G20" s="460"/>
      <c r="H20" s="460"/>
      <c r="I20" s="460"/>
      <c r="J20" s="460"/>
      <c r="K20" s="460"/>
      <c r="L20" s="640"/>
      <c r="M20" s="87"/>
      <c r="O20" s="87"/>
      <c r="Q20" s="974"/>
      <c r="R20" s="460"/>
      <c r="S20" s="460"/>
      <c r="T20" s="86"/>
    </row>
    <row r="21" spans="1:20">
      <c r="A21" s="853">
        <v>7</v>
      </c>
      <c r="G21" s="733"/>
      <c r="H21" s="733"/>
      <c r="I21" s="733"/>
      <c r="J21" s="733"/>
      <c r="K21" s="733"/>
      <c r="M21" s="733"/>
      <c r="O21" s="733"/>
      <c r="Q21" s="733"/>
      <c r="R21" s="733"/>
      <c r="S21" s="733"/>
      <c r="T21" s="86"/>
    </row>
    <row r="22" spans="1:20">
      <c r="A22" s="853">
        <v>8</v>
      </c>
      <c r="C22" s="694" t="s">
        <v>424</v>
      </c>
      <c r="G22" s="86">
        <f>SUM(G16:G20)</f>
        <v>14278739.109999999</v>
      </c>
      <c r="H22" s="86">
        <f>SUM(H16:H20)</f>
        <v>17767694.719999999</v>
      </c>
      <c r="I22" s="86">
        <f>SUM(I16:I20)</f>
        <v>19435996.66</v>
      </c>
      <c r="J22" s="86">
        <f>SUM(J16:J20)</f>
        <v>16876395.830000002</v>
      </c>
      <c r="K22" s="86">
        <f>SUM(K16:K20)</f>
        <v>15213445.699999999</v>
      </c>
      <c r="M22" s="86">
        <f>SUM(M16:M20)</f>
        <v>16828768.745926879</v>
      </c>
      <c r="O22" s="86">
        <f>SUM(O16:O20)</f>
        <v>16857994.74269405</v>
      </c>
      <c r="Q22" s="86">
        <f>SUM(Q16:Q20)</f>
        <v>16861755.719525106</v>
      </c>
      <c r="R22" s="86">
        <f>SUM(R16:R20)</f>
        <v>16880881.528187223</v>
      </c>
      <c r="S22" s="86">
        <f>SUM(S16:S20)</f>
        <v>16900007.841149345</v>
      </c>
      <c r="T22" s="86"/>
    </row>
    <row r="23" spans="1:20">
      <c r="A23" s="853">
        <v>9</v>
      </c>
      <c r="G23" s="86"/>
      <c r="H23" s="86"/>
      <c r="I23" s="86"/>
      <c r="J23" s="86"/>
      <c r="K23" s="86"/>
      <c r="M23" s="86"/>
      <c r="O23" s="86"/>
      <c r="Q23" s="86"/>
      <c r="R23" s="86"/>
      <c r="S23" s="86"/>
      <c r="T23" s="86"/>
    </row>
    <row r="24" spans="1:20">
      <c r="A24" s="853">
        <v>10</v>
      </c>
      <c r="C24" s="694" t="s">
        <v>165</v>
      </c>
      <c r="G24" s="86"/>
      <c r="H24" s="86"/>
      <c r="I24" s="86"/>
      <c r="J24" s="86"/>
      <c r="K24" s="86"/>
      <c r="M24" s="86"/>
      <c r="O24" s="86"/>
      <c r="Q24" s="86"/>
      <c r="R24" s="86"/>
      <c r="S24" s="86"/>
      <c r="T24" s="86"/>
    </row>
    <row r="25" spans="1:20">
      <c r="A25" s="853">
        <v>11</v>
      </c>
      <c r="C25" s="694" t="s">
        <v>131</v>
      </c>
      <c r="D25" s="853" t="s">
        <v>327</v>
      </c>
      <c r="G25" s="86">
        <f>I.2!G25</f>
        <v>153903.75</v>
      </c>
      <c r="H25" s="86">
        <f>I.2!H25</f>
        <v>155702.08333333334</v>
      </c>
      <c r="I25" s="86">
        <f>I.2!I25</f>
        <v>155280.75</v>
      </c>
      <c r="J25" s="86">
        <f>I.2!J25</f>
        <v>155597.41666666666</v>
      </c>
      <c r="K25" s="86">
        <f>I.2!K25</f>
        <v>156173.75</v>
      </c>
      <c r="M25" s="86">
        <f>I.2!M25</f>
        <v>156822.25</v>
      </c>
      <c r="O25" s="86">
        <f>I.2!O25</f>
        <v>157197.25</v>
      </c>
      <c r="Q25" s="86">
        <f>I.2!Q25</f>
        <v>157347.25</v>
      </c>
      <c r="R25" s="86">
        <f>I.2!R25</f>
        <v>157647.25</v>
      </c>
      <c r="S25" s="86">
        <f>I.2!S25</f>
        <v>157947.25</v>
      </c>
      <c r="T25" s="86"/>
    </row>
    <row r="26" spans="1:20">
      <c r="A26" s="853">
        <v>12</v>
      </c>
      <c r="C26" s="694" t="s">
        <v>132</v>
      </c>
      <c r="D26" s="853"/>
      <c r="G26" s="86">
        <f>I.2!G26</f>
        <v>17318</v>
      </c>
      <c r="H26" s="86">
        <f>I.2!H26</f>
        <v>17435.166666666668</v>
      </c>
      <c r="I26" s="86">
        <f>I.2!I26</f>
        <v>17333.333333333332</v>
      </c>
      <c r="J26" s="86">
        <f>I.2!J26</f>
        <v>17339</v>
      </c>
      <c r="K26" s="86">
        <f>I.2!K26</f>
        <v>17353.666666666668</v>
      </c>
      <c r="M26" s="86">
        <f>I.2!M26</f>
        <v>17418.583333333332</v>
      </c>
      <c r="O26" s="86">
        <f>I.2!O26</f>
        <v>17418.583333333332</v>
      </c>
      <c r="Q26" s="86">
        <f>I.2!Q26</f>
        <v>17418.583333333336</v>
      </c>
      <c r="R26" s="86">
        <f>I.2!R26</f>
        <v>17418.583333333336</v>
      </c>
      <c r="S26" s="86">
        <f>I.2!S26</f>
        <v>17418.583333333336</v>
      </c>
      <c r="T26" s="86"/>
    </row>
    <row r="27" spans="1:20">
      <c r="A27" s="853">
        <v>13</v>
      </c>
      <c r="C27" s="694" t="s">
        <v>133</v>
      </c>
      <c r="D27" s="853"/>
      <c r="G27" s="86">
        <f>I.2!G27</f>
        <v>206.91666666666666</v>
      </c>
      <c r="H27" s="86">
        <f>I.2!H27</f>
        <v>203.66666666666666</v>
      </c>
      <c r="I27" s="86">
        <f>I.2!I27</f>
        <v>201.16666666666666</v>
      </c>
      <c r="J27" s="86">
        <f>I.2!J27</f>
        <v>205.33333333333334</v>
      </c>
      <c r="K27" s="86">
        <f>I.2!K27</f>
        <v>205.83333333333334</v>
      </c>
      <c r="M27" s="86">
        <f>I.2!M27</f>
        <v>211.61018518518517</v>
      </c>
      <c r="O27" s="86">
        <f>I.2!O27</f>
        <v>211.61018518518517</v>
      </c>
      <c r="Q27" s="86">
        <f>I.2!Q27</f>
        <v>211.6101851851852</v>
      </c>
      <c r="R27" s="86">
        <f>I.2!R27</f>
        <v>211.6101851851852</v>
      </c>
      <c r="S27" s="86">
        <f>I.2!S27</f>
        <v>211.6101851851852</v>
      </c>
      <c r="T27" s="86"/>
    </row>
    <row r="28" spans="1:20">
      <c r="A28" s="853">
        <v>14</v>
      </c>
      <c r="C28" s="694" t="s">
        <v>164</v>
      </c>
      <c r="D28" s="853"/>
      <c r="G28" s="87">
        <f>I.2!G28</f>
        <v>1575.3333333333333</v>
      </c>
      <c r="H28" s="87">
        <f>I.2!H28</f>
        <v>1576.1666666666667</v>
      </c>
      <c r="I28" s="87">
        <f>I.2!I28</f>
        <v>1560.8333333333333</v>
      </c>
      <c r="J28" s="87">
        <f>I.2!J28</f>
        <v>1550</v>
      </c>
      <c r="K28" s="87">
        <f>I.2!K28</f>
        <v>1548.5833333333333</v>
      </c>
      <c r="M28" s="87">
        <f>I.2!M28</f>
        <v>1548.5833333333333</v>
      </c>
      <c r="O28" s="87">
        <f>I.2!O28</f>
        <v>1548.5833333333333</v>
      </c>
      <c r="Q28" s="460">
        <f>I.2!Q28</f>
        <v>1548.5833333333333</v>
      </c>
      <c r="R28" s="460">
        <f>I.2!R28</f>
        <v>1548.5833333333333</v>
      </c>
      <c r="S28" s="460">
        <f>I.2!S28</f>
        <v>1548.5833333333333</v>
      </c>
      <c r="T28" s="86"/>
    </row>
    <row r="29" spans="1:20">
      <c r="A29" s="853">
        <v>15</v>
      </c>
      <c r="G29" s="733"/>
      <c r="H29" s="733"/>
      <c r="I29" s="733"/>
      <c r="J29" s="733"/>
      <c r="K29" s="733"/>
      <c r="M29" s="733"/>
      <c r="O29" s="733"/>
      <c r="Q29" s="733"/>
      <c r="R29" s="733"/>
      <c r="S29" s="733"/>
      <c r="T29" s="86"/>
    </row>
    <row r="30" spans="1:20">
      <c r="A30" s="853">
        <v>16</v>
      </c>
      <c r="C30" s="694" t="s">
        <v>97</v>
      </c>
      <c r="D30" s="853"/>
      <c r="G30" s="86">
        <f>SUM(G25:G29)</f>
        <v>173004</v>
      </c>
      <c r="H30" s="86">
        <f>SUM(H25:H29)</f>
        <v>174917.08333333331</v>
      </c>
      <c r="I30" s="86">
        <f>SUM(I25:I29)</f>
        <v>174376.08333333334</v>
      </c>
      <c r="J30" s="86">
        <f>SUM(J25:J29)</f>
        <v>174691.75</v>
      </c>
      <c r="K30" s="86">
        <f>SUM(K25:K29)</f>
        <v>175281.83333333334</v>
      </c>
      <c r="M30" s="86">
        <f>SUM(M25:M29)</f>
        <v>176001.02685185187</v>
      </c>
      <c r="O30" s="86">
        <f>SUM(O25:O29)</f>
        <v>176376.02685185187</v>
      </c>
      <c r="Q30" s="86">
        <f>SUM(Q25:Q29)</f>
        <v>176526.02685185187</v>
      </c>
      <c r="R30" s="86">
        <f>SUM(R25:R29)</f>
        <v>176826.02685185187</v>
      </c>
      <c r="S30" s="86">
        <f>SUM(S25:S29)</f>
        <v>177126.02685185187</v>
      </c>
      <c r="T30" s="86"/>
    </row>
    <row r="31" spans="1:20">
      <c r="A31" s="853">
        <v>17</v>
      </c>
      <c r="G31" s="86"/>
      <c r="H31" s="86"/>
      <c r="I31" s="86"/>
      <c r="J31" s="86"/>
      <c r="K31" s="86"/>
      <c r="M31" s="86"/>
      <c r="O31" s="86"/>
      <c r="Q31" s="86"/>
      <c r="R31" s="86"/>
      <c r="S31" s="86"/>
      <c r="T31" s="86"/>
    </row>
    <row r="32" spans="1:20">
      <c r="A32" s="853">
        <v>18</v>
      </c>
      <c r="C32" s="694" t="s">
        <v>345</v>
      </c>
      <c r="G32" s="86"/>
      <c r="H32" s="86"/>
      <c r="I32" s="86"/>
      <c r="J32" s="86"/>
      <c r="K32" s="86"/>
      <c r="M32" s="86"/>
      <c r="O32" s="86"/>
      <c r="Q32" s="86"/>
      <c r="R32" s="86"/>
      <c r="S32" s="86"/>
      <c r="T32" s="86"/>
    </row>
    <row r="33" spans="1:20">
      <c r="A33" s="853">
        <v>19</v>
      </c>
      <c r="C33" s="694" t="s">
        <v>131</v>
      </c>
      <c r="G33" s="86">
        <f t="shared" ref="G33:J36" si="0">(G16/G25)</f>
        <v>54.381897582092705</v>
      </c>
      <c r="H33" s="86">
        <f t="shared" si="0"/>
        <v>68.482554515166512</v>
      </c>
      <c r="I33" s="86">
        <f t="shared" si="0"/>
        <v>75.714517028028268</v>
      </c>
      <c r="J33" s="86">
        <f t="shared" si="0"/>
        <v>65.124073310985779</v>
      </c>
      <c r="K33" s="86">
        <f t="shared" ref="K33" si="1">(K16/K25)</f>
        <v>56.727024996198146</v>
      </c>
      <c r="M33" s="86">
        <f>(M16/M25)</f>
        <v>63.748349012508598</v>
      </c>
      <c r="O33" s="86">
        <f>(O16/O25)</f>
        <v>63.782194171297832</v>
      </c>
      <c r="Q33" s="86">
        <f t="shared" ref="Q33:R36" si="2">(Q16/Q25)</f>
        <v>63.745292653828443</v>
      </c>
      <c r="R33" s="86">
        <f t="shared" si="2"/>
        <v>63.745306741394003</v>
      </c>
      <c r="S33" s="86">
        <f t="shared" ref="S33" si="3">(S16/S25)</f>
        <v>63.74532396828274</v>
      </c>
      <c r="T33" s="86"/>
    </row>
    <row r="34" spans="1:20">
      <c r="A34" s="853">
        <v>20</v>
      </c>
      <c r="C34" s="694" t="s">
        <v>132</v>
      </c>
      <c r="G34" s="86">
        <f t="shared" si="0"/>
        <v>227.88079743619355</v>
      </c>
      <c r="H34" s="86">
        <f t="shared" si="0"/>
        <v>293.23195055969256</v>
      </c>
      <c r="I34" s="86">
        <f t="shared" si="0"/>
        <v>326.40237519230772</v>
      </c>
      <c r="J34" s="86">
        <f t="shared" si="0"/>
        <v>287.2900640175327</v>
      </c>
      <c r="K34" s="86">
        <f t="shared" ref="K34" si="4">(K17/K26)</f>
        <v>255.63978409942186</v>
      </c>
      <c r="M34" s="86">
        <f>(M17/M26)</f>
        <v>281.06947599068047</v>
      </c>
      <c r="O34" s="86">
        <f>(O17/O26)</f>
        <v>281.06947599068047</v>
      </c>
      <c r="Q34" s="86">
        <f t="shared" si="2"/>
        <v>281.06947599068042</v>
      </c>
      <c r="R34" s="86">
        <f t="shared" si="2"/>
        <v>281.06947599068042</v>
      </c>
      <c r="S34" s="86">
        <f t="shared" ref="S34" si="5">(S17/S26)</f>
        <v>281.06947599068042</v>
      </c>
      <c r="T34" s="86"/>
    </row>
    <row r="35" spans="1:20">
      <c r="A35" s="853">
        <v>21</v>
      </c>
      <c r="C35" s="694" t="s">
        <v>133</v>
      </c>
      <c r="G35" s="86">
        <f t="shared" si="0"/>
        <v>4809.1568264196549</v>
      </c>
      <c r="H35" s="86">
        <f t="shared" si="0"/>
        <v>3962.3862029459897</v>
      </c>
      <c r="I35" s="86">
        <f t="shared" si="0"/>
        <v>3877.5739188069583</v>
      </c>
      <c r="J35" s="86">
        <f t="shared" si="0"/>
        <v>3439.2490422077917</v>
      </c>
      <c r="K35" s="86">
        <f t="shared" ref="K35" si="6">(K18/K27)</f>
        <v>4963.8106396761132</v>
      </c>
      <c r="M35" s="86">
        <f>(M18/M27)</f>
        <v>4596.5200547827735</v>
      </c>
      <c r="O35" s="86">
        <f>(O18/O27)</f>
        <v>4596.5200547827726</v>
      </c>
      <c r="Q35" s="86">
        <f t="shared" si="2"/>
        <v>4596.5200547827717</v>
      </c>
      <c r="R35" s="86">
        <f t="shared" si="2"/>
        <v>4596.5200547827717</v>
      </c>
      <c r="S35" s="86">
        <f t="shared" ref="S35" si="7">(S18/S27)</f>
        <v>4596.5200547827717</v>
      </c>
      <c r="T35" s="86"/>
    </row>
    <row r="36" spans="1:20">
      <c r="A36" s="853">
        <v>22</v>
      </c>
      <c r="C36" s="694" t="s">
        <v>164</v>
      </c>
      <c r="G36" s="86">
        <f t="shared" si="0"/>
        <v>614.23621878967424</v>
      </c>
      <c r="H36" s="86">
        <f t="shared" si="0"/>
        <v>751.99178809347575</v>
      </c>
      <c r="I36" s="86">
        <f t="shared" si="0"/>
        <v>795.28662893753335</v>
      </c>
      <c r="J36" s="86">
        <f t="shared" si="0"/>
        <v>681.12475483870958</v>
      </c>
      <c r="K36" s="86">
        <f t="shared" ref="K36" si="8">(K19/K28)</f>
        <v>578.70194694075224</v>
      </c>
      <c r="M36" s="86">
        <f>(M19/M28)</f>
        <v>621.92757036000648</v>
      </c>
      <c r="O36" s="86">
        <f>(O19/O28)</f>
        <v>621.92757036000648</v>
      </c>
      <c r="Q36" s="86">
        <f t="shared" si="2"/>
        <v>621.92757036000648</v>
      </c>
      <c r="R36" s="86">
        <f t="shared" si="2"/>
        <v>621.92757036000648</v>
      </c>
      <c r="S36" s="86">
        <f t="shared" ref="S36" si="9">(S19/S28)</f>
        <v>621.92757036000648</v>
      </c>
      <c r="T36" s="86"/>
    </row>
    <row r="37" spans="1:20">
      <c r="H37" s="86"/>
      <c r="I37" s="86"/>
      <c r="J37" s="86"/>
      <c r="K37" s="86"/>
      <c r="M37" s="86"/>
      <c r="T37" s="86"/>
    </row>
    <row r="38" spans="1:20">
      <c r="A38" s="694"/>
      <c r="C38" s="694"/>
      <c r="G38" s="86"/>
      <c r="H38" s="86"/>
      <c r="I38" s="86"/>
      <c r="J38" s="86"/>
      <c r="K38" s="86"/>
      <c r="M38" s="86"/>
      <c r="O38" s="86"/>
      <c r="Q38" s="86"/>
      <c r="R38" s="86"/>
      <c r="S38" s="86"/>
      <c r="T38" s="86"/>
    </row>
    <row r="39" spans="1:20">
      <c r="R39" s="86"/>
      <c r="S39" s="86"/>
      <c r="T39" s="86"/>
    </row>
    <row r="40" spans="1:20">
      <c r="R40" s="86"/>
      <c r="S40" s="86"/>
      <c r="T40" s="86"/>
    </row>
    <row r="42" spans="1:20">
      <c r="R42" s="86"/>
      <c r="S42" s="86"/>
      <c r="T42" s="86"/>
    </row>
    <row r="43" spans="1:20">
      <c r="R43" s="86"/>
      <c r="S43" s="86"/>
      <c r="T43" s="86"/>
    </row>
    <row r="48" spans="1:20">
      <c r="I48" s="86"/>
      <c r="J48" s="86"/>
      <c r="K48" s="86"/>
    </row>
    <row r="49" spans="9:11">
      <c r="I49" s="86"/>
      <c r="J49" s="86"/>
      <c r="K49" s="86"/>
    </row>
    <row r="50" spans="9:11">
      <c r="I50" s="86"/>
      <c r="J50" s="86"/>
      <c r="K50" s="86"/>
    </row>
    <row r="51" spans="9:11">
      <c r="I51" s="86"/>
      <c r="J51" s="86"/>
      <c r="K51" s="86"/>
    </row>
    <row r="52" spans="9:11">
      <c r="I52" s="86"/>
      <c r="J52" s="86"/>
      <c r="K52" s="86"/>
    </row>
    <row r="53" spans="9:11">
      <c r="I53" s="86"/>
      <c r="J53" s="86"/>
      <c r="K53" s="86"/>
    </row>
    <row r="54" spans="9:11">
      <c r="I54" s="86"/>
      <c r="J54" s="86"/>
      <c r="K54" s="86"/>
    </row>
    <row r="55" spans="9:11">
      <c r="I55" s="86"/>
      <c r="J55" s="86"/>
      <c r="K55" s="86"/>
    </row>
    <row r="56" spans="9:11">
      <c r="I56" s="86"/>
      <c r="J56" s="86"/>
      <c r="K56" s="86"/>
    </row>
    <row r="57" spans="9:11">
      <c r="I57" s="86"/>
      <c r="J57" s="86"/>
      <c r="K57" s="86"/>
    </row>
    <row r="58" spans="9:11">
      <c r="I58" s="86"/>
      <c r="J58" s="86"/>
      <c r="K58" s="86"/>
    </row>
    <row r="59" spans="9:11">
      <c r="I59" s="86"/>
      <c r="J59" s="86"/>
      <c r="K59" s="86"/>
    </row>
    <row r="60" spans="9:11">
      <c r="I60" s="86"/>
      <c r="J60" s="86"/>
      <c r="K60" s="86"/>
    </row>
    <row r="61" spans="9:11">
      <c r="I61" s="86"/>
      <c r="J61" s="86"/>
      <c r="K61" s="86"/>
    </row>
    <row r="62" spans="9:11">
      <c r="I62" s="86"/>
      <c r="J62" s="86"/>
      <c r="K62" s="86"/>
    </row>
    <row r="63" spans="9:11">
      <c r="I63" s="86"/>
      <c r="J63" s="86"/>
      <c r="K63" s="86"/>
    </row>
    <row r="64" spans="9:11">
      <c r="I64" s="86"/>
      <c r="J64" s="86"/>
      <c r="K64" s="86"/>
    </row>
    <row r="65" spans="9:11">
      <c r="I65" s="86"/>
      <c r="J65" s="86"/>
      <c r="K65" s="86"/>
    </row>
    <row r="66" spans="9:11">
      <c r="I66" s="86"/>
      <c r="J66" s="86"/>
      <c r="K66" s="86"/>
    </row>
    <row r="67" spans="9:11">
      <c r="I67" s="86"/>
      <c r="J67" s="86"/>
      <c r="K67" s="86"/>
    </row>
    <row r="68" spans="9:11">
      <c r="I68" s="86"/>
      <c r="J68" s="86"/>
      <c r="K68" s="86"/>
    </row>
    <row r="69" spans="9:11">
      <c r="I69" s="86"/>
      <c r="J69" s="86"/>
      <c r="K69" s="86"/>
    </row>
    <row r="70" spans="9:11">
      <c r="I70" s="86"/>
      <c r="J70" s="86"/>
      <c r="K70" s="86"/>
    </row>
    <row r="71" spans="9:11">
      <c r="I71" s="86"/>
      <c r="J71" s="86"/>
      <c r="K71" s="86"/>
    </row>
    <row r="72" spans="9:11">
      <c r="I72" s="86"/>
      <c r="J72" s="86"/>
      <c r="K72" s="86"/>
    </row>
    <row r="73" spans="9:11">
      <c r="I73" s="86"/>
      <c r="J73" s="86"/>
      <c r="K73" s="86"/>
    </row>
    <row r="74" spans="9:11">
      <c r="I74" s="86"/>
      <c r="J74" s="86"/>
      <c r="K74" s="86"/>
    </row>
  </sheetData>
  <mergeCells count="6">
    <mergeCell ref="Q11:S11"/>
    <mergeCell ref="A1:R1"/>
    <mergeCell ref="A2:R2"/>
    <mergeCell ref="A3:R3"/>
    <mergeCell ref="A4:R4"/>
    <mergeCell ref="A5:R5"/>
  </mergeCells>
  <phoneticPr fontId="22" type="noConversion"/>
  <pageMargins left="0.5" right="0.5" top="0.75" bottom="0.5" header="0.5" footer="0.5"/>
  <pageSetup scale="68" orientation="landscape" verticalDpi="300" r:id="rId1"/>
  <headerFooter alignWithMargins="0">
    <oddFooter>&amp;RSchedule &amp;A
Page &amp;P of 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V28"/>
  <sheetViews>
    <sheetView view="pageBreakPreview" zoomScale="80" zoomScaleNormal="90" zoomScaleSheetLayoutView="80" workbookViewId="0">
      <selection activeCell="M42" sqref="M42"/>
    </sheetView>
  </sheetViews>
  <sheetFormatPr defaultColWidth="10.109375" defaultRowHeight="15"/>
  <cols>
    <col min="1" max="1" width="5" style="1" customWidth="1"/>
    <col min="2" max="2" width="4.5546875" style="1" customWidth="1"/>
    <col min="3" max="3" width="16.109375" style="1" customWidth="1"/>
    <col min="4" max="4" width="5" style="1" customWidth="1"/>
    <col min="5" max="5" width="11" style="1" customWidth="1"/>
    <col min="6" max="6" width="5" style="1" customWidth="1"/>
    <col min="7" max="7" width="14.88671875" style="1" customWidth="1"/>
    <col min="8" max="8" width="5" style="1" customWidth="1"/>
    <col min="9" max="9" width="10.109375" style="1"/>
    <col min="10" max="10" width="5" style="1" customWidth="1"/>
    <col min="11" max="11" width="10.109375" style="1"/>
    <col min="12" max="12" width="5" style="1" customWidth="1"/>
    <col min="13" max="13" width="10.109375" style="1"/>
    <col min="14" max="14" width="6.6640625" style="1" customWidth="1"/>
    <col min="15" max="16" width="8.6640625" style="1" bestFit="1" customWidth="1"/>
    <col min="17" max="17" width="7.6640625" style="1" bestFit="1" customWidth="1"/>
    <col min="18" max="18" width="2.44140625" style="1" customWidth="1"/>
    <col min="19" max="19" width="10.109375" style="1"/>
    <col min="20" max="20" width="2.44140625" style="1" customWidth="1"/>
    <col min="21" max="21" width="10.109375" style="1"/>
    <col min="22" max="22" width="6.6640625" style="1" customWidth="1"/>
    <col min="23" max="16384" width="10.109375" style="1"/>
  </cols>
  <sheetData>
    <row r="1" spans="1:22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</row>
    <row r="2" spans="1:22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</row>
    <row r="3" spans="1:22">
      <c r="A3" s="1190" t="s">
        <v>2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</row>
    <row r="4" spans="1:22">
      <c r="A4" s="1190" t="str">
        <f>'Table of Contents'!A3:C3</f>
        <v>Base Period: Twelve Months Ended December 31, 2017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</row>
    <row r="5" spans="1:22">
      <c r="A5" s="705"/>
      <c r="B5" s="705"/>
      <c r="C5" s="705"/>
      <c r="D5" s="705"/>
      <c r="E5" s="705"/>
      <c r="F5" s="705"/>
      <c r="G5" s="705"/>
      <c r="H5" s="705"/>
      <c r="I5" s="705"/>
      <c r="J5" s="705"/>
      <c r="K5" s="705"/>
      <c r="L5" s="705"/>
      <c r="M5" s="705"/>
    </row>
    <row r="6" spans="1:22">
      <c r="M6" s="1" t="s">
        <v>1438</v>
      </c>
    </row>
    <row r="7" spans="1:22">
      <c r="A7" s="4" t="s">
        <v>383</v>
      </c>
      <c r="M7" s="487" t="s">
        <v>783</v>
      </c>
    </row>
    <row r="8" spans="1:22">
      <c r="A8" s="66" t="s">
        <v>621</v>
      </c>
      <c r="M8" s="487" t="s">
        <v>860</v>
      </c>
    </row>
    <row r="9" spans="1:22">
      <c r="A9" s="5" t="s">
        <v>369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488" t="s">
        <v>1679</v>
      </c>
    </row>
    <row r="10" spans="1:22">
      <c r="L10" s="15"/>
      <c r="M10" s="15"/>
      <c r="N10" s="15"/>
      <c r="S10" s="15"/>
      <c r="T10" s="15"/>
      <c r="U10" s="15"/>
      <c r="V10" s="15"/>
    </row>
    <row r="11" spans="1:22">
      <c r="A11" s="2" t="s">
        <v>94</v>
      </c>
      <c r="E11" s="2" t="s">
        <v>96</v>
      </c>
      <c r="I11" s="2" t="s">
        <v>104</v>
      </c>
      <c r="M11" s="2" t="s">
        <v>352</v>
      </c>
    </row>
    <row r="12" spans="1:22">
      <c r="A12" s="9" t="s">
        <v>100</v>
      </c>
      <c r="B12" s="6"/>
      <c r="C12" s="5" t="s">
        <v>351</v>
      </c>
      <c r="D12" s="6"/>
      <c r="E12" s="9" t="s">
        <v>102</v>
      </c>
      <c r="F12" s="6"/>
      <c r="G12" s="9" t="s">
        <v>105</v>
      </c>
      <c r="H12" s="6"/>
      <c r="I12" s="9" t="s">
        <v>42</v>
      </c>
      <c r="J12" s="6"/>
      <c r="K12" s="9" t="s">
        <v>1167</v>
      </c>
      <c r="L12" s="6"/>
      <c r="M12" s="9" t="s">
        <v>0</v>
      </c>
    </row>
    <row r="13" spans="1:22">
      <c r="E13" s="2" t="s">
        <v>1090</v>
      </c>
      <c r="G13" s="2" t="s">
        <v>1091</v>
      </c>
      <c r="I13" s="2" t="s">
        <v>1092</v>
      </c>
      <c r="K13" s="2" t="s">
        <v>15</v>
      </c>
      <c r="M13" s="2" t="s">
        <v>39</v>
      </c>
    </row>
    <row r="14" spans="1:22">
      <c r="G14" s="2" t="s">
        <v>629</v>
      </c>
      <c r="I14" s="787" t="s">
        <v>150</v>
      </c>
      <c r="K14" s="2" t="s">
        <v>150</v>
      </c>
      <c r="M14" s="2" t="s">
        <v>150</v>
      </c>
    </row>
    <row r="16" spans="1:22">
      <c r="G16" s="10"/>
      <c r="K16" s="3"/>
      <c r="O16" s="10"/>
      <c r="S16" s="3"/>
    </row>
    <row r="17" spans="1:21" ht="15.75">
      <c r="C17" s="197" t="s">
        <v>1504</v>
      </c>
      <c r="G17" s="10"/>
      <c r="I17" s="11"/>
      <c r="K17" s="3"/>
      <c r="M17" s="3"/>
      <c r="O17" s="10"/>
      <c r="Q17" s="11"/>
      <c r="S17" s="3"/>
      <c r="U17" s="3"/>
    </row>
    <row r="18" spans="1:21">
      <c r="G18" s="10"/>
      <c r="K18" s="3"/>
      <c r="O18" s="10"/>
      <c r="S18" s="3"/>
    </row>
    <row r="19" spans="1:21">
      <c r="A19" s="787">
        <v>6</v>
      </c>
      <c r="C19" s="4" t="s">
        <v>273</v>
      </c>
      <c r="E19" s="21" t="s">
        <v>277</v>
      </c>
      <c r="F19" s="10"/>
      <c r="G19" s="467">
        <f>+J.1!H17</f>
        <v>242504.31246159747</v>
      </c>
      <c r="H19" s="10"/>
      <c r="I19" s="11">
        <f>+G19/G27</f>
        <v>3.3630015346410788E-2</v>
      </c>
      <c r="J19" s="10"/>
      <c r="K19" s="44">
        <f>+J.1!L17</f>
        <v>1.9898265289283203E-2</v>
      </c>
      <c r="L19" s="10"/>
      <c r="M19" s="44">
        <f>ROUND(I19*K19,4)</f>
        <v>6.9999999999999999E-4</v>
      </c>
      <c r="O19" s="10"/>
      <c r="Q19" s="10"/>
      <c r="S19" s="3"/>
      <c r="U19" s="3"/>
    </row>
    <row r="20" spans="1:21">
      <c r="E20" s="10"/>
      <c r="F20" s="10"/>
      <c r="G20" s="10"/>
      <c r="H20" s="10"/>
      <c r="I20" s="10"/>
      <c r="J20" s="10"/>
      <c r="K20" s="44"/>
      <c r="L20" s="10"/>
      <c r="M20" s="44"/>
    </row>
    <row r="21" spans="1:21">
      <c r="A21" s="787">
        <v>7</v>
      </c>
      <c r="C21" s="4" t="s">
        <v>274</v>
      </c>
      <c r="E21" s="21" t="s">
        <v>277</v>
      </c>
      <c r="F21" s="10"/>
      <c r="G21" s="73">
        <f>'J-3 B'!E34*0.001</f>
        <v>3066734.19575</v>
      </c>
      <c r="H21" s="10"/>
      <c r="I21" s="11">
        <f>+G21/G27</f>
        <v>0.42528859392043761</v>
      </c>
      <c r="J21" s="10"/>
      <c r="K21" s="44">
        <f>+J.1!L19</f>
        <v>5.1299999999999998E-2</v>
      </c>
      <c r="L21" s="10"/>
      <c r="M21" s="44">
        <f>ROUND(I21*K21,4)</f>
        <v>2.18E-2</v>
      </c>
    </row>
    <row r="22" spans="1:21">
      <c r="E22" s="10"/>
      <c r="F22" s="10"/>
      <c r="G22" s="10"/>
      <c r="H22" s="10"/>
      <c r="I22" s="10"/>
      <c r="J22" s="10"/>
      <c r="K22" s="44"/>
      <c r="L22" s="10"/>
      <c r="M22" s="44"/>
    </row>
    <row r="23" spans="1:21">
      <c r="A23" s="787">
        <v>8</v>
      </c>
      <c r="C23" s="4" t="s">
        <v>275</v>
      </c>
      <c r="E23" s="21" t="s">
        <v>278</v>
      </c>
      <c r="F23" s="10"/>
      <c r="G23" s="10">
        <f>+J.1!H23</f>
        <v>0</v>
      </c>
      <c r="H23" s="10"/>
      <c r="I23" s="11">
        <f>+G23/G27</f>
        <v>0</v>
      </c>
      <c r="J23" s="10"/>
      <c r="K23" s="44">
        <f>+J.1!L23</f>
        <v>0</v>
      </c>
      <c r="L23" s="10"/>
      <c r="M23" s="44">
        <f>ROUND(I23*K23,4)</f>
        <v>0</v>
      </c>
    </row>
    <row r="24" spans="1:21">
      <c r="E24" s="10"/>
      <c r="F24" s="10"/>
      <c r="G24" s="10"/>
      <c r="H24" s="10"/>
      <c r="I24" s="10"/>
      <c r="J24" s="10"/>
      <c r="K24" s="44"/>
      <c r="L24" s="10"/>
      <c r="M24" s="44"/>
    </row>
    <row r="25" spans="1:21">
      <c r="A25" s="787">
        <v>9</v>
      </c>
      <c r="C25" s="4" t="s">
        <v>276</v>
      </c>
      <c r="E25" s="10"/>
      <c r="F25" s="10"/>
      <c r="G25" s="572">
        <f>+J.1!H25</f>
        <v>3901710.1031300002</v>
      </c>
      <c r="H25" s="10"/>
      <c r="I25" s="23">
        <f>+G25/G27</f>
        <v>0.54108139073315165</v>
      </c>
      <c r="J25" s="10"/>
      <c r="K25" s="44">
        <f>+J.1!L25</f>
        <v>0.10299999999999999</v>
      </c>
      <c r="L25" s="10"/>
      <c r="M25" s="45">
        <f>ROUND(I25*K25,4)</f>
        <v>5.57E-2</v>
      </c>
    </row>
    <row r="26" spans="1:21">
      <c r="G26" s="10"/>
      <c r="K26" s="3"/>
    </row>
    <row r="27" spans="1:21" ht="15.75" thickBot="1">
      <c r="A27" s="2">
        <v>10</v>
      </c>
      <c r="C27" s="4" t="s">
        <v>404</v>
      </c>
      <c r="G27" s="322">
        <f>SUM(G19:G25)</f>
        <v>7210948.6113415975</v>
      </c>
      <c r="I27" s="18">
        <f>SUM(I19:I25)</f>
        <v>1</v>
      </c>
      <c r="K27" s="11"/>
      <c r="M27" s="47">
        <f>(+M19+M21+M23+M25)</f>
        <v>7.8199999999999992E-2</v>
      </c>
    </row>
    <row r="28" spans="1:21" ht="15.75" thickTop="1"/>
  </sheetData>
  <mergeCells count="4">
    <mergeCell ref="A1:M1"/>
    <mergeCell ref="A2:M2"/>
    <mergeCell ref="A3:M3"/>
    <mergeCell ref="A4:M4"/>
  </mergeCells>
  <phoneticPr fontId="22" type="noConversion"/>
  <printOptions horizontalCentered="1"/>
  <pageMargins left="0.67" right="0.75" top="0.75" bottom="1.26" header="0.5" footer="0.5"/>
  <pageSetup scale="95" orientation="landscape" verticalDpi="300" r:id="rId1"/>
  <headerFooter alignWithMargins="0">
    <oddFooter>&amp;RSchedule &amp;A
Page &amp;P of 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Q33"/>
  <sheetViews>
    <sheetView view="pageBreakPreview" zoomScale="60" zoomScaleNormal="90" workbookViewId="0">
      <selection activeCell="F45" sqref="F45"/>
    </sheetView>
  </sheetViews>
  <sheetFormatPr defaultColWidth="10.109375" defaultRowHeight="15"/>
  <cols>
    <col min="1" max="1" width="6.5546875" style="81" customWidth="1"/>
    <col min="2" max="2" width="3.33203125" style="81" customWidth="1"/>
    <col min="3" max="3" width="16.109375" style="81" customWidth="1"/>
    <col min="4" max="4" width="11" style="81" customWidth="1"/>
    <col min="5" max="5" width="5.88671875" style="81" customWidth="1"/>
    <col min="6" max="6" width="13.109375" style="81" bestFit="1" customWidth="1"/>
    <col min="7" max="7" width="5" style="81" customWidth="1"/>
    <col min="8" max="8" width="10.109375" style="81"/>
    <col min="9" max="9" width="5" style="81" customWidth="1"/>
    <col min="10" max="10" width="10.109375" style="81" customWidth="1"/>
    <col min="11" max="11" width="6.33203125" style="81" customWidth="1"/>
    <col min="12" max="12" width="11.88671875" style="81" customWidth="1"/>
    <col min="13" max="16384" width="10.109375" style="81"/>
  </cols>
  <sheetData>
    <row r="1" spans="1:17">
      <c r="A1" s="1206" t="str">
        <f>'Table of Contents'!A1:C1</f>
        <v>Atmos Energy Corporation, Kentucky/Mid-States Division</v>
      </c>
      <c r="B1" s="1206"/>
      <c r="C1" s="1206"/>
      <c r="D1" s="1206"/>
      <c r="E1" s="1206"/>
      <c r="F1" s="1206"/>
      <c r="G1" s="1206"/>
      <c r="H1" s="1206"/>
      <c r="I1" s="1206"/>
      <c r="J1" s="1206"/>
      <c r="K1" s="1206"/>
      <c r="L1" s="1206"/>
    </row>
    <row r="2" spans="1:17">
      <c r="A2" s="1206" t="str">
        <f>'Table of Contents'!A2:C2</f>
        <v>Kentucky Jurisdiction Case No. 2017-00349</v>
      </c>
      <c r="B2" s="1206"/>
      <c r="C2" s="1206"/>
      <c r="D2" s="1206"/>
      <c r="E2" s="1206"/>
      <c r="F2" s="1206"/>
      <c r="G2" s="1206"/>
      <c r="H2" s="1206"/>
      <c r="I2" s="1206"/>
      <c r="J2" s="1206"/>
      <c r="K2" s="1206"/>
      <c r="L2" s="1206"/>
    </row>
    <row r="3" spans="1:17">
      <c r="A3" s="1206" t="s">
        <v>531</v>
      </c>
      <c r="B3" s="1206"/>
      <c r="C3" s="1206"/>
      <c r="D3" s="1206"/>
      <c r="E3" s="1206"/>
      <c r="F3" s="1206"/>
      <c r="G3" s="1206"/>
      <c r="H3" s="1206"/>
      <c r="I3" s="1206"/>
      <c r="J3" s="1206"/>
      <c r="K3" s="1206"/>
      <c r="L3" s="1206"/>
    </row>
    <row r="4" spans="1:17">
      <c r="A4" s="1206" t="s">
        <v>1529</v>
      </c>
      <c r="B4" s="1206"/>
      <c r="C4" s="1206"/>
      <c r="D4" s="1206"/>
      <c r="E4" s="1206"/>
      <c r="F4" s="1206"/>
      <c r="G4" s="1206"/>
      <c r="H4" s="1206"/>
      <c r="I4" s="1206"/>
      <c r="J4" s="1206"/>
      <c r="K4" s="1206"/>
      <c r="L4" s="1206"/>
    </row>
    <row r="5" spans="1:17">
      <c r="A5" s="856"/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56"/>
    </row>
    <row r="6" spans="1:17">
      <c r="L6" s="170" t="s">
        <v>1438</v>
      </c>
    </row>
    <row r="7" spans="1:17">
      <c r="A7" s="88" t="str">
        <f>'J-1 Base'!A7</f>
        <v>Data:__X___Base Period______Forecasted Period</v>
      </c>
      <c r="L7" s="983" t="s">
        <v>50</v>
      </c>
    </row>
    <row r="8" spans="1:17">
      <c r="A8" s="88" t="str">
        <f>'J-1 Base'!A8</f>
        <v>Type of Filing:___X____Original________Updated ________Revised</v>
      </c>
      <c r="L8" s="983" t="s">
        <v>860</v>
      </c>
    </row>
    <row r="9" spans="1:17">
      <c r="A9" s="390" t="str">
        <f>'J-1 Base'!A9</f>
        <v>Workpaper Reference No(s).____________________</v>
      </c>
      <c r="B9" s="151"/>
      <c r="C9" s="151"/>
      <c r="D9" s="151"/>
      <c r="E9" s="151"/>
      <c r="F9" s="151"/>
      <c r="G9" s="151"/>
      <c r="H9" s="151"/>
      <c r="I9" s="151"/>
      <c r="J9" s="151"/>
      <c r="K9" s="82"/>
      <c r="L9" s="548" t="str">
        <f>'J-1 Base'!M9</f>
        <v>Witness:  Christian</v>
      </c>
    </row>
    <row r="10" spans="1:17">
      <c r="H10" s="854">
        <v>-1</v>
      </c>
      <c r="J10" s="852" t="s">
        <v>354</v>
      </c>
      <c r="L10" s="852" t="s">
        <v>1154</v>
      </c>
    </row>
    <row r="11" spans="1:17">
      <c r="A11" s="852" t="s">
        <v>94</v>
      </c>
      <c r="F11" s="852" t="s">
        <v>105</v>
      </c>
      <c r="H11" s="852" t="s">
        <v>270</v>
      </c>
      <c r="J11" s="852" t="s">
        <v>355</v>
      </c>
      <c r="L11" s="852" t="s">
        <v>270</v>
      </c>
    </row>
    <row r="12" spans="1:17">
      <c r="A12" s="433" t="s">
        <v>100</v>
      </c>
      <c r="B12" s="151"/>
      <c r="C12" s="433" t="s">
        <v>356</v>
      </c>
      <c r="D12" s="151"/>
      <c r="E12" s="151"/>
      <c r="F12" s="433" t="s">
        <v>353</v>
      </c>
      <c r="G12" s="151"/>
      <c r="H12" s="433" t="s">
        <v>576</v>
      </c>
      <c r="I12" s="151"/>
      <c r="J12" s="433" t="s">
        <v>0</v>
      </c>
      <c r="K12" s="151"/>
      <c r="L12" s="433" t="s">
        <v>576</v>
      </c>
    </row>
    <row r="13" spans="1:17">
      <c r="C13" s="852" t="s">
        <v>1090</v>
      </c>
      <c r="F13" s="852" t="s">
        <v>1091</v>
      </c>
      <c r="H13" s="852" t="s">
        <v>1092</v>
      </c>
      <c r="J13" s="852" t="s">
        <v>15</v>
      </c>
      <c r="L13" s="852" t="s">
        <v>169</v>
      </c>
    </row>
    <row r="14" spans="1:17">
      <c r="F14" s="852" t="s">
        <v>629</v>
      </c>
      <c r="J14" s="852" t="s">
        <v>629</v>
      </c>
    </row>
    <row r="16" spans="1:17">
      <c r="A16" s="852" t="s">
        <v>370</v>
      </c>
      <c r="C16" s="88" t="s">
        <v>908</v>
      </c>
      <c r="F16" s="339">
        <f>'[31]Consolidated Balance Detail'!$L$26*0.001</f>
        <v>242504.31246159747</v>
      </c>
      <c r="G16" s="71"/>
      <c r="H16" s="984">
        <f>'[31]Consolidated Balance Detail'!$K$28</f>
        <v>9.159292654358421E-3</v>
      </c>
      <c r="I16" s="110"/>
      <c r="J16" s="339">
        <f>F16*H16</f>
        <v>2221.1679677797488</v>
      </c>
      <c r="K16" s="73"/>
      <c r="L16" s="73"/>
      <c r="M16" s="73"/>
      <c r="N16" s="985"/>
      <c r="O16" s="73"/>
      <c r="P16" s="73"/>
      <c r="Q16" s="73"/>
    </row>
    <row r="18" spans="1:17">
      <c r="A18" s="852">
        <v>2</v>
      </c>
      <c r="C18" s="88" t="s">
        <v>1613</v>
      </c>
      <c r="F18" s="85"/>
      <c r="G18" s="73"/>
      <c r="H18" s="73"/>
      <c r="I18" s="110"/>
      <c r="J18" s="339">
        <f>SUM('[31]Consolidated Balance Detail'!$N$24:$O$24)*0.001</f>
        <v>2604.2471753763439</v>
      </c>
      <c r="K18" s="73"/>
      <c r="L18" s="73"/>
      <c r="M18" s="73"/>
      <c r="N18" s="985"/>
      <c r="O18" s="73"/>
      <c r="P18" s="73"/>
      <c r="Q18" s="73"/>
    </row>
    <row r="19" spans="1:17">
      <c r="F19" s="73"/>
      <c r="G19" s="73"/>
      <c r="H19" s="112"/>
      <c r="I19" s="73"/>
      <c r="J19" s="73"/>
      <c r="K19" s="73"/>
      <c r="L19" s="73"/>
      <c r="M19" s="73"/>
      <c r="N19" s="73"/>
      <c r="O19" s="73"/>
      <c r="P19" s="73"/>
      <c r="Q19" s="73"/>
    </row>
    <row r="20" spans="1:17">
      <c r="A20" s="852">
        <v>3</v>
      </c>
      <c r="C20" s="88" t="s">
        <v>909</v>
      </c>
      <c r="F20" s="305">
        <f>SUM(F16:F18)</f>
        <v>242504.31246159747</v>
      </c>
      <c r="G20" s="73"/>
      <c r="H20" s="73"/>
      <c r="I20" s="110"/>
      <c r="J20" s="305">
        <f>SUM(J16:J18)</f>
        <v>4825.4151431560931</v>
      </c>
      <c r="K20" s="73"/>
      <c r="L20" s="112">
        <f>(J20/F20)</f>
        <v>1.9898265289283203E-2</v>
      </c>
      <c r="M20" s="73"/>
      <c r="N20" s="73"/>
      <c r="O20" s="73"/>
      <c r="P20" s="73"/>
      <c r="Q20" s="73"/>
    </row>
    <row r="21" spans="1:17">
      <c r="F21" s="73"/>
      <c r="G21" s="73"/>
      <c r="H21" s="112"/>
      <c r="I21" s="110"/>
      <c r="J21" s="110"/>
      <c r="K21" s="73"/>
      <c r="L21" s="73"/>
      <c r="M21" s="73"/>
      <c r="N21" s="73"/>
      <c r="O21" s="73"/>
      <c r="P21" s="73"/>
      <c r="Q21" s="73"/>
    </row>
    <row r="22" spans="1:17">
      <c r="F22" s="73"/>
      <c r="G22" s="73"/>
      <c r="H22" s="112"/>
      <c r="I22" s="110"/>
      <c r="J22" s="110"/>
      <c r="K22" s="73"/>
      <c r="L22" s="73"/>
      <c r="M22" s="73"/>
      <c r="N22" s="73"/>
      <c r="O22" s="73"/>
      <c r="P22" s="73"/>
      <c r="Q22" s="73"/>
    </row>
    <row r="23" spans="1:17">
      <c r="F23" s="73"/>
      <c r="G23" s="73"/>
      <c r="H23" s="112"/>
      <c r="I23" s="110"/>
      <c r="J23" s="110"/>
      <c r="K23" s="73"/>
      <c r="L23" s="73"/>
      <c r="M23" s="73"/>
      <c r="N23" s="73"/>
      <c r="O23" s="73"/>
      <c r="P23" s="73"/>
      <c r="Q23" s="73"/>
    </row>
    <row r="24" spans="1:17" ht="15.75">
      <c r="B24" s="127"/>
      <c r="G24" s="73"/>
      <c r="I24" s="110"/>
    </row>
    <row r="25" spans="1:17">
      <c r="C25" s="88" t="s">
        <v>530</v>
      </c>
      <c r="G25" s="73"/>
      <c r="H25" s="112"/>
      <c r="I25" s="110"/>
      <c r="J25" s="110"/>
    </row>
    <row r="26" spans="1:17">
      <c r="C26" s="88"/>
      <c r="G26" s="73"/>
      <c r="H26" s="112"/>
      <c r="I26" s="110"/>
      <c r="J26" s="110"/>
    </row>
    <row r="27" spans="1:17">
      <c r="C27" s="694" t="s">
        <v>1612</v>
      </c>
      <c r="D27" s="103"/>
      <c r="E27" s="103"/>
      <c r="F27" s="103"/>
      <c r="G27" s="103"/>
      <c r="H27" s="103"/>
      <c r="I27" s="103"/>
      <c r="J27" s="103"/>
      <c r="K27" s="103"/>
    </row>
    <row r="28" spans="1:17">
      <c r="C28" s="176"/>
      <c r="D28" s="103"/>
      <c r="E28" s="103"/>
      <c r="F28" s="103"/>
      <c r="G28" s="103"/>
      <c r="H28" s="103"/>
      <c r="I28" s="103"/>
      <c r="J28" s="103"/>
      <c r="K28" s="103"/>
    </row>
    <row r="29" spans="1:17">
      <c r="C29" s="116"/>
      <c r="D29" s="103"/>
      <c r="E29" s="103"/>
      <c r="F29" s="103"/>
      <c r="G29" s="103"/>
      <c r="H29" s="103"/>
      <c r="I29" s="103"/>
      <c r="J29" s="103"/>
      <c r="K29" s="103"/>
    </row>
    <row r="30" spans="1:17">
      <c r="C30" s="116"/>
      <c r="D30" s="103"/>
      <c r="E30" s="103"/>
      <c r="F30" s="103"/>
      <c r="G30" s="108"/>
      <c r="H30" s="103"/>
      <c r="I30" s="135"/>
      <c r="J30" s="103"/>
      <c r="K30" s="103"/>
    </row>
    <row r="31" spans="1:17">
      <c r="C31" s="103"/>
      <c r="D31" s="103"/>
      <c r="E31" s="103"/>
      <c r="F31" s="103"/>
      <c r="G31" s="108"/>
      <c r="H31" s="108"/>
      <c r="I31" s="135"/>
      <c r="J31" s="135"/>
      <c r="K31" s="103"/>
    </row>
    <row r="32" spans="1:17">
      <c r="C32" s="116"/>
      <c r="D32" s="103"/>
      <c r="E32" s="103"/>
      <c r="F32" s="103"/>
      <c r="G32" s="108"/>
      <c r="H32" s="103"/>
      <c r="I32" s="103"/>
      <c r="J32" s="103"/>
      <c r="K32" s="103"/>
    </row>
    <row r="33" spans="3:11">
      <c r="C33" s="116"/>
      <c r="D33" s="103"/>
      <c r="E33" s="103"/>
      <c r="F33" s="103"/>
      <c r="G33" s="103"/>
      <c r="H33" s="103"/>
      <c r="I33" s="103"/>
      <c r="J33" s="103"/>
      <c r="K33" s="103"/>
    </row>
  </sheetData>
  <mergeCells count="4">
    <mergeCell ref="A1:L1"/>
    <mergeCell ref="A2:L2"/>
    <mergeCell ref="A3:L3"/>
    <mergeCell ref="A4:L4"/>
  </mergeCells>
  <phoneticPr fontId="22" type="noConversion"/>
  <printOptions horizontalCentered="1"/>
  <pageMargins left="0.75" right="0.75" top="0.82" bottom="1" header="0.5" footer="0.5"/>
  <pageSetup scale="97" orientation="landscape" verticalDpi="300" r:id="rId1"/>
  <headerFooter alignWithMargins="0">
    <oddFooter>&amp;RSchedule &amp;A
Page &amp;P of 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P42"/>
  <sheetViews>
    <sheetView view="pageBreakPreview" zoomScale="70" zoomScaleNormal="90" zoomScaleSheetLayoutView="70" workbookViewId="0">
      <selection activeCell="O15" sqref="O15:P15"/>
    </sheetView>
  </sheetViews>
  <sheetFormatPr defaultColWidth="8.5546875" defaultRowHeight="15"/>
  <cols>
    <col min="1" max="1" width="4.21875" style="103" customWidth="1"/>
    <col min="2" max="2" width="1.88671875" style="103" customWidth="1"/>
    <col min="3" max="3" width="34" style="103" customWidth="1"/>
    <col min="4" max="4" width="3" style="103" customWidth="1"/>
    <col min="5" max="5" width="17.109375" style="103" customWidth="1"/>
    <col min="6" max="6" width="2.77734375" style="103" customWidth="1"/>
    <col min="7" max="7" width="7.5546875" style="103" customWidth="1"/>
    <col min="8" max="8" width="2.33203125" style="103" customWidth="1"/>
    <col min="9" max="9" width="14.77734375" style="103" customWidth="1"/>
    <col min="10" max="10" width="2" style="103" customWidth="1"/>
    <col min="11" max="11" width="9.21875" style="103" customWidth="1"/>
    <col min="12" max="12" width="8.5546875" style="103"/>
    <col min="13" max="13" width="9.44140625" style="103" customWidth="1"/>
    <col min="14" max="14" width="11.44140625" style="103" bestFit="1" customWidth="1"/>
    <col min="15" max="15" width="8.5546875" style="103"/>
    <col min="16" max="16" width="11.109375" style="103" customWidth="1"/>
    <col min="17" max="16384" width="8.5546875" style="103"/>
  </cols>
  <sheetData>
    <row r="1" spans="1:12">
      <c r="A1" s="1203" t="str">
        <f>'Table of Contents'!A1:C1</f>
        <v>Atmos Energy Corporation, Kentucky/Mid-States Division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</row>
    <row r="2" spans="1:12">
      <c r="A2" s="1203" t="str">
        <f>'Table of Contents'!A2:C2</f>
        <v>Kentucky Jurisdiction Case No. 2017-00349</v>
      </c>
      <c r="B2" s="1203"/>
      <c r="C2" s="1203"/>
      <c r="D2" s="1203"/>
      <c r="E2" s="1203"/>
      <c r="F2" s="1203"/>
      <c r="G2" s="1203"/>
      <c r="H2" s="1203"/>
      <c r="I2" s="1203"/>
      <c r="J2" s="1203"/>
      <c r="K2" s="1203"/>
    </row>
    <row r="3" spans="1:12">
      <c r="A3" s="1203" t="s">
        <v>1093</v>
      </c>
      <c r="B3" s="1203"/>
      <c r="C3" s="1203"/>
      <c r="D3" s="1203"/>
      <c r="E3" s="1203"/>
      <c r="F3" s="1203"/>
      <c r="G3" s="1203"/>
      <c r="H3" s="1203"/>
      <c r="I3" s="1203"/>
      <c r="J3" s="1203"/>
      <c r="K3" s="1203"/>
    </row>
    <row r="4" spans="1:12">
      <c r="A4" s="1203" t="str">
        <f>'Table of Contents'!A3:C3</f>
        <v>Base Period: Twelve Months Ended December 31, 2017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</row>
    <row r="6" spans="1:12">
      <c r="A6" s="583" t="s">
        <v>383</v>
      </c>
      <c r="K6" s="954" t="s">
        <v>1438</v>
      </c>
    </row>
    <row r="7" spans="1:12">
      <c r="A7" s="694" t="s">
        <v>621</v>
      </c>
      <c r="K7" s="926" t="s">
        <v>49</v>
      </c>
    </row>
    <row r="8" spans="1:12">
      <c r="A8" s="955" t="s">
        <v>369</v>
      </c>
      <c r="B8" s="934"/>
      <c r="C8" s="934"/>
      <c r="D8" s="934"/>
      <c r="E8" s="934"/>
      <c r="F8" s="934"/>
      <c r="G8" s="934"/>
      <c r="H8" s="934"/>
      <c r="I8" s="934"/>
      <c r="J8" s="962"/>
      <c r="K8" s="987" t="str">
        <f>'J-1 Base'!$M$9</f>
        <v>Witness:  Christian</v>
      </c>
    </row>
    <row r="9" spans="1:12">
      <c r="A9" s="838"/>
      <c r="B9" s="804"/>
      <c r="C9" s="804"/>
      <c r="D9" s="804"/>
      <c r="E9" s="804"/>
      <c r="F9" s="804"/>
      <c r="G9" s="804"/>
      <c r="H9" s="804"/>
      <c r="I9" s="804"/>
      <c r="K9" s="988"/>
    </row>
    <row r="10" spans="1:12">
      <c r="E10" s="764" t="s">
        <v>861</v>
      </c>
      <c r="I10" s="121" t="s">
        <v>354</v>
      </c>
      <c r="K10" s="121" t="s">
        <v>1154</v>
      </c>
    </row>
    <row r="11" spans="1:12">
      <c r="A11" s="121" t="s">
        <v>94</v>
      </c>
      <c r="E11" s="121" t="s">
        <v>105</v>
      </c>
      <c r="G11" s="121" t="s">
        <v>270</v>
      </c>
      <c r="I11" s="121" t="s">
        <v>355</v>
      </c>
      <c r="K11" s="121" t="s">
        <v>270</v>
      </c>
    </row>
    <row r="12" spans="1:12">
      <c r="A12" s="648" t="s">
        <v>100</v>
      </c>
      <c r="B12" s="934"/>
      <c r="C12" s="648" t="s">
        <v>356</v>
      </c>
      <c r="D12" s="934"/>
      <c r="E12" s="648" t="s">
        <v>353</v>
      </c>
      <c r="F12" s="934"/>
      <c r="G12" s="648" t="s">
        <v>576</v>
      </c>
      <c r="H12" s="934"/>
      <c r="I12" s="648" t="s">
        <v>0</v>
      </c>
      <c r="J12" s="934"/>
      <c r="K12" s="648" t="s">
        <v>576</v>
      </c>
    </row>
    <row r="13" spans="1:12">
      <c r="C13" s="121" t="s">
        <v>1090</v>
      </c>
      <c r="E13" s="121" t="s">
        <v>1091</v>
      </c>
      <c r="G13" s="121" t="s">
        <v>1092</v>
      </c>
      <c r="I13" s="121" t="s">
        <v>15</v>
      </c>
      <c r="K13" s="121" t="s">
        <v>169</v>
      </c>
    </row>
    <row r="14" spans="1:12">
      <c r="E14" s="121"/>
      <c r="I14" s="121"/>
    </row>
    <row r="16" spans="1:12">
      <c r="A16" s="121">
        <v>1</v>
      </c>
      <c r="C16" s="583" t="s">
        <v>1508</v>
      </c>
      <c r="E16" s="339">
        <f>'[31]LTD rate'!$P$11</f>
        <v>150000000</v>
      </c>
      <c r="F16" s="108"/>
      <c r="G16" s="989">
        <f>'[31]LTD rate'!$Q$11</f>
        <v>6.7500000000000004E-2</v>
      </c>
      <c r="H16" s="135"/>
      <c r="I16" s="990">
        <f t="shared" ref="I16:I25" si="0">(E16*G16)</f>
        <v>10125000</v>
      </c>
      <c r="J16" s="108"/>
      <c r="K16" s="108"/>
      <c r="L16" s="108"/>
    </row>
    <row r="17" spans="1:16">
      <c r="A17" s="121">
        <f t="shared" ref="A17:A34" si="1">A16+1</f>
        <v>2</v>
      </c>
      <c r="C17" s="583" t="s">
        <v>1509</v>
      </c>
      <c r="E17" s="86">
        <f>'[31]LTD rate'!$P$17</f>
        <v>10000000</v>
      </c>
      <c r="F17" s="108"/>
      <c r="G17" s="989">
        <f>'[31]LTD rate'!$Q$17</f>
        <v>6.6699999999999995E-2</v>
      </c>
      <c r="H17" s="135"/>
      <c r="I17" s="108">
        <f>(E17*G17)</f>
        <v>667000</v>
      </c>
    </row>
    <row r="18" spans="1:16">
      <c r="A18" s="121">
        <f t="shared" si="1"/>
        <v>3</v>
      </c>
      <c r="C18" s="583" t="s">
        <v>1510</v>
      </c>
      <c r="E18" s="86">
        <f>'[31]LTD rate'!$P$19</f>
        <v>200000000</v>
      </c>
      <c r="F18" s="108"/>
      <c r="G18" s="989">
        <f>'[31]LTD rate'!$Q$19</f>
        <v>5.9499999999999997E-2</v>
      </c>
      <c r="H18" s="108"/>
      <c r="I18" s="108">
        <f>(E18*G18)</f>
        <v>11900000</v>
      </c>
      <c r="J18" s="108"/>
      <c r="K18" s="108"/>
      <c r="L18" s="108"/>
    </row>
    <row r="19" spans="1:16">
      <c r="A19" s="121">
        <f t="shared" si="1"/>
        <v>4</v>
      </c>
      <c r="C19" s="583" t="s">
        <v>1511</v>
      </c>
      <c r="E19" s="86">
        <f>'[31]LTD rate'!$P$20</f>
        <v>0</v>
      </c>
      <c r="F19" s="108"/>
      <c r="G19" s="989">
        <f>'[31]LTD rate'!$Q$20</f>
        <v>6.3500000000000001E-2</v>
      </c>
      <c r="H19" s="135"/>
      <c r="I19" s="108">
        <f t="shared" si="0"/>
        <v>0</v>
      </c>
      <c r="J19" s="108"/>
      <c r="K19" s="108"/>
      <c r="L19" s="108"/>
    </row>
    <row r="20" spans="1:16">
      <c r="A20" s="121">
        <f>A19+1</f>
        <v>5</v>
      </c>
      <c r="C20" s="583" t="s">
        <v>1512</v>
      </c>
      <c r="E20" s="86">
        <f>'[31]LTD rate'!$P$21</f>
        <v>400000000</v>
      </c>
      <c r="F20" s="108"/>
      <c r="G20" s="989">
        <f>'[31]LTD rate'!$Q$21</f>
        <v>5.5E-2</v>
      </c>
      <c r="H20" s="135"/>
      <c r="I20" s="108">
        <f>(E20*G20)</f>
        <v>22000000</v>
      </c>
      <c r="J20" s="108"/>
      <c r="K20" s="576"/>
      <c r="L20" s="108"/>
    </row>
    <row r="21" spans="1:16">
      <c r="A21" s="121">
        <f t="shared" si="1"/>
        <v>6</v>
      </c>
      <c r="C21" s="583" t="s">
        <v>1513</v>
      </c>
      <c r="E21" s="86">
        <f>'[31]LTD rate'!$P$22</f>
        <v>450000000</v>
      </c>
      <c r="F21" s="108"/>
      <c r="G21" s="989">
        <f>'[31]LTD rate'!$Q$22</f>
        <v>8.5000000000000006E-2</v>
      </c>
      <c r="H21" s="135"/>
      <c r="I21" s="108">
        <f t="shared" si="0"/>
        <v>38250000</v>
      </c>
      <c r="J21" s="108"/>
      <c r="K21" s="108"/>
      <c r="L21" s="108"/>
    </row>
    <row r="22" spans="1:16">
      <c r="A22" s="121">
        <f t="shared" si="1"/>
        <v>7</v>
      </c>
      <c r="C22" s="583" t="s">
        <v>1514</v>
      </c>
      <c r="E22" s="86">
        <f>'[31]LTD rate'!$P$23</f>
        <v>500000000</v>
      </c>
      <c r="F22" s="108"/>
      <c r="G22" s="989">
        <f>'[31]LTD rate'!$Q$23</f>
        <v>4.1500000000000002E-2</v>
      </c>
      <c r="H22" s="135"/>
      <c r="I22" s="108">
        <f t="shared" si="0"/>
        <v>20750000</v>
      </c>
    </row>
    <row r="23" spans="1:16">
      <c r="A23" s="121">
        <f t="shared" si="1"/>
        <v>8</v>
      </c>
      <c r="C23" s="583" t="s">
        <v>1515</v>
      </c>
      <c r="E23" s="86">
        <f>'[31]LTD rate'!$P$24</f>
        <v>750000000</v>
      </c>
      <c r="F23" s="108"/>
      <c r="G23" s="989">
        <f>'[31]LTD rate'!$Q$24</f>
        <v>4.1250000000000002E-2</v>
      </c>
      <c r="H23" s="135"/>
      <c r="I23" s="108">
        <f t="shared" si="0"/>
        <v>30937500</v>
      </c>
    </row>
    <row r="24" spans="1:16">
      <c r="A24" s="121">
        <f t="shared" si="1"/>
        <v>9</v>
      </c>
      <c r="C24" s="583" t="s">
        <v>1603</v>
      </c>
      <c r="E24" s="86">
        <f>'[31]LTD rate'!$P$25</f>
        <v>500000000</v>
      </c>
      <c r="F24" s="108"/>
      <c r="G24" s="989">
        <f>'[31]LTD rate'!$Q$25</f>
        <v>0.03</v>
      </c>
      <c r="H24" s="135"/>
      <c r="I24" s="108">
        <f t="shared" si="0"/>
        <v>15000000</v>
      </c>
    </row>
    <row r="25" spans="1:16">
      <c r="A25" s="121">
        <f t="shared" si="1"/>
        <v>10</v>
      </c>
      <c r="C25" s="583" t="s">
        <v>1605</v>
      </c>
      <c r="E25" s="86">
        <f>'[31]LTD rate'!$P$27</f>
        <v>125000000</v>
      </c>
      <c r="F25" s="108"/>
      <c r="G25" s="989">
        <f>'[31]LTD rate'!$Q$27</f>
        <v>2.1899999999999999E-2</v>
      </c>
      <c r="H25" s="135"/>
      <c r="I25" s="425">
        <f t="shared" si="0"/>
        <v>2737500</v>
      </c>
    </row>
    <row r="26" spans="1:16">
      <c r="A26" s="121">
        <f t="shared" si="1"/>
        <v>11</v>
      </c>
      <c r="C26" s="583" t="s">
        <v>97</v>
      </c>
      <c r="E26" s="849">
        <f>SUM(E16:E25)</f>
        <v>3085000000</v>
      </c>
      <c r="F26" s="108"/>
      <c r="G26" s="989"/>
      <c r="I26" s="406">
        <f>SUM(I16:I25)</f>
        <v>152367000</v>
      </c>
    </row>
    <row r="27" spans="1:16">
      <c r="A27" s="121">
        <f t="shared" si="1"/>
        <v>12</v>
      </c>
      <c r="C27" s="583"/>
      <c r="E27" s="406"/>
      <c r="F27" s="108"/>
      <c r="G27" s="989"/>
      <c r="I27" s="108"/>
      <c r="M27" s="108"/>
      <c r="N27" s="108"/>
      <c r="O27" s="989"/>
      <c r="P27" s="108"/>
    </row>
    <row r="28" spans="1:16">
      <c r="A28" s="121">
        <f t="shared" si="1"/>
        <v>13</v>
      </c>
      <c r="C28" s="583" t="s">
        <v>1335</v>
      </c>
      <c r="E28" s="406"/>
      <c r="F28" s="108"/>
      <c r="G28" s="989"/>
      <c r="I28" s="406">
        <f>'[31]LTD rate'!$R$35</f>
        <v>4955311.3260243991</v>
      </c>
      <c r="O28" s="989"/>
    </row>
    <row r="29" spans="1:16">
      <c r="A29" s="121">
        <f t="shared" si="1"/>
        <v>14</v>
      </c>
      <c r="C29" s="583" t="s">
        <v>1336</v>
      </c>
      <c r="E29" s="406">
        <f>-'[31]LTD rate'!$P$33</f>
        <v>4370287.9400000013</v>
      </c>
      <c r="G29" s="576"/>
      <c r="I29" s="87"/>
      <c r="M29" s="108"/>
      <c r="N29" s="108"/>
      <c r="O29" s="989"/>
      <c r="P29" s="108"/>
    </row>
    <row r="30" spans="1:16">
      <c r="A30" s="121">
        <f t="shared" si="1"/>
        <v>15</v>
      </c>
      <c r="C30" s="583" t="s">
        <v>1606</v>
      </c>
      <c r="E30" s="406">
        <f>-'[31]LTD rate'!$P$34</f>
        <v>-22636092.190000001</v>
      </c>
      <c r="G30" s="953"/>
      <c r="I30" s="108"/>
      <c r="M30" s="108"/>
      <c r="N30" s="108"/>
      <c r="O30" s="989"/>
      <c r="P30" s="108"/>
    </row>
    <row r="31" spans="1:16">
      <c r="A31" s="121">
        <f t="shared" si="1"/>
        <v>16</v>
      </c>
      <c r="C31" s="583"/>
      <c r="E31" s="86"/>
      <c r="G31" s="953"/>
      <c r="I31" s="108"/>
      <c r="M31" s="108"/>
      <c r="N31" s="108"/>
      <c r="O31" s="989"/>
      <c r="P31" s="108"/>
    </row>
    <row r="32" spans="1:16">
      <c r="A32" s="121">
        <f t="shared" si="1"/>
        <v>17</v>
      </c>
      <c r="C32" s="583"/>
      <c r="E32" s="86"/>
      <c r="G32" s="576"/>
      <c r="I32" s="108"/>
      <c r="M32" s="108"/>
      <c r="N32" s="108"/>
      <c r="O32" s="989"/>
      <c r="P32" s="108"/>
    </row>
    <row r="33" spans="1:16">
      <c r="A33" s="121">
        <f t="shared" si="1"/>
        <v>18</v>
      </c>
      <c r="E33" s="425"/>
      <c r="M33" s="108"/>
      <c r="N33" s="108"/>
      <c r="O33" s="989"/>
      <c r="P33" s="108"/>
    </row>
    <row r="34" spans="1:16" ht="16.5" thickBot="1">
      <c r="A34" s="121">
        <f t="shared" si="1"/>
        <v>19</v>
      </c>
      <c r="C34" s="583" t="s">
        <v>1189</v>
      </c>
      <c r="E34" s="991">
        <f>+E26+E29+E30</f>
        <v>3066734195.75</v>
      </c>
      <c r="I34" s="992">
        <f>+I26+I28</f>
        <v>157322311.32602441</v>
      </c>
      <c r="K34" s="986">
        <f>+I34/E34</f>
        <v>5.1299624057424935E-2</v>
      </c>
      <c r="O34" s="989"/>
    </row>
    <row r="35" spans="1:16" ht="15.75" thickTop="1">
      <c r="E35" s="108"/>
      <c r="O35" s="989"/>
    </row>
    <row r="37" spans="1:16">
      <c r="A37" s="121"/>
      <c r="C37" s="583"/>
    </row>
    <row r="38" spans="1:16">
      <c r="C38" s="583" t="s">
        <v>327</v>
      </c>
      <c r="E38" s="108"/>
    </row>
    <row r="39" spans="1:16">
      <c r="E39" s="108"/>
    </row>
    <row r="40" spans="1:16">
      <c r="E40" s="108"/>
      <c r="F40" s="108"/>
      <c r="G40" s="953"/>
      <c r="H40" s="135"/>
      <c r="I40" s="108"/>
      <c r="J40" s="108"/>
      <c r="K40" s="108"/>
      <c r="L40" s="108"/>
    </row>
    <row r="41" spans="1:16">
      <c r="E41" s="108"/>
    </row>
    <row r="42" spans="1:16">
      <c r="E42" s="108"/>
      <c r="F42" s="108"/>
      <c r="G42" s="108"/>
      <c r="H42" s="135"/>
      <c r="I42" s="108"/>
      <c r="J42" s="108"/>
      <c r="K42" s="108"/>
      <c r="L42" s="108"/>
    </row>
  </sheetData>
  <mergeCells count="4">
    <mergeCell ref="A1:K1"/>
    <mergeCell ref="A2:K2"/>
    <mergeCell ref="A3:K3"/>
    <mergeCell ref="A4:K4"/>
  </mergeCells>
  <phoneticPr fontId="22" type="noConversion"/>
  <printOptions horizontalCentered="1"/>
  <pageMargins left="0.75" right="0.42" top="1.24" bottom="1" header="0.5" footer="0.5"/>
  <pageSetup scale="79" orientation="portrait" verticalDpi="300" r:id="rId1"/>
  <headerFooter alignWithMargins="0">
    <oddFooter>&amp;RSchedule &amp;A
Page &amp;P of 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S17"/>
  <sheetViews>
    <sheetView view="pageBreakPreview" zoomScale="60" zoomScaleNormal="90" workbookViewId="0">
      <selection activeCell="T8" sqref="T8"/>
    </sheetView>
  </sheetViews>
  <sheetFormatPr defaultColWidth="10.109375" defaultRowHeight="15"/>
  <cols>
    <col min="1" max="1" width="5.77734375" style="1" customWidth="1"/>
    <col min="2" max="2" width="3.33203125" style="1" customWidth="1"/>
    <col min="3" max="3" width="14.44140625" style="1" customWidth="1"/>
    <col min="4" max="4" width="3.33203125" style="1" customWidth="1"/>
    <col min="5" max="5" width="6.6640625" style="1" customWidth="1"/>
    <col min="6" max="6" width="3.33203125" style="1" customWidth="1"/>
    <col min="7" max="7" width="11.88671875" style="1" customWidth="1"/>
    <col min="8" max="8" width="3.33203125" style="1" customWidth="1"/>
    <col min="9" max="9" width="13.5546875" style="1" customWidth="1"/>
    <col min="10" max="10" width="1.5546875" style="1" customWidth="1"/>
    <col min="11" max="11" width="8" style="1" customWidth="1"/>
    <col min="12" max="12" width="3.33203125" style="1" customWidth="1"/>
    <col min="13" max="13" width="11" style="1" customWidth="1"/>
    <col min="14" max="14" width="3.33203125" style="1" customWidth="1"/>
    <col min="15" max="15" width="11" style="1" customWidth="1"/>
    <col min="16" max="16" width="3.33203125" style="1" customWidth="1"/>
    <col min="17" max="17" width="12.6640625" style="1" customWidth="1"/>
    <col min="18" max="18" width="2.33203125" style="1" customWidth="1"/>
    <col min="19" max="19" width="12.6640625" style="1" customWidth="1"/>
    <col min="20" max="26" width="10.109375" style="1"/>
    <col min="27" max="27" width="12.6640625" style="1" customWidth="1"/>
    <col min="28" max="16384" width="10.109375" style="1"/>
  </cols>
  <sheetData>
    <row r="1" spans="1:19">
      <c r="A1" s="81"/>
      <c r="J1" s="2" t="str">
        <f>'Table of Contents'!A1</f>
        <v>Atmos Energy Corporation, Kentucky/Mid-States Division</v>
      </c>
    </row>
    <row r="2" spans="1:19">
      <c r="J2" s="2" t="str">
        <f>'Table of Contents'!A2</f>
        <v>Kentucky Jurisdiction Case No. 2017-00349</v>
      </c>
    </row>
    <row r="3" spans="1:19">
      <c r="A3" s="14"/>
      <c r="J3" s="2" t="s">
        <v>1</v>
      </c>
    </row>
    <row r="4" spans="1:19">
      <c r="A4" s="14"/>
      <c r="J4" s="704"/>
    </row>
    <row r="5" spans="1:19">
      <c r="Q5" s="375"/>
      <c r="S5" s="375" t="s">
        <v>1438</v>
      </c>
    </row>
    <row r="6" spans="1:19">
      <c r="A6" s="4" t="s">
        <v>571</v>
      </c>
      <c r="Q6" s="4"/>
      <c r="S6" s="487" t="s">
        <v>48</v>
      </c>
    </row>
    <row r="7" spans="1:19">
      <c r="A7" s="4" t="s">
        <v>1131</v>
      </c>
      <c r="Q7" s="4"/>
      <c r="S7" s="487" t="s">
        <v>860</v>
      </c>
    </row>
    <row r="8" spans="1:19">
      <c r="A8" s="5" t="s">
        <v>369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5"/>
      <c r="R8" s="6"/>
      <c r="S8" s="488" t="str">
        <f>'J-1 Base'!$M$9</f>
        <v>Witness:  Christian</v>
      </c>
    </row>
    <row r="10" spans="1:19">
      <c r="I10" s="2" t="s">
        <v>358</v>
      </c>
      <c r="M10" s="2" t="s">
        <v>361</v>
      </c>
    </row>
    <row r="11" spans="1:19">
      <c r="A11" s="2" t="s">
        <v>94</v>
      </c>
      <c r="C11" s="2" t="s">
        <v>399</v>
      </c>
      <c r="E11" s="2" t="s">
        <v>35</v>
      </c>
      <c r="G11" s="2" t="s">
        <v>105</v>
      </c>
      <c r="I11" s="2" t="s">
        <v>359</v>
      </c>
      <c r="K11" s="2" t="s">
        <v>356</v>
      </c>
      <c r="M11" s="2" t="s">
        <v>362</v>
      </c>
      <c r="O11" s="2" t="s">
        <v>364</v>
      </c>
      <c r="Q11" s="2" t="s">
        <v>1167</v>
      </c>
      <c r="S11" s="2" t="s">
        <v>367</v>
      </c>
    </row>
    <row r="12" spans="1:19">
      <c r="A12" s="2" t="s">
        <v>100</v>
      </c>
      <c r="C12" s="2" t="s">
        <v>503</v>
      </c>
      <c r="E12" s="2" t="s">
        <v>357</v>
      </c>
      <c r="G12" s="2" t="s">
        <v>353</v>
      </c>
      <c r="I12" s="2" t="s">
        <v>360</v>
      </c>
      <c r="K12" s="2" t="s">
        <v>271</v>
      </c>
      <c r="L12" s="15"/>
      <c r="M12" s="2" t="s">
        <v>363</v>
      </c>
      <c r="O12" s="2" t="s">
        <v>365</v>
      </c>
      <c r="Q12" s="2" t="s">
        <v>366</v>
      </c>
      <c r="S12" s="2" t="s">
        <v>368</v>
      </c>
    </row>
    <row r="13" spans="1:19">
      <c r="A13" s="6"/>
      <c r="B13" s="6"/>
      <c r="C13" s="6"/>
      <c r="D13" s="6"/>
      <c r="E13" s="9" t="s">
        <v>1090</v>
      </c>
      <c r="F13" s="6"/>
      <c r="G13" s="9" t="s">
        <v>1091</v>
      </c>
      <c r="H13" s="6"/>
      <c r="I13" s="9" t="s">
        <v>1092</v>
      </c>
      <c r="J13" s="6"/>
      <c r="K13" s="9" t="s">
        <v>15</v>
      </c>
      <c r="L13" s="6"/>
      <c r="M13" s="9" t="s">
        <v>39</v>
      </c>
      <c r="N13" s="6"/>
      <c r="O13" s="9" t="s">
        <v>529</v>
      </c>
      <c r="P13" s="6"/>
      <c r="Q13" s="9" t="s">
        <v>40</v>
      </c>
      <c r="R13" s="6"/>
      <c r="S13" s="9" t="s">
        <v>619</v>
      </c>
    </row>
    <row r="15" spans="1:19">
      <c r="F15" s="10"/>
      <c r="G15" s="10"/>
      <c r="H15" s="11"/>
      <c r="I15" s="3"/>
      <c r="J15" s="3"/>
      <c r="K15" s="21" t="s">
        <v>395</v>
      </c>
      <c r="L15" s="10"/>
      <c r="M15" s="10"/>
      <c r="N15" s="10"/>
      <c r="O15" s="10"/>
      <c r="P15" s="10"/>
      <c r="Q15" s="10"/>
    </row>
    <row r="16" spans="1:19">
      <c r="F16" s="10"/>
      <c r="G16" s="10"/>
      <c r="H16" s="10"/>
      <c r="I16" s="3"/>
      <c r="J16" s="10"/>
      <c r="K16" s="10"/>
      <c r="L16" s="10"/>
      <c r="M16" s="10"/>
      <c r="N16" s="10"/>
      <c r="O16" s="10"/>
      <c r="P16" s="10"/>
      <c r="Q16" s="10"/>
    </row>
    <row r="17" spans="6:17">
      <c r="F17" s="10"/>
      <c r="G17" s="10"/>
      <c r="H17" s="11"/>
      <c r="I17" s="3"/>
      <c r="J17" s="3"/>
      <c r="K17" s="10"/>
      <c r="L17" s="10"/>
      <c r="M17" s="10"/>
      <c r="N17" s="10"/>
      <c r="O17" s="10"/>
      <c r="P17" s="10"/>
      <c r="Q17" s="10"/>
    </row>
  </sheetData>
  <phoneticPr fontId="22" type="noConversion"/>
  <printOptions horizontalCentered="1"/>
  <pageMargins left="0.66" right="0.71" top="0.91" bottom="1" header="0.5" footer="0.5"/>
  <pageSetup scale="76" orientation="landscape" verticalDpi="300" r:id="rId1"/>
  <headerFooter alignWithMargins="0">
    <oddFooter>&amp;RSchedule &amp;A
Page &amp;P of 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A1:X62"/>
  <sheetViews>
    <sheetView view="pageBreakPreview" zoomScale="60" zoomScaleNormal="80" workbookViewId="0">
      <pane xSplit="5" ySplit="15" topLeftCell="F16" activePane="bottomRight" state="frozen"/>
      <selection activeCell="B6" sqref="B6"/>
      <selection pane="topRight" activeCell="B6" sqref="B6"/>
      <selection pane="bottomLeft" activeCell="B6" sqref="B6"/>
      <selection pane="bottomRight" activeCell="P25" sqref="P25"/>
    </sheetView>
  </sheetViews>
  <sheetFormatPr defaultColWidth="10.109375" defaultRowHeight="15"/>
  <cols>
    <col min="1" max="1" width="3.77734375" style="103" customWidth="1"/>
    <col min="2" max="2" width="2.44140625" style="103" customWidth="1"/>
    <col min="3" max="3" width="13" style="103" customWidth="1"/>
    <col min="4" max="4" width="2.109375" style="103" customWidth="1"/>
    <col min="5" max="5" width="2.44140625" style="103" customWidth="1"/>
    <col min="6" max="6" width="6.77734375" style="103" customWidth="1"/>
    <col min="7" max="7" width="2.44140625" style="103" customWidth="1"/>
    <col min="8" max="8" width="14" style="103" customWidth="1"/>
    <col min="9" max="9" width="2.44140625" style="103" customWidth="1"/>
    <col min="10" max="10" width="8.33203125" style="103" customWidth="1"/>
    <col min="11" max="11" width="2.44140625" style="103" customWidth="1"/>
    <col min="12" max="12" width="8" style="103" customWidth="1"/>
    <col min="13" max="13" width="2.44140625" style="103" customWidth="1"/>
    <col min="14" max="14" width="8.6640625" style="103" customWidth="1"/>
    <col min="15" max="15" width="2.44140625" style="103" customWidth="1"/>
    <col min="16" max="16" width="13.6640625" style="103" customWidth="1"/>
    <col min="17" max="17" width="2.44140625" style="103" customWidth="1"/>
    <col min="18" max="18" width="11.33203125" style="103" customWidth="1"/>
    <col min="19" max="19" width="1.88671875" style="103" customWidth="1"/>
    <col min="20" max="20" width="9.33203125" style="103" customWidth="1"/>
    <col min="21" max="21" width="2.44140625" style="103" customWidth="1"/>
    <col min="22" max="22" width="8.44140625" style="103" customWidth="1"/>
    <col min="23" max="23" width="6.77734375" style="103" bestFit="1" customWidth="1"/>
    <col min="24" max="24" width="9.44140625" style="103" bestFit="1" customWidth="1"/>
    <col min="25" max="16384" width="10.109375" style="103"/>
  </cols>
  <sheetData>
    <row r="1" spans="1:23">
      <c r="A1" s="1203" t="str">
        <f>'Table of Contents'!A1:C1</f>
        <v>Atmos Energy Corporation, Kentucky/Mid-States Division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1203"/>
      <c r="M1" s="1203"/>
      <c r="N1" s="1203"/>
      <c r="O1" s="1203"/>
      <c r="P1" s="1203"/>
      <c r="Q1" s="1203"/>
      <c r="R1" s="1203"/>
      <c r="S1" s="1203"/>
      <c r="T1" s="1203"/>
      <c r="U1" s="1203"/>
      <c r="V1" s="1203"/>
    </row>
    <row r="2" spans="1:23">
      <c r="A2" s="1203" t="str">
        <f>'Table of Contents'!A2:C2</f>
        <v>Kentucky Jurisdiction Case No. 2017-00349</v>
      </c>
      <c r="B2" s="1203"/>
      <c r="C2" s="1203"/>
      <c r="D2" s="1203"/>
      <c r="E2" s="1203"/>
      <c r="F2" s="1203"/>
      <c r="G2" s="1203"/>
      <c r="H2" s="1203"/>
      <c r="I2" s="1203"/>
      <c r="J2" s="1203"/>
      <c r="K2" s="1203"/>
      <c r="L2" s="1203"/>
      <c r="M2" s="1203"/>
      <c r="N2" s="1203"/>
      <c r="O2" s="1203"/>
      <c r="P2" s="1203"/>
      <c r="Q2" s="1203"/>
      <c r="R2" s="1203"/>
      <c r="S2" s="1203"/>
      <c r="T2" s="1203"/>
      <c r="U2" s="1203"/>
      <c r="V2" s="1203"/>
    </row>
    <row r="3" spans="1:23">
      <c r="A3" s="1203" t="s">
        <v>1503</v>
      </c>
      <c r="B3" s="1203"/>
      <c r="C3" s="1203"/>
      <c r="D3" s="1203"/>
      <c r="E3" s="1203"/>
      <c r="F3" s="1203"/>
      <c r="G3" s="1203"/>
      <c r="H3" s="1203"/>
      <c r="I3" s="1203"/>
      <c r="J3" s="1203"/>
      <c r="K3" s="1203"/>
      <c r="L3" s="1203"/>
      <c r="M3" s="1203"/>
      <c r="N3" s="1203"/>
      <c r="O3" s="1203"/>
      <c r="P3" s="1203"/>
      <c r="Q3" s="1203"/>
      <c r="R3" s="1203"/>
      <c r="S3" s="1203"/>
      <c r="T3" s="1203"/>
      <c r="U3" s="1203"/>
      <c r="V3" s="1203"/>
    </row>
    <row r="4" spans="1:23">
      <c r="A4" s="1203" t="str">
        <f>'Table of Contents'!A3:C3</f>
        <v>Base Period: Twelve Months Ended December 31, 2017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1203"/>
      <c r="M4" s="1203"/>
      <c r="N4" s="1203"/>
      <c r="O4" s="1203"/>
      <c r="P4" s="1203"/>
      <c r="Q4" s="1203"/>
      <c r="R4" s="1203"/>
      <c r="S4" s="1203"/>
      <c r="T4" s="1203"/>
      <c r="U4" s="1203"/>
      <c r="V4" s="1203"/>
    </row>
    <row r="5" spans="1:23">
      <c r="A5" s="1203" t="str">
        <f>'Table of Contents'!A4:C4</f>
        <v>Forecasted Test Period: Twelve Months Ended March 31, 2019</v>
      </c>
      <c r="B5" s="1203"/>
      <c r="C5" s="1203"/>
      <c r="D5" s="1203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  <c r="P5" s="1203"/>
      <c r="Q5" s="1203"/>
      <c r="R5" s="1203"/>
      <c r="S5" s="1203"/>
      <c r="T5" s="1203"/>
      <c r="U5" s="1203"/>
      <c r="V5" s="1203"/>
    </row>
    <row r="6" spans="1:23">
      <c r="L6" s="121"/>
    </row>
    <row r="8" spans="1:23">
      <c r="A8" s="583" t="s">
        <v>199</v>
      </c>
      <c r="V8" s="954" t="s">
        <v>1438</v>
      </c>
    </row>
    <row r="9" spans="1:23">
      <c r="A9" s="583" t="s">
        <v>621</v>
      </c>
      <c r="T9" s="583"/>
      <c r="V9" s="926" t="s">
        <v>783</v>
      </c>
    </row>
    <row r="10" spans="1:23" ht="16.5" thickBot="1">
      <c r="A10" s="955" t="s">
        <v>369</v>
      </c>
      <c r="B10" s="934"/>
      <c r="C10" s="934"/>
      <c r="D10" s="934"/>
      <c r="E10" s="934"/>
      <c r="F10" s="934"/>
      <c r="G10" s="934"/>
      <c r="H10" s="804"/>
      <c r="I10" s="804"/>
      <c r="J10" s="804"/>
      <c r="K10" s="804"/>
      <c r="L10" s="804"/>
      <c r="M10" s="804"/>
      <c r="N10" s="994" t="s">
        <v>508</v>
      </c>
      <c r="O10" s="995"/>
      <c r="P10" s="995"/>
      <c r="Q10" s="804"/>
      <c r="R10" s="804"/>
      <c r="S10" s="804"/>
      <c r="T10" s="955"/>
      <c r="U10" s="804"/>
      <c r="V10" s="987" t="str">
        <f>'J-1 Base'!$M$9</f>
        <v>Witness:  Christian</v>
      </c>
      <c r="W10" s="934"/>
    </row>
    <row r="11" spans="1:23" ht="15.75">
      <c r="H11" s="996" t="s">
        <v>328</v>
      </c>
      <c r="I11" s="997"/>
      <c r="J11" s="997"/>
      <c r="K11" s="997"/>
      <c r="L11" s="997"/>
      <c r="M11" s="997"/>
      <c r="N11" s="998"/>
      <c r="P11" s="996" t="s">
        <v>329</v>
      </c>
      <c r="Q11" s="997"/>
      <c r="R11" s="997"/>
      <c r="S11" s="997"/>
      <c r="T11" s="997"/>
      <c r="U11" s="997"/>
      <c r="V11" s="998"/>
      <c r="W11" s="993"/>
    </row>
    <row r="12" spans="1:23">
      <c r="A12" s="121" t="s">
        <v>94</v>
      </c>
      <c r="F12" s="121" t="s">
        <v>96</v>
      </c>
      <c r="H12" s="999"/>
      <c r="I12" s="804"/>
      <c r="J12" s="427" t="s">
        <v>104</v>
      </c>
      <c r="K12" s="804"/>
      <c r="L12" s="804"/>
      <c r="M12" s="804"/>
      <c r="N12" s="1000" t="s">
        <v>352</v>
      </c>
      <c r="P12" s="999"/>
      <c r="Q12" s="804"/>
      <c r="R12" s="427" t="s">
        <v>104</v>
      </c>
      <c r="S12" s="804"/>
      <c r="T12" s="804"/>
      <c r="U12" s="804"/>
      <c r="V12" s="1000" t="s">
        <v>352</v>
      </c>
    </row>
    <row r="13" spans="1:23" ht="15.75" thickBot="1">
      <c r="A13" s="648" t="s">
        <v>100</v>
      </c>
      <c r="B13" s="934"/>
      <c r="C13" s="955" t="s">
        <v>351</v>
      </c>
      <c r="D13" s="934"/>
      <c r="E13" s="934"/>
      <c r="F13" s="648" t="s">
        <v>102</v>
      </c>
      <c r="G13" s="934"/>
      <c r="H13" s="1001" t="s">
        <v>105</v>
      </c>
      <c r="I13" s="1002"/>
      <c r="J13" s="1003" t="s">
        <v>42</v>
      </c>
      <c r="K13" s="1002"/>
      <c r="L13" s="1003" t="s">
        <v>1167</v>
      </c>
      <c r="M13" s="1002"/>
      <c r="N13" s="1004" t="s">
        <v>0</v>
      </c>
      <c r="O13" s="804"/>
      <c r="P13" s="1001" t="s">
        <v>105</v>
      </c>
      <c r="Q13" s="1002"/>
      <c r="R13" s="1003" t="s">
        <v>42</v>
      </c>
      <c r="S13" s="1002"/>
      <c r="T13" s="1003" t="s">
        <v>1167</v>
      </c>
      <c r="U13" s="1002"/>
      <c r="V13" s="1004" t="s">
        <v>0</v>
      </c>
      <c r="W13" s="934"/>
    </row>
    <row r="14" spans="1:23">
      <c r="F14" s="121" t="s">
        <v>1090</v>
      </c>
      <c r="H14" s="121" t="s">
        <v>1091</v>
      </c>
      <c r="J14" s="121" t="s">
        <v>1092</v>
      </c>
      <c r="L14" s="121" t="s">
        <v>15</v>
      </c>
      <c r="N14" s="121" t="s">
        <v>39</v>
      </c>
      <c r="O14" s="804"/>
      <c r="P14" s="121" t="s">
        <v>326</v>
      </c>
      <c r="R14" s="121" t="s">
        <v>40</v>
      </c>
      <c r="T14" s="121" t="s">
        <v>627</v>
      </c>
      <c r="V14" s="121" t="s">
        <v>628</v>
      </c>
    </row>
    <row r="15" spans="1:23">
      <c r="H15" s="121" t="s">
        <v>629</v>
      </c>
      <c r="J15" s="121" t="s">
        <v>150</v>
      </c>
      <c r="L15" s="121" t="s">
        <v>150</v>
      </c>
      <c r="N15" s="121" t="s">
        <v>150</v>
      </c>
      <c r="P15" s="121" t="s">
        <v>629</v>
      </c>
      <c r="R15" s="121" t="s">
        <v>150</v>
      </c>
      <c r="T15" s="121" t="s">
        <v>150</v>
      </c>
      <c r="V15" s="121" t="s">
        <v>150</v>
      </c>
    </row>
    <row r="17" spans="1:24">
      <c r="A17" s="121" t="s">
        <v>370</v>
      </c>
      <c r="C17" s="583" t="s">
        <v>273</v>
      </c>
      <c r="F17" s="108"/>
      <c r="G17" s="108"/>
      <c r="H17" s="108">
        <f>+'J-2 B'!F20</f>
        <v>242504.31246159747</v>
      </c>
      <c r="I17" s="108"/>
      <c r="J17" s="576">
        <f>ROUND(H17/$H$29,4)</f>
        <v>3.3599999999999998E-2</v>
      </c>
      <c r="K17" s="108"/>
      <c r="L17" s="1005">
        <f>+'J-2 B'!L20</f>
        <v>1.9898265289283203E-2</v>
      </c>
      <c r="M17" s="108"/>
      <c r="N17" s="1005">
        <f>+J17*L17</f>
        <v>6.6858171371991554E-4</v>
      </c>
      <c r="O17" s="108"/>
      <c r="P17" s="108">
        <f>+'J-2 F'!F20</f>
        <v>242504.31246159747</v>
      </c>
      <c r="Q17" s="108"/>
      <c r="R17" s="576">
        <f>ROUND(P17/$P$29,4)</f>
        <v>3.4799999999999998E-2</v>
      </c>
      <c r="S17" s="108"/>
      <c r="T17" s="1005">
        <f>ROUND(+'J-2 F'!L20,4)</f>
        <v>1.9900000000000001E-2</v>
      </c>
      <c r="U17" s="576"/>
      <c r="V17" s="1005">
        <f>ROUND(R17*T17,4)</f>
        <v>6.9999999999999999E-4</v>
      </c>
      <c r="W17" s="422"/>
      <c r="X17" s="422"/>
    </row>
    <row r="18" spans="1:24">
      <c r="F18" s="108"/>
      <c r="G18" s="108"/>
      <c r="H18" s="108"/>
      <c r="I18" s="108"/>
      <c r="J18" s="108"/>
      <c r="K18" s="108"/>
      <c r="L18" s="1005"/>
      <c r="M18" s="108"/>
      <c r="N18" s="1005"/>
      <c r="O18" s="108"/>
      <c r="P18" s="108"/>
      <c r="Q18" s="108"/>
      <c r="R18" s="576"/>
      <c r="S18" s="108"/>
      <c r="T18" s="1005"/>
      <c r="U18" s="576"/>
      <c r="V18" s="1005"/>
      <c r="W18" s="422"/>
    </row>
    <row r="19" spans="1:24">
      <c r="A19" s="121" t="s">
        <v>372</v>
      </c>
      <c r="C19" s="583" t="s">
        <v>274</v>
      </c>
      <c r="F19" s="108"/>
      <c r="G19" s="108"/>
      <c r="H19" s="109">
        <f>'J-1 Base'!G21</f>
        <v>3066734.19575</v>
      </c>
      <c r="I19" s="108"/>
      <c r="J19" s="1006">
        <f>ROUND(H19/$H$29,5)</f>
        <v>0.42529</v>
      </c>
      <c r="K19" s="108"/>
      <c r="L19" s="1005">
        <f>ROUND('J-3 B'!K34,4)</f>
        <v>5.1299999999999998E-2</v>
      </c>
      <c r="M19" s="108"/>
      <c r="N19" s="1007">
        <f>+J19*L19</f>
        <v>2.1817376999999999E-2</v>
      </c>
      <c r="O19" s="108"/>
      <c r="P19" s="109">
        <f>+'J-3 F'!E34*0.001</f>
        <v>3066734.19575</v>
      </c>
      <c r="Q19" s="108"/>
      <c r="R19" s="1006">
        <f>ROUND(P19/$P$29,4)</f>
        <v>0.4395</v>
      </c>
      <c r="S19" s="108"/>
      <c r="T19" s="1005">
        <f>ROUND('J-3 F'!K34,4)</f>
        <v>5.0900000000000001E-2</v>
      </c>
      <c r="U19" s="576"/>
      <c r="V19" s="1007">
        <f>+R19*T19</f>
        <v>2.2370549999999999E-2</v>
      </c>
      <c r="W19" s="422"/>
      <c r="X19" s="422"/>
    </row>
    <row r="20" spans="1:24">
      <c r="F20" s="108"/>
      <c r="G20" s="108"/>
      <c r="H20" s="108"/>
      <c r="I20" s="108"/>
      <c r="J20" s="108"/>
      <c r="K20" s="108"/>
      <c r="L20" s="1005"/>
      <c r="M20" s="108"/>
      <c r="N20" s="1005"/>
      <c r="O20" s="108"/>
      <c r="P20" s="108"/>
      <c r="Q20" s="108"/>
      <c r="R20" s="108"/>
      <c r="S20" s="108"/>
      <c r="T20" s="1005"/>
      <c r="U20" s="576"/>
      <c r="V20" s="1005"/>
      <c r="W20" s="422"/>
    </row>
    <row r="21" spans="1:24">
      <c r="A21" s="121" t="s">
        <v>374</v>
      </c>
      <c r="C21" s="583" t="s">
        <v>403</v>
      </c>
      <c r="F21" s="108"/>
      <c r="G21" s="108"/>
      <c r="H21" s="108">
        <f>H17+H19</f>
        <v>3309238.5082115973</v>
      </c>
      <c r="I21" s="108"/>
      <c r="J21" s="576">
        <f>J17+J19</f>
        <v>0.45889000000000002</v>
      </c>
      <c r="K21" s="108"/>
      <c r="L21" s="1005"/>
      <c r="M21" s="108"/>
      <c r="N21" s="1005">
        <f>N17+N19</f>
        <v>2.2485958713719913E-2</v>
      </c>
      <c r="O21" s="108"/>
      <c r="P21" s="108">
        <f>P17+P19</f>
        <v>3309238.5082115973</v>
      </c>
      <c r="Q21" s="108"/>
      <c r="R21" s="576">
        <f>R17+R19</f>
        <v>0.4743</v>
      </c>
      <c r="S21" s="108"/>
      <c r="T21" s="1005"/>
      <c r="U21" s="576"/>
      <c r="V21" s="1005">
        <f>V17+V19</f>
        <v>2.3070549999999999E-2</v>
      </c>
      <c r="W21" s="422"/>
      <c r="X21" s="108"/>
    </row>
    <row r="22" spans="1:24">
      <c r="F22" s="108"/>
      <c r="G22" s="108"/>
      <c r="H22" s="108"/>
      <c r="I22" s="108"/>
      <c r="J22" s="108"/>
      <c r="K22" s="108"/>
      <c r="L22" s="1005"/>
      <c r="M22" s="108"/>
      <c r="N22" s="1005"/>
      <c r="O22" s="108"/>
      <c r="P22" s="108"/>
      <c r="Q22" s="108"/>
      <c r="R22" s="108"/>
      <c r="S22" s="108"/>
      <c r="T22" s="1005"/>
      <c r="U22" s="576"/>
      <c r="V22" s="1005"/>
      <c r="W22" s="422"/>
    </row>
    <row r="23" spans="1:24">
      <c r="A23" s="121" t="s">
        <v>375</v>
      </c>
      <c r="C23" s="583" t="s">
        <v>275</v>
      </c>
      <c r="F23" s="108"/>
      <c r="G23" s="108"/>
      <c r="H23" s="108">
        <v>0</v>
      </c>
      <c r="I23" s="108"/>
      <c r="J23" s="576">
        <f>ROUND(H23/$H$29,4)</f>
        <v>0</v>
      </c>
      <c r="K23" s="108"/>
      <c r="L23" s="1005">
        <v>0</v>
      </c>
      <c r="M23" s="108"/>
      <c r="N23" s="1005">
        <f>+J23*L23</f>
        <v>0</v>
      </c>
      <c r="O23" s="108"/>
      <c r="P23" s="108">
        <v>0</v>
      </c>
      <c r="Q23" s="108"/>
      <c r="R23" s="576">
        <f>ROUND(P23/$P$29,4)</f>
        <v>0</v>
      </c>
      <c r="S23" s="108"/>
      <c r="T23" s="1005">
        <v>0</v>
      </c>
      <c r="U23" s="576"/>
      <c r="V23" s="1005">
        <f>ROUND(R23*T23,4)</f>
        <v>0</v>
      </c>
      <c r="W23" s="422"/>
    </row>
    <row r="24" spans="1:24">
      <c r="H24" s="108"/>
      <c r="L24" s="1005"/>
      <c r="N24" s="422"/>
      <c r="P24" s="108"/>
      <c r="T24" s="1005"/>
      <c r="U24" s="1008"/>
      <c r="V24" s="422"/>
      <c r="W24" s="422"/>
    </row>
    <row r="25" spans="1:24">
      <c r="A25" s="121" t="s">
        <v>376</v>
      </c>
      <c r="C25" s="583" t="s">
        <v>276</v>
      </c>
      <c r="H25" s="108">
        <f>'[31]Consolidated Cap Structure'!$C$27*0.001</f>
        <v>3901710.1031300002</v>
      </c>
      <c r="J25" s="576">
        <f>ROUND(H25/$H$29,5)</f>
        <v>0.54108000000000001</v>
      </c>
      <c r="L25" s="1005">
        <f>Allocation!E27</f>
        <v>0.10299999999999999</v>
      </c>
      <c r="N25" s="1005">
        <f>+J25*L25</f>
        <v>5.5731239999999994E-2</v>
      </c>
      <c r="P25" s="108">
        <f>'[31]Consolidated Cap Structure'!$C$11*0.001</f>
        <v>3668227.0974676916</v>
      </c>
      <c r="R25" s="576">
        <f>+ROUND(P25/P29,5)</f>
        <v>0.52571999999999997</v>
      </c>
      <c r="T25" s="1005">
        <f>L25</f>
        <v>0.10299999999999999</v>
      </c>
      <c r="U25" s="1008"/>
      <c r="V25" s="1005">
        <f>ROUND(R25*T25,4)</f>
        <v>5.4100000000000002E-2</v>
      </c>
      <c r="W25" s="422"/>
      <c r="X25" s="422"/>
    </row>
    <row r="26" spans="1:24">
      <c r="H26" s="108"/>
      <c r="L26" s="1005"/>
      <c r="N26" s="422"/>
      <c r="P26" s="108"/>
      <c r="T26" s="1005"/>
      <c r="U26" s="1008"/>
      <c r="V26" s="422"/>
      <c r="W26" s="422"/>
    </row>
    <row r="27" spans="1:24">
      <c r="A27" s="121" t="s">
        <v>377</v>
      </c>
      <c r="C27" s="583" t="s">
        <v>438</v>
      </c>
      <c r="H27" s="109">
        <v>0</v>
      </c>
      <c r="J27" s="1009">
        <f>ROUND(H27/$H$29,4)</f>
        <v>0</v>
      </c>
      <c r="L27" s="1005">
        <v>0</v>
      </c>
      <c r="N27" s="1007">
        <f>+J27*L27</f>
        <v>0</v>
      </c>
      <c r="P27" s="109">
        <v>0</v>
      </c>
      <c r="R27" s="1009">
        <f>ROUND(P27/$H$29,4)</f>
        <v>0</v>
      </c>
      <c r="T27" s="1005">
        <v>0</v>
      </c>
      <c r="U27" s="1008"/>
      <c r="V27" s="1010">
        <f>ROUND(R27*T27,4)</f>
        <v>0</v>
      </c>
      <c r="W27" s="422"/>
    </row>
    <row r="28" spans="1:24">
      <c r="H28" s="108"/>
      <c r="L28" s="1005"/>
      <c r="P28" s="108"/>
      <c r="T28" s="576"/>
      <c r="U28" s="1008"/>
      <c r="V28" s="1008"/>
      <c r="W28" s="1008"/>
    </row>
    <row r="29" spans="1:24" ht="15.75" thickBot="1">
      <c r="A29" s="121" t="s">
        <v>378</v>
      </c>
      <c r="C29" s="583" t="s">
        <v>404</v>
      </c>
      <c r="H29" s="1011">
        <f>H21+H25+H27</f>
        <v>7210948.6113415975</v>
      </c>
      <c r="J29" s="1012">
        <f>SUM(J21:J27)</f>
        <v>0.99997000000000003</v>
      </c>
      <c r="L29" s="135"/>
      <c r="N29" s="114">
        <f>SUM(N21:N27)</f>
        <v>7.8217198713719904E-2</v>
      </c>
      <c r="P29" s="1011">
        <f>SUM(P21:P27)</f>
        <v>6977465.6056792885</v>
      </c>
      <c r="R29" s="1012">
        <f>SUM(R21:R27)</f>
        <v>1.0000199999999999</v>
      </c>
      <c r="T29" s="576"/>
      <c r="U29" s="1008"/>
      <c r="V29" s="114">
        <f>SUM(V21:V27)</f>
        <v>7.7170550000000004E-2</v>
      </c>
      <c r="W29" s="422"/>
      <c r="X29" s="114"/>
    </row>
    <row r="30" spans="1:24" ht="15.75" thickTop="1">
      <c r="H30" s="108"/>
      <c r="P30" s="108"/>
      <c r="T30" s="1008"/>
      <c r="U30" s="1008"/>
      <c r="V30" s="1008"/>
    </row>
    <row r="35" spans="1:22" ht="16.5" thickBot="1">
      <c r="A35" s="962"/>
      <c r="B35" s="962"/>
      <c r="C35" s="962"/>
      <c r="D35" s="962"/>
      <c r="E35" s="962"/>
      <c r="F35" s="962"/>
      <c r="G35" s="962"/>
      <c r="N35" s="994" t="s">
        <v>509</v>
      </c>
      <c r="O35" s="995"/>
      <c r="P35" s="995"/>
    </row>
    <row r="36" spans="1:22" ht="15.75">
      <c r="H36" s="996" t="s">
        <v>328</v>
      </c>
      <c r="I36" s="997"/>
      <c r="J36" s="997"/>
      <c r="K36" s="997"/>
      <c r="L36" s="997"/>
      <c r="M36" s="997"/>
      <c r="N36" s="998"/>
      <c r="P36" s="996" t="s">
        <v>329</v>
      </c>
      <c r="Q36" s="997"/>
      <c r="R36" s="997"/>
      <c r="S36" s="997"/>
      <c r="T36" s="997"/>
      <c r="U36" s="997"/>
      <c r="V36" s="998"/>
    </row>
    <row r="37" spans="1:22">
      <c r="A37" s="121" t="s">
        <v>94</v>
      </c>
      <c r="F37" s="121" t="s">
        <v>96</v>
      </c>
      <c r="H37" s="999"/>
      <c r="I37" s="804"/>
      <c r="J37" s="427" t="s">
        <v>104</v>
      </c>
      <c r="K37" s="804"/>
      <c r="L37" s="804"/>
      <c r="M37" s="804"/>
      <c r="N37" s="1000" t="s">
        <v>352</v>
      </c>
      <c r="P37" s="999"/>
      <c r="Q37" s="804"/>
      <c r="R37" s="427" t="s">
        <v>104</v>
      </c>
      <c r="S37" s="804"/>
      <c r="T37" s="804"/>
      <c r="U37" s="804"/>
      <c r="V37" s="1000" t="s">
        <v>352</v>
      </c>
    </row>
    <row r="38" spans="1:22" ht="15.75" thickBot="1">
      <c r="A38" s="648" t="s">
        <v>100</v>
      </c>
      <c r="B38" s="934"/>
      <c r="C38" s="955" t="s">
        <v>351</v>
      </c>
      <c r="D38" s="934"/>
      <c r="E38" s="934"/>
      <c r="F38" s="648" t="s">
        <v>102</v>
      </c>
      <c r="G38" s="934"/>
      <c r="H38" s="1001" t="s">
        <v>105</v>
      </c>
      <c r="I38" s="1002"/>
      <c r="J38" s="1003" t="s">
        <v>42</v>
      </c>
      <c r="K38" s="1002"/>
      <c r="L38" s="1003" t="s">
        <v>1167</v>
      </c>
      <c r="M38" s="1002"/>
      <c r="N38" s="1004" t="s">
        <v>0</v>
      </c>
      <c r="O38" s="804"/>
      <c r="P38" s="1001" t="s">
        <v>105</v>
      </c>
      <c r="Q38" s="1002"/>
      <c r="R38" s="1003" t="s">
        <v>42</v>
      </c>
      <c r="S38" s="1002"/>
      <c r="T38" s="1003" t="s">
        <v>1167</v>
      </c>
      <c r="U38" s="1002"/>
      <c r="V38" s="1004" t="s">
        <v>0</v>
      </c>
    </row>
    <row r="39" spans="1:22">
      <c r="F39" s="121" t="s">
        <v>1090</v>
      </c>
      <c r="H39" s="121" t="s">
        <v>1091</v>
      </c>
      <c r="J39" s="121" t="s">
        <v>1092</v>
      </c>
      <c r="L39" s="121" t="s">
        <v>15</v>
      </c>
      <c r="N39" s="121" t="s">
        <v>39</v>
      </c>
      <c r="O39" s="804"/>
      <c r="P39" s="121" t="s">
        <v>326</v>
      </c>
      <c r="R39" s="121" t="s">
        <v>40</v>
      </c>
      <c r="T39" s="121" t="s">
        <v>627</v>
      </c>
      <c r="V39" s="121" t="s">
        <v>628</v>
      </c>
    </row>
    <row r="40" spans="1:22">
      <c r="H40" s="121" t="s">
        <v>629</v>
      </c>
      <c r="J40" s="121" t="s">
        <v>150</v>
      </c>
      <c r="L40" s="121" t="s">
        <v>150</v>
      </c>
      <c r="N40" s="121" t="s">
        <v>150</v>
      </c>
      <c r="P40" s="121" t="s">
        <v>629</v>
      </c>
      <c r="R40" s="121" t="s">
        <v>150</v>
      </c>
      <c r="T40" s="121" t="s">
        <v>150</v>
      </c>
      <c r="V40" s="121" t="s">
        <v>150</v>
      </c>
    </row>
    <row r="42" spans="1:22">
      <c r="A42" s="121">
        <v>8</v>
      </c>
      <c r="C42" s="583" t="s">
        <v>273</v>
      </c>
      <c r="F42" s="108"/>
      <c r="G42" s="108"/>
      <c r="H42" s="108">
        <f>+'J-2 B'!F20</f>
        <v>242504.31246159747</v>
      </c>
      <c r="I42" s="108"/>
      <c r="J42" s="576">
        <f>ROUND(H42/$H$54,4)</f>
        <v>3.3599999999999998E-2</v>
      </c>
      <c r="K42" s="108"/>
      <c r="L42" s="1005">
        <f>+'J-2 B'!L20</f>
        <v>1.9898265289283203E-2</v>
      </c>
      <c r="M42" s="108"/>
      <c r="N42" s="1005">
        <f>+J42*L42</f>
        <v>6.6858171371991554E-4</v>
      </c>
      <c r="O42" s="108"/>
      <c r="P42" s="108">
        <f>+'J-2 F'!F20</f>
        <v>242504.31246159747</v>
      </c>
      <c r="Q42" s="108"/>
      <c r="R42" s="576">
        <f>ROUND(P42/$P$54,4)</f>
        <v>3.4799999999999998E-2</v>
      </c>
      <c r="S42" s="108"/>
      <c r="T42" s="1005">
        <f>ROUND(+'J-2 F'!L20,4)</f>
        <v>1.9900000000000001E-2</v>
      </c>
      <c r="U42" s="576"/>
      <c r="V42" s="1005">
        <f>ROUND(R42*T42,4)</f>
        <v>6.9999999999999999E-4</v>
      </c>
    </row>
    <row r="43" spans="1:22">
      <c r="F43" s="108"/>
      <c r="G43" s="108"/>
      <c r="H43" s="108"/>
      <c r="I43" s="108"/>
      <c r="J43" s="108"/>
      <c r="K43" s="108"/>
      <c r="L43" s="1005"/>
      <c r="M43" s="108"/>
      <c r="N43" s="1005"/>
      <c r="O43" s="108"/>
      <c r="P43" s="108"/>
      <c r="Q43" s="108"/>
      <c r="R43" s="576"/>
      <c r="S43" s="108"/>
      <c r="T43" s="1005"/>
      <c r="U43" s="576"/>
      <c r="V43" s="1005"/>
    </row>
    <row r="44" spans="1:22">
      <c r="A44" s="121">
        <v>9</v>
      </c>
      <c r="C44" s="583" t="s">
        <v>274</v>
      </c>
      <c r="F44" s="108"/>
      <c r="G44" s="108"/>
      <c r="H44" s="109">
        <f>H19</f>
        <v>3066734.19575</v>
      </c>
      <c r="I44" s="108"/>
      <c r="J44" s="1006">
        <f>ROUND(H44/$H$54,5)</f>
        <v>0.42529</v>
      </c>
      <c r="K44" s="108"/>
      <c r="L44" s="1005">
        <f>ROUND('J-3 B'!K34,4)</f>
        <v>5.1299999999999998E-2</v>
      </c>
      <c r="M44" s="108"/>
      <c r="N44" s="1007">
        <f>+J44*L44</f>
        <v>2.1817376999999999E-2</v>
      </c>
      <c r="O44" s="108"/>
      <c r="P44" s="109">
        <f>+'J-3 F'!E34*0.001</f>
        <v>3066734.19575</v>
      </c>
      <c r="Q44" s="108"/>
      <c r="R44" s="1006">
        <f>ROUND(P44/$P$54,4)</f>
        <v>0.4395</v>
      </c>
      <c r="S44" s="108"/>
      <c r="T44" s="1005">
        <f>ROUND('J-3 F'!K34,4)</f>
        <v>5.0900000000000001E-2</v>
      </c>
      <c r="U44" s="576"/>
      <c r="V44" s="1010">
        <f>ROUND(R44*T44,4)</f>
        <v>2.24E-2</v>
      </c>
    </row>
    <row r="45" spans="1:22">
      <c r="F45" s="108"/>
      <c r="G45" s="108"/>
      <c r="H45" s="108"/>
      <c r="I45" s="108"/>
      <c r="J45" s="108"/>
      <c r="K45" s="108"/>
      <c r="L45" s="1005"/>
      <c r="M45" s="108"/>
      <c r="N45" s="1005"/>
      <c r="O45" s="108"/>
      <c r="P45" s="108"/>
      <c r="Q45" s="108"/>
      <c r="R45" s="108"/>
      <c r="S45" s="108"/>
      <c r="T45" s="1005"/>
      <c r="U45" s="576"/>
      <c r="V45" s="1005"/>
    </row>
    <row r="46" spans="1:22">
      <c r="A46" s="121">
        <v>10</v>
      </c>
      <c r="C46" s="583" t="s">
        <v>403</v>
      </c>
      <c r="F46" s="108"/>
      <c r="G46" s="108"/>
      <c r="H46" s="108">
        <f>H42+H44</f>
        <v>3309238.5082115973</v>
      </c>
      <c r="I46" s="108"/>
      <c r="J46" s="576">
        <f>J42+J44</f>
        <v>0.45889000000000002</v>
      </c>
      <c r="K46" s="108"/>
      <c r="L46" s="1005"/>
      <c r="M46" s="108"/>
      <c r="N46" s="1005">
        <f>N42+N44</f>
        <v>2.2485958713719913E-2</v>
      </c>
      <c r="O46" s="108"/>
      <c r="P46" s="108">
        <f>P42+P44</f>
        <v>3309238.5082115973</v>
      </c>
      <c r="Q46" s="108"/>
      <c r="R46" s="576">
        <f>R42+R44</f>
        <v>0.4743</v>
      </c>
      <c r="S46" s="108"/>
      <c r="T46" s="1005"/>
      <c r="U46" s="576"/>
      <c r="V46" s="1005">
        <f>V42+V44</f>
        <v>2.3099999999999999E-2</v>
      </c>
    </row>
    <row r="47" spans="1:22">
      <c r="F47" s="108"/>
      <c r="G47" s="108"/>
      <c r="H47" s="108"/>
      <c r="I47" s="108"/>
      <c r="J47" s="108"/>
      <c r="K47" s="108"/>
      <c r="L47" s="1005"/>
      <c r="M47" s="108"/>
      <c r="N47" s="1005"/>
      <c r="O47" s="108"/>
      <c r="P47" s="108"/>
      <c r="Q47" s="108"/>
      <c r="R47" s="108"/>
      <c r="S47" s="108"/>
      <c r="T47" s="1005"/>
      <c r="U47" s="576"/>
      <c r="V47" s="1005"/>
    </row>
    <row r="48" spans="1:22">
      <c r="A48" s="121">
        <v>11</v>
      </c>
      <c r="C48" s="583" t="s">
        <v>275</v>
      </c>
      <c r="F48" s="108"/>
      <c r="G48" s="108"/>
      <c r="H48" s="108">
        <v>0</v>
      </c>
      <c r="I48" s="108"/>
      <c r="J48" s="576">
        <f>ROUND(H48/$H$54,4)</f>
        <v>0</v>
      </c>
      <c r="K48" s="108"/>
      <c r="L48" s="1005">
        <v>0</v>
      </c>
      <c r="M48" s="108"/>
      <c r="N48" s="1005">
        <f>+J48*L48</f>
        <v>0</v>
      </c>
      <c r="O48" s="108"/>
      <c r="P48" s="108">
        <v>0</v>
      </c>
      <c r="Q48" s="108"/>
      <c r="R48" s="576">
        <f>ROUND(P48/$P$54,4)</f>
        <v>0</v>
      </c>
      <c r="S48" s="108"/>
      <c r="T48" s="1005">
        <v>0</v>
      </c>
      <c r="U48" s="576"/>
      <c r="V48" s="1005">
        <f>ROUND(R48*T48,4)</f>
        <v>0</v>
      </c>
    </row>
    <row r="49" spans="1:22">
      <c r="H49" s="108"/>
      <c r="L49" s="1005"/>
      <c r="N49" s="422"/>
      <c r="P49" s="108"/>
      <c r="T49" s="1005"/>
      <c r="U49" s="1008"/>
      <c r="V49" s="422"/>
    </row>
    <row r="50" spans="1:22">
      <c r="A50" s="121">
        <v>12</v>
      </c>
      <c r="C50" s="583" t="s">
        <v>276</v>
      </c>
      <c r="H50" s="108">
        <f>H25</f>
        <v>3901710.1031300002</v>
      </c>
      <c r="J50" s="576">
        <f>ROUND(H50/$H$54,5)</f>
        <v>0.54108000000000001</v>
      </c>
      <c r="L50" s="1005">
        <f>+N50/J50</f>
        <v>0.12410852358847917</v>
      </c>
      <c r="N50" s="1005">
        <f>+N54-N46</f>
        <v>6.7152639943254308E-2</v>
      </c>
      <c r="P50" s="108">
        <f>P25</f>
        <v>3668227.0974676916</v>
      </c>
      <c r="R50" s="576">
        <f>+ROUND(P50/P54,5)</f>
        <v>0.52571999999999997</v>
      </c>
      <c r="T50" s="1005">
        <f>+V50/R50</f>
        <v>9.2254432017043309E-2</v>
      </c>
      <c r="U50" s="1008"/>
      <c r="V50" s="1005">
        <f>+V54-V46</f>
        <v>4.8500000000000001E-2</v>
      </c>
    </row>
    <row r="51" spans="1:22">
      <c r="H51" s="108"/>
      <c r="L51" s="1005"/>
      <c r="N51" s="422"/>
      <c r="P51" s="108"/>
      <c r="T51" s="1005"/>
      <c r="U51" s="1008"/>
      <c r="V51" s="422"/>
    </row>
    <row r="52" spans="1:22">
      <c r="A52" s="121">
        <v>13</v>
      </c>
      <c r="C52" s="583" t="s">
        <v>438</v>
      </c>
      <c r="H52" s="109">
        <v>0</v>
      </c>
      <c r="J52" s="1009">
        <f>ROUND(H52/$H$29,4)</f>
        <v>0</v>
      </c>
      <c r="L52" s="1005">
        <v>0</v>
      </c>
      <c r="N52" s="1007">
        <f>+J52*L52</f>
        <v>0</v>
      </c>
      <c r="P52" s="109">
        <v>0</v>
      </c>
      <c r="R52" s="1009">
        <f>ROUND(P52/$H$54,4)</f>
        <v>0</v>
      </c>
      <c r="T52" s="1005">
        <v>0</v>
      </c>
      <c r="U52" s="1008"/>
      <c r="V52" s="1010">
        <f>ROUND(R52*T52,4)</f>
        <v>0</v>
      </c>
    </row>
    <row r="53" spans="1:22">
      <c r="H53" s="108"/>
      <c r="L53" s="1005"/>
      <c r="P53" s="108"/>
      <c r="T53" s="576"/>
      <c r="U53" s="1008"/>
      <c r="V53" s="1008"/>
    </row>
    <row r="54" spans="1:22" ht="15.75" thickBot="1">
      <c r="A54" s="121">
        <v>14</v>
      </c>
      <c r="C54" s="583" t="s">
        <v>404</v>
      </c>
      <c r="H54" s="1011">
        <f>H46+H50+H52</f>
        <v>7210948.6113415975</v>
      </c>
      <c r="J54" s="1012">
        <f>SUM(J46:J52)</f>
        <v>0.99997000000000003</v>
      </c>
      <c r="L54" s="135"/>
      <c r="N54" s="114">
        <f>+C.2!D33/'B.1 B'!F27</f>
        <v>8.9638598656974225E-2</v>
      </c>
      <c r="P54" s="1011">
        <f>SUM(P46:P52)</f>
        <v>6977465.6056792885</v>
      </c>
      <c r="R54" s="1012">
        <f>SUM(R46:R52)</f>
        <v>1.0000199999999999</v>
      </c>
      <c r="T54" s="576"/>
      <c r="U54" s="1008"/>
      <c r="V54" s="114">
        <f>+A.1!G20</f>
        <v>7.1599999999999997E-2</v>
      </c>
    </row>
    <row r="55" spans="1:22" ht="15.75" thickTop="1">
      <c r="H55" s="108"/>
      <c r="P55" s="108"/>
      <c r="T55" s="1008"/>
      <c r="U55" s="1008"/>
      <c r="V55" s="1008"/>
    </row>
    <row r="56" spans="1:22"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</row>
    <row r="57" spans="1:22">
      <c r="F57" s="108"/>
      <c r="G57" s="108"/>
      <c r="H57" s="108"/>
      <c r="I57" s="108"/>
      <c r="J57" s="576"/>
      <c r="K57" s="108"/>
      <c r="L57" s="135"/>
      <c r="M57" s="108"/>
      <c r="N57" s="135"/>
      <c r="O57" s="108"/>
      <c r="P57" s="108"/>
    </row>
    <row r="58" spans="1:22">
      <c r="F58" s="108"/>
      <c r="G58" s="108"/>
      <c r="H58" s="108"/>
      <c r="I58" s="108"/>
      <c r="J58" s="108"/>
      <c r="K58" s="108"/>
      <c r="L58" s="135"/>
      <c r="M58" s="108"/>
      <c r="N58" s="108"/>
      <c r="O58" s="108"/>
      <c r="P58" s="108"/>
    </row>
    <row r="59" spans="1:22">
      <c r="F59" s="108"/>
      <c r="G59" s="108"/>
      <c r="H59" s="108"/>
      <c r="I59" s="108"/>
      <c r="J59" s="576"/>
      <c r="K59" s="108"/>
      <c r="L59" s="135"/>
      <c r="M59" s="108"/>
      <c r="N59" s="135"/>
      <c r="O59" s="108"/>
      <c r="P59" s="108"/>
    </row>
    <row r="60" spans="1:22">
      <c r="F60" s="108"/>
      <c r="G60" s="108"/>
      <c r="H60" s="108"/>
      <c r="I60" s="108"/>
      <c r="J60" s="108"/>
      <c r="K60" s="108"/>
      <c r="L60" s="135"/>
      <c r="M60" s="108"/>
      <c r="N60" s="108"/>
      <c r="O60" s="108"/>
      <c r="P60" s="108"/>
    </row>
    <row r="61" spans="1:22">
      <c r="F61" s="108"/>
      <c r="G61" s="108"/>
      <c r="H61" s="108"/>
      <c r="I61" s="108"/>
      <c r="J61" s="576"/>
      <c r="K61" s="108"/>
      <c r="L61" s="135"/>
      <c r="M61" s="108"/>
      <c r="N61" s="135"/>
      <c r="O61" s="108"/>
      <c r="P61" s="108"/>
    </row>
    <row r="62" spans="1:22">
      <c r="F62" s="108"/>
      <c r="G62" s="108"/>
      <c r="H62" s="108"/>
      <c r="I62" s="108"/>
      <c r="J62" s="108"/>
      <c r="K62" s="108"/>
      <c r="L62" s="108"/>
      <c r="M62" s="108"/>
      <c r="N62" s="108"/>
      <c r="O62" s="108"/>
    </row>
  </sheetData>
  <mergeCells count="5">
    <mergeCell ref="A5:V5"/>
    <mergeCell ref="A1:V1"/>
    <mergeCell ref="A2:V2"/>
    <mergeCell ref="A3:V3"/>
    <mergeCell ref="A4:V4"/>
  </mergeCells>
  <phoneticPr fontId="22" type="noConversion"/>
  <printOptions horizontalCentered="1"/>
  <pageMargins left="0.74" right="0.43" top="0.91" bottom="1" header="0.5" footer="0.5"/>
  <pageSetup scale="59" orientation="portrait" verticalDpi="300" r:id="rId1"/>
  <headerFooter alignWithMargins="0">
    <oddFooter>&amp;RSchedule &amp;A
Page &amp;P of 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W29"/>
  <sheetViews>
    <sheetView view="pageBreakPreview" zoomScale="70" zoomScaleNormal="90" zoomScaleSheetLayoutView="70" workbookViewId="0">
      <selection activeCell="G26" sqref="G26"/>
    </sheetView>
  </sheetViews>
  <sheetFormatPr defaultColWidth="10.109375" defaultRowHeight="15"/>
  <cols>
    <col min="1" max="1" width="5" style="1" customWidth="1"/>
    <col min="2" max="2" width="4.77734375" style="1" customWidth="1"/>
    <col min="3" max="3" width="16.109375" style="1" customWidth="1"/>
    <col min="4" max="4" width="5" style="1" customWidth="1"/>
    <col min="5" max="5" width="11" style="1" customWidth="1"/>
    <col min="6" max="6" width="5" style="1" customWidth="1"/>
    <col min="7" max="7" width="16.21875" style="1" customWidth="1"/>
    <col min="8" max="8" width="5" style="1" customWidth="1"/>
    <col min="9" max="9" width="10.109375" style="1"/>
    <col min="10" max="10" width="5" style="1" customWidth="1"/>
    <col min="11" max="11" width="10.109375" style="1"/>
    <col min="12" max="12" width="5" style="1" customWidth="1"/>
    <col min="13" max="13" width="10.6640625" style="1" customWidth="1"/>
    <col min="14" max="14" width="6.6640625" style="1" customWidth="1"/>
    <col min="15" max="15" width="12.5546875" style="1" customWidth="1"/>
    <col min="16" max="16" width="2.44140625" style="1" customWidth="1"/>
    <col min="17" max="17" width="10.109375" style="1"/>
    <col min="18" max="18" width="2.44140625" style="1" customWidth="1"/>
    <col min="19" max="19" width="10.109375" style="1"/>
    <col min="20" max="20" width="2.44140625" style="1" customWidth="1"/>
    <col min="21" max="21" width="10.109375" style="1"/>
    <col min="22" max="22" width="6.6640625" style="1" customWidth="1"/>
    <col min="23" max="16384" width="10.109375" style="1"/>
  </cols>
  <sheetData>
    <row r="1" spans="1:23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O1" s="10"/>
    </row>
    <row r="2" spans="1:23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</row>
    <row r="3" spans="1:23">
      <c r="A3" s="1190" t="s">
        <v>2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</row>
    <row r="4" spans="1:23">
      <c r="A4" s="1190" t="s">
        <v>1667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</row>
    <row r="7" spans="1:23">
      <c r="A7" s="4" t="s">
        <v>1156</v>
      </c>
      <c r="M7" s="375" t="s">
        <v>1438</v>
      </c>
    </row>
    <row r="8" spans="1:23">
      <c r="A8" s="66" t="s">
        <v>621</v>
      </c>
      <c r="K8" s="4"/>
      <c r="M8" s="487" t="s">
        <v>783</v>
      </c>
    </row>
    <row r="9" spans="1:23">
      <c r="A9" s="5" t="s">
        <v>369</v>
      </c>
      <c r="B9" s="6"/>
      <c r="C9" s="6"/>
      <c r="D9" s="6"/>
      <c r="E9" s="6"/>
      <c r="F9" s="6"/>
      <c r="G9" s="6"/>
      <c r="H9" s="6"/>
      <c r="I9" s="6"/>
      <c r="J9" s="6"/>
      <c r="K9" s="5"/>
      <c r="L9" s="6"/>
      <c r="M9" s="488" t="str">
        <f>'J-1 Base'!$M$9</f>
        <v>Witness:  Christian</v>
      </c>
    </row>
    <row r="10" spans="1:23">
      <c r="L10" s="15"/>
      <c r="M10" s="15"/>
      <c r="N10" s="15"/>
    </row>
    <row r="11" spans="1:23">
      <c r="A11" s="2" t="s">
        <v>94</v>
      </c>
      <c r="E11" s="2" t="s">
        <v>96</v>
      </c>
      <c r="I11" s="2" t="s">
        <v>104</v>
      </c>
      <c r="M11" s="2" t="s">
        <v>352</v>
      </c>
    </row>
    <row r="12" spans="1:23">
      <c r="A12" s="9" t="s">
        <v>100</v>
      </c>
      <c r="B12" s="6"/>
      <c r="C12" s="5" t="s">
        <v>351</v>
      </c>
      <c r="D12" s="6"/>
      <c r="E12" s="9" t="s">
        <v>102</v>
      </c>
      <c r="F12" s="6"/>
      <c r="G12" s="9" t="s">
        <v>105</v>
      </c>
      <c r="H12" s="6"/>
      <c r="I12" s="9" t="s">
        <v>42</v>
      </c>
      <c r="J12" s="6"/>
      <c r="K12" s="9" t="s">
        <v>1167</v>
      </c>
      <c r="L12" s="6"/>
      <c r="M12" s="9" t="s">
        <v>0</v>
      </c>
      <c r="O12" s="802"/>
      <c r="P12" s="10"/>
      <c r="Q12" s="10"/>
      <c r="R12" s="10"/>
      <c r="S12" s="10"/>
      <c r="T12" s="10"/>
    </row>
    <row r="13" spans="1:23">
      <c r="E13" s="2" t="s">
        <v>1090</v>
      </c>
      <c r="G13" s="2" t="s">
        <v>1091</v>
      </c>
      <c r="I13" s="2" t="s">
        <v>1092</v>
      </c>
      <c r="K13" s="2" t="s">
        <v>15</v>
      </c>
      <c r="M13" s="2" t="s">
        <v>39</v>
      </c>
      <c r="O13" s="659"/>
      <c r="P13" s="10"/>
      <c r="Q13" s="10"/>
      <c r="R13" s="10"/>
      <c r="S13" s="10"/>
      <c r="T13" s="10"/>
    </row>
    <row r="14" spans="1:23">
      <c r="G14" s="2" t="s">
        <v>629</v>
      </c>
      <c r="K14" s="2" t="s">
        <v>150</v>
      </c>
      <c r="M14" s="2" t="s">
        <v>150</v>
      </c>
      <c r="O14" s="73"/>
      <c r="P14" s="73"/>
      <c r="Q14" s="81"/>
      <c r="R14" s="73"/>
      <c r="S14" s="73"/>
      <c r="T14" s="73"/>
      <c r="U14" s="81"/>
      <c r="V14" s="81"/>
      <c r="W14" s="81"/>
    </row>
    <row r="15" spans="1:23">
      <c r="O15" s="73"/>
      <c r="P15" s="73"/>
      <c r="Q15" s="81"/>
      <c r="R15" s="73"/>
      <c r="S15" s="73"/>
      <c r="T15" s="73"/>
      <c r="U15" s="81"/>
      <c r="V15" s="81"/>
      <c r="W15" s="81"/>
    </row>
    <row r="16" spans="1:23">
      <c r="E16" s="10"/>
      <c r="F16" s="10"/>
      <c r="G16" s="10"/>
      <c r="H16" s="10"/>
      <c r="I16" s="11"/>
      <c r="J16" s="10"/>
      <c r="K16" s="3"/>
      <c r="L16" s="10"/>
      <c r="M16" s="3"/>
      <c r="N16" s="10"/>
      <c r="O16"/>
    </row>
    <row r="17" spans="1:20">
      <c r="E17" s="10"/>
      <c r="F17" s="10"/>
      <c r="G17" s="10"/>
      <c r="H17" s="10"/>
      <c r="I17" s="43"/>
      <c r="J17" s="10"/>
      <c r="K17" s="10"/>
      <c r="L17" s="10"/>
      <c r="M17" s="10"/>
      <c r="N17" s="10"/>
      <c r="O17"/>
    </row>
    <row r="18" spans="1:20" ht="15.75">
      <c r="C18" s="197" t="s">
        <v>1504</v>
      </c>
      <c r="E18" s="10"/>
      <c r="F18" s="10"/>
      <c r="G18" s="185"/>
      <c r="H18" s="10"/>
      <c r="I18" s="11"/>
      <c r="J18" s="10"/>
      <c r="K18" s="3"/>
      <c r="L18" s="10"/>
      <c r="M18" s="3"/>
      <c r="N18" s="10"/>
      <c r="O18"/>
    </row>
    <row r="19" spans="1:20">
      <c r="A19" s="4"/>
      <c r="C19" s="4"/>
      <c r="E19" s="10"/>
      <c r="F19" s="10"/>
      <c r="G19" s="10"/>
      <c r="H19" s="10"/>
      <c r="I19" s="10"/>
      <c r="J19" s="10"/>
      <c r="K19" s="3"/>
      <c r="L19" s="10"/>
      <c r="M19" s="10"/>
      <c r="N19" s="10"/>
      <c r="O19"/>
    </row>
    <row r="20" spans="1:20">
      <c r="A20" s="787">
        <v>6</v>
      </c>
      <c r="C20" s="4" t="s">
        <v>273</v>
      </c>
      <c r="E20" s="21"/>
      <c r="F20" s="10"/>
      <c r="G20" s="350">
        <f>J.1!P17</f>
        <v>242504.31246159747</v>
      </c>
      <c r="H20" s="10"/>
      <c r="I20" s="166">
        <f>G20/$G$28</f>
        <v>3.4755357627877341E-2</v>
      </c>
      <c r="J20" s="10"/>
      <c r="K20" s="111">
        <f>ROUND(+'J-2 F'!L20,4)</f>
        <v>1.9900000000000001E-2</v>
      </c>
      <c r="L20" s="10"/>
      <c r="M20" s="44">
        <f>ROUND(I20*K20,4)</f>
        <v>6.9999999999999999E-4</v>
      </c>
      <c r="N20" s="10"/>
      <c r="O20"/>
      <c r="P20" s="10"/>
      <c r="Q20" s="10"/>
      <c r="R20" s="10"/>
      <c r="S20" s="10"/>
      <c r="T20" s="10"/>
    </row>
    <row r="21" spans="1:20">
      <c r="E21" s="10"/>
      <c r="F21" s="10"/>
      <c r="G21" s="61"/>
      <c r="H21" s="10"/>
      <c r="I21" s="166"/>
      <c r="J21" s="10"/>
      <c r="K21" s="111"/>
      <c r="L21" s="10"/>
      <c r="M21" s="44"/>
      <c r="N21" s="10"/>
      <c r="O21"/>
      <c r="P21" s="10"/>
      <c r="Q21" s="10"/>
      <c r="R21" s="10"/>
      <c r="S21" s="10"/>
      <c r="T21" s="10"/>
    </row>
    <row r="22" spans="1:20">
      <c r="A22" s="787">
        <v>7</v>
      </c>
      <c r="C22" s="4" t="s">
        <v>274</v>
      </c>
      <c r="E22" s="21" t="s">
        <v>277</v>
      </c>
      <c r="F22" s="10"/>
      <c r="G22" s="63">
        <f>+J.1!P19</f>
        <v>3066734.19575</v>
      </c>
      <c r="H22" s="10"/>
      <c r="I22" s="166">
        <f>G22/$G$28</f>
        <v>0.4395197868483709</v>
      </c>
      <c r="J22" s="10"/>
      <c r="K22" s="111">
        <f>ROUND('J-3 F'!K34,4)</f>
        <v>5.0900000000000001E-2</v>
      </c>
      <c r="L22" s="10"/>
      <c r="M22" s="44">
        <f>ROUND(I22*K22,4)</f>
        <v>2.24E-2</v>
      </c>
      <c r="N22" s="10"/>
      <c r="O22"/>
    </row>
    <row r="23" spans="1:20">
      <c r="E23" s="10"/>
      <c r="F23" s="10"/>
      <c r="G23" s="63"/>
      <c r="H23" s="10"/>
      <c r="I23" s="166"/>
      <c r="J23" s="10"/>
      <c r="K23" s="44"/>
      <c r="L23" s="10"/>
      <c r="M23" s="44"/>
      <c r="N23" s="10"/>
      <c r="O23"/>
    </row>
    <row r="24" spans="1:20">
      <c r="A24" s="787">
        <v>8</v>
      </c>
      <c r="C24" s="4" t="s">
        <v>275</v>
      </c>
      <c r="E24" s="21" t="s">
        <v>278</v>
      </c>
      <c r="F24" s="10"/>
      <c r="G24" s="63">
        <f>+J.1!P23</f>
        <v>0</v>
      </c>
      <c r="H24" s="10"/>
      <c r="I24" s="166">
        <f>G24/$G$28</f>
        <v>0</v>
      </c>
      <c r="J24" s="10"/>
      <c r="K24" s="44">
        <v>0</v>
      </c>
      <c r="L24" s="10"/>
      <c r="M24" s="44">
        <f>ROUND(I24*K24,4)</f>
        <v>0</v>
      </c>
      <c r="N24" s="10"/>
      <c r="O24"/>
    </row>
    <row r="25" spans="1:20">
      <c r="E25" s="10"/>
      <c r="F25" s="10"/>
      <c r="G25" s="63"/>
      <c r="H25" s="10"/>
      <c r="I25" s="166"/>
      <c r="J25" s="10"/>
      <c r="K25" s="44"/>
      <c r="L25" s="10"/>
      <c r="M25" s="44"/>
      <c r="N25" s="10"/>
      <c r="O25"/>
    </row>
    <row r="26" spans="1:20">
      <c r="A26" s="787">
        <v>9</v>
      </c>
      <c r="C26" s="4" t="s">
        <v>276</v>
      </c>
      <c r="E26" s="10"/>
      <c r="F26" s="10"/>
      <c r="G26" s="573">
        <f>+J.1!P25</f>
        <v>3668227.0974676916</v>
      </c>
      <c r="H26" s="10"/>
      <c r="I26" s="198">
        <f>G26/$G$28</f>
        <v>0.52572485552375181</v>
      </c>
      <c r="J26" s="10"/>
      <c r="K26" s="44">
        <f>Allocation!E27</f>
        <v>0.10299999999999999</v>
      </c>
      <c r="L26" s="10"/>
      <c r="M26" s="45">
        <f>ROUND(I26*K26,4)</f>
        <v>5.4100000000000002E-2</v>
      </c>
      <c r="N26" s="10"/>
      <c r="O26"/>
    </row>
    <row r="27" spans="1:20">
      <c r="G27" s="10"/>
      <c r="I27" s="199"/>
      <c r="K27" s="3"/>
      <c r="M27" s="46"/>
      <c r="O27"/>
    </row>
    <row r="28" spans="1:20" ht="15.75" thickBot="1">
      <c r="A28" s="2">
        <v>10</v>
      </c>
      <c r="C28" s="4" t="s">
        <v>404</v>
      </c>
      <c r="G28" s="322">
        <f>SUM(G20:G26)</f>
        <v>6977465.6056792885</v>
      </c>
      <c r="I28" s="200">
        <f>SUM(I20:I26)</f>
        <v>1</v>
      </c>
      <c r="K28" s="11"/>
      <c r="M28" s="47">
        <f>(+M20+M22+M24+M26)</f>
        <v>7.7200000000000005E-2</v>
      </c>
      <c r="O28"/>
    </row>
    <row r="29" spans="1:20" ht="15.75" thickTop="1"/>
  </sheetData>
  <mergeCells count="4">
    <mergeCell ref="A1:M1"/>
    <mergeCell ref="A2:M2"/>
    <mergeCell ref="A3:M3"/>
    <mergeCell ref="A4:M4"/>
  </mergeCells>
  <phoneticPr fontId="22" type="noConversion"/>
  <printOptions horizontalCentered="1"/>
  <pageMargins left="0.75" right="0.75" top="0.75" bottom="1.28" header="0.5" footer="0.43"/>
  <pageSetup scale="93" orientation="landscape" verticalDpi="300" r:id="rId1"/>
  <headerFooter alignWithMargins="0">
    <oddFooter>&amp;RSchedule &amp;A
Page &amp;P of 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Q43"/>
  <sheetViews>
    <sheetView view="pageBreakPreview" zoomScale="80" zoomScaleNormal="90" zoomScaleSheetLayoutView="80" workbookViewId="0">
      <selection activeCell="F37" sqref="F37"/>
    </sheetView>
  </sheetViews>
  <sheetFormatPr defaultColWidth="10.109375" defaultRowHeight="15"/>
  <cols>
    <col min="1" max="1" width="5.88671875" style="103" customWidth="1"/>
    <col min="2" max="2" width="2.109375" style="103" customWidth="1"/>
    <col min="3" max="3" width="16.109375" style="103" customWidth="1"/>
    <col min="4" max="4" width="11" style="103" customWidth="1"/>
    <col min="5" max="5" width="5.109375" style="103" customWidth="1"/>
    <col min="6" max="6" width="11.6640625" style="103" customWidth="1"/>
    <col min="7" max="7" width="4.21875" style="103" customWidth="1"/>
    <col min="8" max="8" width="10.109375" style="103"/>
    <col min="9" max="9" width="4.21875" style="103" customWidth="1"/>
    <col min="10" max="10" width="10.109375" style="103"/>
    <col min="11" max="11" width="5.77734375" style="103" customWidth="1"/>
    <col min="12" max="12" width="12.6640625" style="103" customWidth="1"/>
    <col min="13" max="16384" width="10.109375" style="103"/>
  </cols>
  <sheetData>
    <row r="1" spans="1:17">
      <c r="A1" s="1203" t="str">
        <f>'Table of Contents'!A1:C1</f>
        <v>Atmos Energy Corporation, Kentucky/Mid-States Division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1203"/>
    </row>
    <row r="2" spans="1:17">
      <c r="A2" s="1203" t="str">
        <f>'Table of Contents'!A2:C2</f>
        <v>Kentucky Jurisdiction Case No. 2017-00349</v>
      </c>
      <c r="B2" s="1203"/>
      <c r="C2" s="1203"/>
      <c r="D2" s="1203"/>
      <c r="E2" s="1203"/>
      <c r="F2" s="1203"/>
      <c r="G2" s="1203"/>
      <c r="H2" s="1203"/>
      <c r="I2" s="1203"/>
      <c r="J2" s="1203"/>
      <c r="K2" s="1203"/>
      <c r="L2" s="1203"/>
    </row>
    <row r="3" spans="1:17">
      <c r="A3" s="1203" t="s">
        <v>1037</v>
      </c>
      <c r="B3" s="1203"/>
      <c r="C3" s="1203"/>
      <c r="D3" s="1203"/>
      <c r="E3" s="1203"/>
      <c r="F3" s="1203"/>
      <c r="G3" s="1203"/>
      <c r="H3" s="1203"/>
      <c r="I3" s="1203"/>
      <c r="J3" s="1203"/>
      <c r="K3" s="1203"/>
      <c r="L3" s="1203"/>
    </row>
    <row r="4" spans="1:17">
      <c r="A4" s="1203" t="s">
        <v>1528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1203"/>
      <c r="N4" s="108"/>
      <c r="O4" s="108"/>
      <c r="P4" s="108"/>
      <c r="Q4" s="108"/>
    </row>
    <row r="5" spans="1:17">
      <c r="N5" s="108"/>
      <c r="O5" s="108"/>
      <c r="P5" s="108"/>
      <c r="Q5" s="108"/>
    </row>
    <row r="6" spans="1:17">
      <c r="N6" s="108"/>
      <c r="O6" s="108"/>
      <c r="P6" s="108"/>
      <c r="Q6" s="108"/>
    </row>
    <row r="7" spans="1:17">
      <c r="A7" s="583" t="s">
        <v>1156</v>
      </c>
      <c r="L7" s="954" t="s">
        <v>1438</v>
      </c>
      <c r="N7" s="108"/>
      <c r="O7" s="108"/>
      <c r="P7" s="108"/>
      <c r="Q7" s="108"/>
    </row>
    <row r="8" spans="1:17">
      <c r="A8" s="583" t="s">
        <v>621</v>
      </c>
      <c r="K8" s="583"/>
      <c r="L8" s="926" t="s">
        <v>50</v>
      </c>
      <c r="N8" s="108"/>
      <c r="O8" s="108"/>
      <c r="P8" s="108"/>
      <c r="Q8" s="108"/>
    </row>
    <row r="9" spans="1:17">
      <c r="A9" s="955" t="s">
        <v>369</v>
      </c>
      <c r="B9" s="934"/>
      <c r="C9" s="934"/>
      <c r="D9" s="934"/>
      <c r="E9" s="934"/>
      <c r="F9" s="934"/>
      <c r="G9" s="934"/>
      <c r="H9" s="934"/>
      <c r="I9" s="934"/>
      <c r="J9" s="934"/>
      <c r="K9" s="955"/>
      <c r="L9" s="987" t="str">
        <f>'J-1 Base'!$M$9</f>
        <v>Witness:  Christian</v>
      </c>
      <c r="N9" s="108"/>
      <c r="O9" s="108"/>
      <c r="P9" s="108"/>
      <c r="Q9" s="108"/>
    </row>
    <row r="10" spans="1:17">
      <c r="J10" s="121" t="s">
        <v>354</v>
      </c>
      <c r="L10" s="121" t="s">
        <v>1154</v>
      </c>
    </row>
    <row r="11" spans="1:17">
      <c r="A11" s="121"/>
      <c r="F11" s="121" t="s">
        <v>105</v>
      </c>
      <c r="H11" s="121" t="s">
        <v>270</v>
      </c>
      <c r="J11" s="121" t="s">
        <v>355</v>
      </c>
      <c r="L11" s="121" t="s">
        <v>270</v>
      </c>
    </row>
    <row r="12" spans="1:17">
      <c r="A12" s="648"/>
      <c r="B12" s="934"/>
      <c r="C12" s="648" t="s">
        <v>356</v>
      </c>
      <c r="D12" s="934"/>
      <c r="E12" s="934"/>
      <c r="F12" s="648" t="s">
        <v>353</v>
      </c>
      <c r="G12" s="934"/>
      <c r="H12" s="648" t="s">
        <v>576</v>
      </c>
      <c r="I12" s="934"/>
      <c r="J12" s="648" t="s">
        <v>0</v>
      </c>
      <c r="K12" s="934"/>
      <c r="L12" s="648" t="s">
        <v>576</v>
      </c>
    </row>
    <row r="13" spans="1:17">
      <c r="C13" s="121" t="s">
        <v>1090</v>
      </c>
      <c r="F13" s="121" t="s">
        <v>1091</v>
      </c>
      <c r="H13" s="121" t="s">
        <v>1092</v>
      </c>
      <c r="J13" s="121" t="s">
        <v>15</v>
      </c>
      <c r="L13" s="121" t="s">
        <v>169</v>
      </c>
    </row>
    <row r="14" spans="1:17">
      <c r="F14" s="121" t="s">
        <v>629</v>
      </c>
      <c r="J14" s="121" t="s">
        <v>629</v>
      </c>
    </row>
    <row r="16" spans="1:17">
      <c r="A16" s="121">
        <v>1</v>
      </c>
      <c r="C16" s="583" t="s">
        <v>910</v>
      </c>
      <c r="F16" s="108">
        <f>'J-2 B'!F16</f>
        <v>242504.31246159747</v>
      </c>
      <c r="G16" s="108"/>
      <c r="H16" s="1013">
        <f>'J-2 B'!H16</f>
        <v>9.159292654358421E-3</v>
      </c>
      <c r="I16" s="135"/>
      <c r="J16" s="108">
        <f>(F16*H16)</f>
        <v>2221.1679677797488</v>
      </c>
      <c r="K16" s="108"/>
      <c r="L16" s="108"/>
      <c r="M16" s="108"/>
    </row>
    <row r="17" spans="1:13">
      <c r="L17" s="108"/>
    </row>
    <row r="18" spans="1:13">
      <c r="A18" s="121">
        <v>2</v>
      </c>
      <c r="C18" s="583" t="s">
        <v>1321</v>
      </c>
      <c r="F18" s="108"/>
      <c r="G18" s="108"/>
      <c r="H18" s="108"/>
      <c r="I18" s="135"/>
      <c r="J18" s="108">
        <f>'J-2 B'!J18</f>
        <v>2604.2471753763439</v>
      </c>
      <c r="K18" s="108"/>
      <c r="L18" s="108"/>
      <c r="M18" s="108"/>
    </row>
    <row r="19" spans="1:13">
      <c r="F19" s="108"/>
      <c r="G19" s="108"/>
      <c r="H19" s="576"/>
      <c r="I19" s="108"/>
      <c r="J19" s="108"/>
      <c r="K19" s="108"/>
      <c r="L19" s="108"/>
      <c r="M19" s="108"/>
    </row>
    <row r="20" spans="1:13">
      <c r="A20" s="121">
        <v>3</v>
      </c>
      <c r="C20" s="583" t="s">
        <v>909</v>
      </c>
      <c r="F20" s="113">
        <f>SUM(F16:F18)</f>
        <v>242504.31246159747</v>
      </c>
      <c r="G20" s="108"/>
      <c r="H20" s="108"/>
      <c r="I20" s="135"/>
      <c r="J20" s="113">
        <f>SUM(J16:J18)</f>
        <v>4825.4151431560931</v>
      </c>
      <c r="K20" s="108"/>
      <c r="L20" s="114">
        <f>(J20/F20)</f>
        <v>1.9898265289283203E-2</v>
      </c>
      <c r="M20" s="108"/>
    </row>
    <row r="21" spans="1:13">
      <c r="F21" s="108"/>
      <c r="G21" s="108"/>
      <c r="H21" s="576"/>
      <c r="I21" s="135"/>
      <c r="J21" s="135"/>
      <c r="K21" s="108"/>
      <c r="L21" s="108"/>
      <c r="M21" s="108"/>
    </row>
    <row r="22" spans="1:13">
      <c r="F22" s="108"/>
      <c r="G22" s="108"/>
      <c r="H22" s="576"/>
      <c r="I22" s="135"/>
      <c r="J22" s="135"/>
      <c r="K22" s="108"/>
      <c r="L22" s="108"/>
      <c r="M22" s="108"/>
    </row>
    <row r="23" spans="1:13">
      <c r="F23" s="108"/>
      <c r="G23" s="108"/>
      <c r="H23" s="576"/>
      <c r="I23" s="135"/>
      <c r="J23" s="135"/>
      <c r="K23" s="108"/>
      <c r="L23" s="108"/>
      <c r="M23" s="108"/>
    </row>
    <row r="24" spans="1:13" ht="15.75">
      <c r="A24" s="925"/>
      <c r="G24" s="108"/>
      <c r="I24" s="135"/>
      <c r="L24" s="108"/>
    </row>
    <row r="25" spans="1:13">
      <c r="C25" s="583" t="s">
        <v>530</v>
      </c>
      <c r="G25" s="108"/>
      <c r="H25" s="576"/>
      <c r="I25" s="135"/>
      <c r="J25" s="135"/>
      <c r="L25" s="108"/>
    </row>
    <row r="26" spans="1:13">
      <c r="C26" s="583"/>
      <c r="G26" s="108"/>
      <c r="H26" s="576"/>
      <c r="I26" s="135"/>
      <c r="J26" s="135"/>
      <c r="L26" s="108"/>
    </row>
    <row r="27" spans="1:13">
      <c r="C27" s="583" t="s">
        <v>1666</v>
      </c>
    </row>
    <row r="28" spans="1:13">
      <c r="C28" s="583"/>
    </row>
    <row r="29" spans="1:13">
      <c r="C29" s="583"/>
    </row>
    <row r="30" spans="1:13">
      <c r="C30" s="583"/>
      <c r="G30" s="108"/>
      <c r="I30" s="135"/>
    </row>
    <row r="31" spans="1:13">
      <c r="G31" s="108"/>
      <c r="H31" s="108"/>
      <c r="I31" s="135"/>
      <c r="J31" s="135"/>
    </row>
    <row r="32" spans="1:13">
      <c r="C32" s="583"/>
      <c r="G32" s="108"/>
    </row>
    <row r="33" spans="1:3">
      <c r="C33" s="583"/>
    </row>
    <row r="35" spans="1:3">
      <c r="C35" s="583"/>
    </row>
    <row r="40" spans="1:3">
      <c r="A40" s="583"/>
      <c r="C40" s="583"/>
    </row>
    <row r="41" spans="1:3">
      <c r="C41" s="583"/>
    </row>
    <row r="42" spans="1:3">
      <c r="C42" s="583"/>
    </row>
    <row r="43" spans="1:3">
      <c r="C43" s="583"/>
    </row>
  </sheetData>
  <mergeCells count="4">
    <mergeCell ref="A1:L1"/>
    <mergeCell ref="A2:L2"/>
    <mergeCell ref="A3:L3"/>
    <mergeCell ref="A4:L4"/>
  </mergeCells>
  <phoneticPr fontId="22" type="noConversion"/>
  <pageMargins left="0.75" right="0.75" top="0.83" bottom="1.1499999999999999" header="0.5" footer="0.5"/>
  <pageSetup orientation="landscape" verticalDpi="300" r:id="rId1"/>
  <headerFooter alignWithMargins="0">
    <oddFooter>&amp;RSchedule &amp;A
Page &amp;P of 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theme="0" tint="-0.14999847407452621"/>
    <pageSetUpPr fitToPage="1"/>
  </sheetPr>
  <dimension ref="A1:N47"/>
  <sheetViews>
    <sheetView view="pageBreakPreview" zoomScale="80" zoomScaleNormal="90" zoomScaleSheetLayoutView="80" workbookViewId="0">
      <selection activeCell="U44" sqref="U44"/>
    </sheetView>
  </sheetViews>
  <sheetFormatPr defaultColWidth="8.5546875" defaultRowHeight="15"/>
  <cols>
    <col min="1" max="1" width="3.88671875" style="103" customWidth="1"/>
    <col min="2" max="2" width="1" style="103" customWidth="1"/>
    <col min="3" max="3" width="34.77734375" style="103" customWidth="1"/>
    <col min="4" max="4" width="4.109375" style="103" customWidth="1"/>
    <col min="5" max="5" width="14.88671875" style="103" customWidth="1"/>
    <col min="6" max="6" width="1.6640625" style="103" customWidth="1"/>
    <col min="7" max="7" width="6.44140625" style="103" customWidth="1"/>
    <col min="8" max="8" width="2" style="103" customWidth="1"/>
    <col min="9" max="9" width="13.33203125" style="103" customWidth="1"/>
    <col min="10" max="10" width="2.109375" style="103" customWidth="1"/>
    <col min="11" max="11" width="13.33203125" style="103" customWidth="1"/>
    <col min="12" max="12" width="8.5546875" style="103"/>
    <col min="13" max="13" width="12.6640625" style="103" customWidth="1"/>
    <col min="14" max="16384" width="8.5546875" style="103"/>
  </cols>
  <sheetData>
    <row r="1" spans="1:12">
      <c r="A1" s="1203" t="str">
        <f>'Table of Contents'!A1:C1</f>
        <v>Atmos Energy Corporation, Kentucky/Mid-States Division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</row>
    <row r="2" spans="1:12">
      <c r="A2" s="1203" t="str">
        <f>'Table of Contents'!A2:C2</f>
        <v>Kentucky Jurisdiction Case No. 2017-00349</v>
      </c>
      <c r="B2" s="1203"/>
      <c r="C2" s="1203"/>
      <c r="D2" s="1203"/>
      <c r="E2" s="1203"/>
      <c r="F2" s="1203"/>
      <c r="G2" s="1203"/>
      <c r="H2" s="1203"/>
      <c r="I2" s="1203"/>
      <c r="J2" s="1203"/>
      <c r="K2" s="1203"/>
    </row>
    <row r="3" spans="1:12">
      <c r="A3" s="1203" t="s">
        <v>1093</v>
      </c>
      <c r="B3" s="1203"/>
      <c r="C3" s="1203"/>
      <c r="D3" s="1203"/>
      <c r="E3" s="1203"/>
      <c r="F3" s="1203"/>
      <c r="G3" s="1203"/>
      <c r="H3" s="1203"/>
      <c r="I3" s="1203"/>
      <c r="J3" s="1203"/>
      <c r="K3" s="1203"/>
    </row>
    <row r="4" spans="1:12">
      <c r="A4" s="1203" t="str">
        <f>'Table of Contents'!A4:C4</f>
        <v>Forecasted Test Period: Twelve Months Ended March 31, 2019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</row>
    <row r="5" spans="1:12">
      <c r="A5" s="764"/>
      <c r="B5" s="764"/>
      <c r="C5" s="764"/>
      <c r="D5" s="764"/>
      <c r="E5" s="764"/>
      <c r="F5" s="764"/>
      <c r="G5" s="764"/>
      <c r="H5" s="764"/>
      <c r="I5" s="764"/>
      <c r="J5" s="764"/>
      <c r="K5" s="764"/>
    </row>
    <row r="6" spans="1:12">
      <c r="K6" s="954" t="s">
        <v>1438</v>
      </c>
    </row>
    <row r="7" spans="1:12">
      <c r="A7" s="583" t="s">
        <v>1156</v>
      </c>
      <c r="K7" s="926" t="s">
        <v>49</v>
      </c>
    </row>
    <row r="8" spans="1:12">
      <c r="A8" s="694" t="s">
        <v>621</v>
      </c>
      <c r="K8" s="926" t="s">
        <v>860</v>
      </c>
    </row>
    <row r="9" spans="1:12">
      <c r="A9" s="955" t="s">
        <v>369</v>
      </c>
      <c r="B9" s="934"/>
      <c r="C9" s="934"/>
      <c r="D9" s="934"/>
      <c r="E9" s="934"/>
      <c r="F9" s="934"/>
      <c r="G9" s="934"/>
      <c r="H9" s="934"/>
      <c r="I9" s="934"/>
      <c r="J9" s="962"/>
      <c r="K9" s="987" t="str">
        <f>'J-1 Base'!$M$9</f>
        <v>Witness:  Christian</v>
      </c>
    </row>
    <row r="10" spans="1:12">
      <c r="E10" s="764" t="s">
        <v>1058</v>
      </c>
      <c r="I10" s="121" t="s">
        <v>354</v>
      </c>
      <c r="K10" s="121" t="s">
        <v>1154</v>
      </c>
    </row>
    <row r="11" spans="1:12">
      <c r="A11" s="121" t="s">
        <v>94</v>
      </c>
      <c r="E11" s="121" t="s">
        <v>105</v>
      </c>
      <c r="G11" s="121" t="s">
        <v>270</v>
      </c>
      <c r="I11" s="121" t="s">
        <v>355</v>
      </c>
      <c r="K11" s="121" t="s">
        <v>270</v>
      </c>
    </row>
    <row r="12" spans="1:12">
      <c r="A12" s="648" t="s">
        <v>100</v>
      </c>
      <c r="B12" s="934"/>
      <c r="C12" s="648" t="s">
        <v>356</v>
      </c>
      <c r="D12" s="934"/>
      <c r="E12" s="648" t="s">
        <v>353</v>
      </c>
      <c r="F12" s="934"/>
      <c r="G12" s="648" t="s">
        <v>576</v>
      </c>
      <c r="H12" s="934"/>
      <c r="I12" s="648" t="s">
        <v>0</v>
      </c>
      <c r="J12" s="934"/>
      <c r="K12" s="648" t="s">
        <v>576</v>
      </c>
    </row>
    <row r="13" spans="1:12">
      <c r="C13" s="121" t="s">
        <v>1090</v>
      </c>
      <c r="E13" s="121" t="s">
        <v>1091</v>
      </c>
      <c r="G13" s="121" t="s">
        <v>1092</v>
      </c>
      <c r="I13" s="121" t="s">
        <v>15</v>
      </c>
      <c r="K13" s="121" t="s">
        <v>169</v>
      </c>
    </row>
    <row r="14" spans="1:12">
      <c r="E14" s="121"/>
      <c r="I14" s="121"/>
    </row>
    <row r="16" spans="1:12">
      <c r="A16" s="121">
        <v>1</v>
      </c>
      <c r="C16" s="583" t="str">
        <f>'J-3 B'!C16</f>
        <v>6.75% Debentures Unsecured due July 2028</v>
      </c>
      <c r="E16" s="339">
        <f>'J-3 B'!E16</f>
        <v>150000000</v>
      </c>
      <c r="F16" s="108"/>
      <c r="G16" s="989">
        <f>'J-3 B'!G16</f>
        <v>6.7500000000000004E-2</v>
      </c>
      <c r="H16" s="135"/>
      <c r="I16" s="571">
        <f t="shared" ref="I16" si="0">(E16*G16)</f>
        <v>10125000</v>
      </c>
      <c r="J16" s="108"/>
      <c r="K16" s="1005"/>
      <c r="L16" s="108"/>
    </row>
    <row r="17" spans="1:14">
      <c r="A17" s="121">
        <f>A16+1</f>
        <v>2</v>
      </c>
      <c r="C17" s="583" t="str">
        <f>'J-3 B'!C17</f>
        <v>6.67% MTN A1 due Dec 2025</v>
      </c>
      <c r="E17" s="86">
        <f>'J-3 B'!E17</f>
        <v>10000000</v>
      </c>
      <c r="F17" s="108"/>
      <c r="G17" s="989">
        <f>'J-3 B'!G17</f>
        <v>6.6699999999999995E-2</v>
      </c>
      <c r="H17" s="135"/>
      <c r="I17" s="627">
        <f t="shared" ref="I17:I25" si="1">(E17*G17)</f>
        <v>667000</v>
      </c>
    </row>
    <row r="18" spans="1:14">
      <c r="A18" s="121">
        <f t="shared" ref="A18:A37" si="2">A17+1</f>
        <v>3</v>
      </c>
      <c r="C18" s="583" t="str">
        <f>'J-3 B'!C18</f>
        <v>5.95% Sr Note due 10/15/2034</v>
      </c>
      <c r="E18" s="86">
        <f>'J-3 B'!E18</f>
        <v>200000000</v>
      </c>
      <c r="G18" s="989">
        <f>'J-3 B'!G18</f>
        <v>5.9499999999999997E-2</v>
      </c>
      <c r="H18" s="108"/>
      <c r="I18" s="627">
        <f t="shared" si="1"/>
        <v>11900000</v>
      </c>
      <c r="J18" s="108"/>
      <c r="K18" s="1005"/>
      <c r="L18" s="108"/>
    </row>
    <row r="19" spans="1:14">
      <c r="A19" s="121">
        <f t="shared" si="2"/>
        <v>4</v>
      </c>
      <c r="C19" s="583" t="str">
        <f>'J-3 B'!C19</f>
        <v>6.35% Sr Note due 6/15/2017</v>
      </c>
      <c r="E19" s="86">
        <f>'J-3 B'!E19</f>
        <v>0</v>
      </c>
      <c r="F19" s="108"/>
      <c r="G19" s="989">
        <f>'J-3 B'!G19</f>
        <v>6.3500000000000001E-2</v>
      </c>
      <c r="H19" s="135"/>
      <c r="I19" s="627">
        <f t="shared" si="1"/>
        <v>0</v>
      </c>
      <c r="J19" s="108"/>
      <c r="K19" s="1005"/>
      <c r="L19" s="108"/>
    </row>
    <row r="20" spans="1:14">
      <c r="A20" s="121">
        <f t="shared" si="2"/>
        <v>5</v>
      </c>
      <c r="C20" s="583" t="str">
        <f>'J-3 B'!C20</f>
        <v>Sr Note 5.50% Due 06/15/2041</v>
      </c>
      <c r="E20" s="86">
        <f>'J-3 B'!E20</f>
        <v>400000000</v>
      </c>
      <c r="G20" s="989">
        <f>'J-3 B'!G20</f>
        <v>5.5E-2</v>
      </c>
      <c r="H20" s="135"/>
      <c r="I20" s="627">
        <f t="shared" si="1"/>
        <v>22000000</v>
      </c>
      <c r="J20" s="108"/>
      <c r="K20" s="1005"/>
      <c r="L20" s="108"/>
    </row>
    <row r="21" spans="1:14">
      <c r="A21" s="121">
        <f t="shared" si="2"/>
        <v>6</v>
      </c>
      <c r="C21" s="1165" t="str">
        <f>'J-3 B'!C21</f>
        <v>8.50% Sr Note due 3/15/2019</v>
      </c>
      <c r="D21" s="1166"/>
      <c r="E21" s="1167">
        <f>'J-3 B'!E21</f>
        <v>450000000</v>
      </c>
      <c r="F21" s="1166"/>
      <c r="G21" s="1168">
        <f>L38</f>
        <v>8.3099999999999993E-2</v>
      </c>
      <c r="H21" s="1169"/>
      <c r="I21" s="1170">
        <f t="shared" si="1"/>
        <v>37395000</v>
      </c>
      <c r="J21" s="108"/>
      <c r="K21" s="1005"/>
      <c r="L21" s="108"/>
    </row>
    <row r="22" spans="1:14">
      <c r="A22" s="121">
        <f t="shared" si="2"/>
        <v>7</v>
      </c>
      <c r="C22" s="583" t="str">
        <f>'J-3 B'!C22</f>
        <v>4.15% Sr Note due 1/15/2043</v>
      </c>
      <c r="E22" s="86">
        <f>'J-3 B'!E22</f>
        <v>500000000</v>
      </c>
      <c r="G22" s="989">
        <f>'J-3 B'!G22</f>
        <v>4.1500000000000002E-2</v>
      </c>
      <c r="H22" s="135"/>
      <c r="I22" s="627">
        <f t="shared" si="1"/>
        <v>20750000</v>
      </c>
      <c r="J22" s="108"/>
      <c r="K22" s="1005"/>
      <c r="L22" s="108"/>
    </row>
    <row r="23" spans="1:14">
      <c r="A23" s="121">
        <f t="shared" si="2"/>
        <v>8</v>
      </c>
      <c r="C23" s="583" t="str">
        <f>'J-3 B'!C23</f>
        <v>4.125% Sr Note due 10/15/2044</v>
      </c>
      <c r="E23" s="86">
        <f>'J-3 B'!E23</f>
        <v>750000000</v>
      </c>
      <c r="G23" s="989">
        <f>'J-3 B'!G23</f>
        <v>4.1250000000000002E-2</v>
      </c>
      <c r="H23" s="135"/>
      <c r="I23" s="627">
        <f t="shared" si="1"/>
        <v>30937500</v>
      </c>
      <c r="K23" s="422"/>
    </row>
    <row r="24" spans="1:14">
      <c r="A24" s="121">
        <f t="shared" si="2"/>
        <v>9</v>
      </c>
      <c r="C24" s="583" t="s">
        <v>1604</v>
      </c>
      <c r="E24" s="86">
        <f>'J-3 B'!E24</f>
        <v>500000000</v>
      </c>
      <c r="G24" s="989">
        <f>'J-3 B'!G24</f>
        <v>0.03</v>
      </c>
      <c r="H24" s="135"/>
      <c r="I24" s="627">
        <f t="shared" si="1"/>
        <v>15000000</v>
      </c>
      <c r="K24" s="422"/>
    </row>
    <row r="25" spans="1:14">
      <c r="A25" s="121">
        <f t="shared" si="2"/>
        <v>10</v>
      </c>
      <c r="C25" s="583" t="s">
        <v>1605</v>
      </c>
      <c r="E25" s="86">
        <f>'[31]LTD rate'!$P$27</f>
        <v>125000000</v>
      </c>
      <c r="F25" s="108"/>
      <c r="G25" s="989">
        <f>'[31]LTD rate'!$U$27</f>
        <v>1.8171111111111107E-2</v>
      </c>
      <c r="H25" s="135"/>
      <c r="I25" s="425">
        <f t="shared" si="1"/>
        <v>2271388.8888888885</v>
      </c>
      <c r="K25" s="422"/>
    </row>
    <row r="26" spans="1:14">
      <c r="A26" s="121">
        <f t="shared" si="2"/>
        <v>11</v>
      </c>
      <c r="C26" s="583" t="s">
        <v>97</v>
      </c>
      <c r="E26" s="729">
        <f>SUM(E16:E25)</f>
        <v>3085000000</v>
      </c>
      <c r="F26" s="108"/>
      <c r="G26" s="1014"/>
      <c r="I26" s="701">
        <f>SUM(I16:I25)</f>
        <v>151045888.8888889</v>
      </c>
    </row>
    <row r="27" spans="1:14">
      <c r="A27" s="121">
        <f t="shared" si="2"/>
        <v>12</v>
      </c>
      <c r="C27" s="583"/>
      <c r="E27" s="86"/>
      <c r="G27" s="1014"/>
      <c r="I27" s="108"/>
    </row>
    <row r="28" spans="1:14">
      <c r="A28" s="121">
        <f t="shared" si="2"/>
        <v>13</v>
      </c>
      <c r="C28" s="583" t="s">
        <v>1335</v>
      </c>
      <c r="E28" s="96"/>
      <c r="G28" s="1014"/>
      <c r="I28" s="352">
        <f>'J-3 B'!I28</f>
        <v>4955311.3260243991</v>
      </c>
    </row>
    <row r="29" spans="1:14">
      <c r="A29" s="121">
        <f t="shared" si="2"/>
        <v>14</v>
      </c>
      <c r="C29" s="583" t="s">
        <v>1336</v>
      </c>
      <c r="E29" s="406">
        <f>-'[31]LTD rate'!$P$33</f>
        <v>4370287.9400000013</v>
      </c>
      <c r="F29" s="108"/>
      <c r="G29" s="1014"/>
      <c r="H29" s="135"/>
      <c r="I29" s="108"/>
      <c r="N29" s="694"/>
    </row>
    <row r="30" spans="1:14">
      <c r="A30" s="121">
        <f t="shared" si="2"/>
        <v>15</v>
      </c>
      <c r="C30" s="583" t="s">
        <v>1606</v>
      </c>
      <c r="E30" s="406">
        <f>-'[31]LTD rate'!$P$34</f>
        <v>-22636092.190000001</v>
      </c>
      <c r="G30" s="1015"/>
    </row>
    <row r="31" spans="1:14">
      <c r="A31" s="121">
        <f t="shared" si="2"/>
        <v>16</v>
      </c>
    </row>
    <row r="32" spans="1:14">
      <c r="A32" s="121">
        <f t="shared" si="2"/>
        <v>17</v>
      </c>
      <c r="E32" s="108"/>
      <c r="G32" s="1015"/>
    </row>
    <row r="33" spans="1:12">
      <c r="A33" s="121">
        <f t="shared" si="2"/>
        <v>18</v>
      </c>
    </row>
    <row r="34" spans="1:12" ht="15.75" thickBot="1">
      <c r="A34" s="121">
        <f t="shared" si="2"/>
        <v>19</v>
      </c>
      <c r="C34" s="583" t="s">
        <v>1189</v>
      </c>
      <c r="E34" s="1016">
        <f>+E26+E29+E30</f>
        <v>3066734195.75</v>
      </c>
      <c r="G34" s="1015"/>
      <c r="I34" s="1016">
        <f>+I26+I28</f>
        <v>156001200.21491331</v>
      </c>
      <c r="K34" s="1017">
        <f>+I34/E34</f>
        <v>5.086883644207113E-2</v>
      </c>
    </row>
    <row r="35" spans="1:12" ht="15.75" thickTop="1">
      <c r="A35" s="121">
        <f t="shared" si="2"/>
        <v>20</v>
      </c>
    </row>
    <row r="36" spans="1:12">
      <c r="A36" s="121">
        <f t="shared" si="2"/>
        <v>21</v>
      </c>
      <c r="C36" s="1157" t="s">
        <v>1699</v>
      </c>
      <c r="D36" s="1158"/>
      <c r="E36" s="1159">
        <v>450000000</v>
      </c>
      <c r="F36" s="1158"/>
      <c r="G36" s="1160">
        <v>0.04</v>
      </c>
      <c r="H36" s="1161"/>
      <c r="I36" s="1162">
        <f t="shared" ref="I36:I37" si="3">(E36*G36)</f>
        <v>18000000</v>
      </c>
      <c r="J36" s="1163"/>
      <c r="K36" s="428">
        <f>I36*(0.5/12)</f>
        <v>750000</v>
      </c>
      <c r="L36" s="1164">
        <f>K36/E36</f>
        <v>1.6666666666666668E-3</v>
      </c>
    </row>
    <row r="37" spans="1:12">
      <c r="A37" s="121">
        <f t="shared" si="2"/>
        <v>22</v>
      </c>
      <c r="C37" s="1157" t="s">
        <v>1513</v>
      </c>
      <c r="D37" s="1158"/>
      <c r="E37" s="1159">
        <v>450000000</v>
      </c>
      <c r="F37" s="1158"/>
      <c r="G37" s="1160">
        <v>8.5000000000000006E-2</v>
      </c>
      <c r="H37" s="1161"/>
      <c r="I37" s="1162">
        <f t="shared" si="3"/>
        <v>38250000</v>
      </c>
      <c r="J37" s="1163"/>
      <c r="K37" s="428">
        <f>I37*(11.5/12)</f>
        <v>36656250</v>
      </c>
      <c r="L37" s="1164">
        <f>K37/E37</f>
        <v>8.1458333333333327E-2</v>
      </c>
    </row>
    <row r="38" spans="1:12">
      <c r="C38" s="1163"/>
      <c r="D38" s="1163"/>
      <c r="E38" s="1163"/>
      <c r="F38" s="1163"/>
      <c r="G38" s="1163"/>
      <c r="H38" s="1163"/>
      <c r="I38" s="1163"/>
      <c r="J38" s="1163"/>
      <c r="K38" s="428">
        <f>SUM(K36:K37)</f>
        <v>37406250</v>
      </c>
      <c r="L38" s="1164">
        <f>ROUND(SUM(L36:L37),4)</f>
        <v>8.3099999999999993E-2</v>
      </c>
    </row>
    <row r="40" spans="1:12">
      <c r="G40" s="989"/>
    </row>
    <row r="41" spans="1:12">
      <c r="G41" s="989"/>
    </row>
    <row r="42" spans="1:12">
      <c r="G42" s="989"/>
    </row>
    <row r="43" spans="1:12">
      <c r="G43" s="989"/>
    </row>
    <row r="44" spans="1:12">
      <c r="G44" s="989"/>
    </row>
    <row r="45" spans="1:12">
      <c r="G45" s="989"/>
    </row>
    <row r="46" spans="1:12">
      <c r="G46" s="989"/>
    </row>
    <row r="47" spans="1:12">
      <c r="G47" s="989"/>
    </row>
  </sheetData>
  <mergeCells count="4">
    <mergeCell ref="A1:K1"/>
    <mergeCell ref="A2:K2"/>
    <mergeCell ref="A3:K3"/>
    <mergeCell ref="A4:K4"/>
  </mergeCells>
  <phoneticPr fontId="22" type="noConversion"/>
  <printOptions horizontalCentered="1"/>
  <pageMargins left="0.81" right="0.46" top="1.24" bottom="0.75" header="0.5" footer="0.5"/>
  <pageSetup scale="72" orientation="portrait" verticalDpi="300" r:id="rId1"/>
  <headerFooter alignWithMargins="0">
    <oddFooter>&amp;RSchedule &amp;A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S270"/>
  <sheetViews>
    <sheetView view="pageBreakPreview" zoomScale="60" zoomScaleNormal="70" workbookViewId="0">
      <pane ySplit="12" topLeftCell="A13" activePane="bottomLeft" state="frozen"/>
      <selection activeCell="F59" sqref="F59:F60"/>
      <selection pane="bottomLeft" activeCell="F183" sqref="F183"/>
    </sheetView>
  </sheetViews>
  <sheetFormatPr defaultRowHeight="15"/>
  <cols>
    <col min="1" max="1" width="4.6640625" style="80" customWidth="1"/>
    <col min="2" max="2" width="6.88671875" style="80" customWidth="1"/>
    <col min="3" max="3" width="36.21875" style="80" customWidth="1"/>
    <col min="4" max="4" width="14.5546875" style="80" bestFit="1" customWidth="1"/>
    <col min="5" max="5" width="10" style="80" customWidth="1"/>
    <col min="6" max="6" width="15.88671875" style="80" customWidth="1"/>
    <col min="7" max="7" width="13.109375" style="857" bestFit="1" customWidth="1"/>
    <col min="8" max="8" width="12.33203125" style="857" customWidth="1"/>
    <col min="9" max="9" width="13.5546875" style="80" customWidth="1"/>
    <col min="10" max="10" width="3.21875" style="80" customWidth="1"/>
    <col min="11" max="11" width="14.5546875" style="80" bestFit="1" customWidth="1"/>
    <col min="12" max="12" width="12.6640625" style="857" bestFit="1" customWidth="1"/>
    <col min="13" max="13" width="9.77734375" style="857" bestFit="1" customWidth="1"/>
    <col min="14" max="14" width="13.44140625" style="80" customWidth="1"/>
    <col min="15" max="15" width="8.88671875" style="80"/>
    <col min="16" max="17" width="12" style="80" bestFit="1" customWidth="1"/>
    <col min="18" max="18" width="7.77734375" style="80" customWidth="1"/>
    <col min="19" max="19" width="7.6640625" style="80" customWidth="1"/>
    <col min="20" max="16384" width="8.88671875" style="80"/>
  </cols>
  <sheetData>
    <row r="1" spans="1:17">
      <c r="A1" s="1180" t="str">
        <f>'Table of Contents'!A1:C1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</row>
    <row r="2" spans="1:17">
      <c r="A2" s="1180" t="str">
        <f>'Table of Contents'!A2:C2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</row>
    <row r="3" spans="1:17">
      <c r="A3" s="1180" t="s">
        <v>501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  <c r="M3" s="1180"/>
      <c r="N3" s="1180"/>
    </row>
    <row r="4" spans="1:17" ht="15.75">
      <c r="A4" s="1181" t="str">
        <f>'B.1 F '!A4</f>
        <v>as of March 31, 2019</v>
      </c>
      <c r="B4" s="1181"/>
      <c r="C4" s="1181"/>
      <c r="D4" s="1181"/>
      <c r="E4" s="1181"/>
      <c r="F4" s="1181"/>
      <c r="G4" s="1181"/>
      <c r="H4" s="1181"/>
      <c r="I4" s="1181"/>
      <c r="J4" s="1181"/>
      <c r="K4" s="1181"/>
      <c r="L4" s="1181"/>
      <c r="M4" s="1181"/>
      <c r="N4" s="1181"/>
    </row>
    <row r="5" spans="1:17" ht="15.75">
      <c r="A5" s="150"/>
      <c r="B5" s="150"/>
      <c r="C5" s="150"/>
      <c r="D5" s="906"/>
      <c r="E5" s="731"/>
      <c r="F5" s="150"/>
      <c r="G5" s="860"/>
      <c r="H5" s="860"/>
      <c r="I5" s="81"/>
      <c r="J5" s="81"/>
      <c r="K5" s="150"/>
    </row>
    <row r="6" spans="1:17" ht="15.75">
      <c r="A6" s="88" t="str">
        <f>'B.1 F '!A6</f>
        <v>Data:______Base Period__X___Forecasted Period</v>
      </c>
      <c r="B6" s="81"/>
      <c r="C6" s="81"/>
      <c r="D6" s="81"/>
      <c r="E6" s="906"/>
      <c r="F6" s="81"/>
      <c r="G6" s="860"/>
      <c r="K6" s="81"/>
      <c r="N6" s="905" t="s">
        <v>1442</v>
      </c>
    </row>
    <row r="7" spans="1:17">
      <c r="A7" s="88" t="str">
        <f>'B.1 F '!A7</f>
        <v>Type of Filing:___X____Original________Updated ________Revised</v>
      </c>
      <c r="B7" s="88"/>
      <c r="C7" s="81"/>
      <c r="D7" s="81"/>
      <c r="E7" s="81"/>
      <c r="F7" s="81"/>
      <c r="G7" s="860"/>
      <c r="I7" s="88"/>
      <c r="J7" s="88"/>
      <c r="K7" s="81"/>
      <c r="N7" s="983" t="s">
        <v>1016</v>
      </c>
    </row>
    <row r="8" spans="1:17">
      <c r="A8" s="390" t="str">
        <f>'B.1 F '!A8</f>
        <v>Workpaper Reference No(s).</v>
      </c>
      <c r="B8" s="151"/>
      <c r="C8" s="151"/>
      <c r="D8" s="74"/>
      <c r="E8" s="74"/>
      <c r="F8" s="74"/>
      <c r="G8" s="76"/>
      <c r="H8" s="1032"/>
      <c r="I8" s="1033"/>
      <c r="J8" s="1033"/>
      <c r="K8" s="74"/>
      <c r="L8" s="1032"/>
      <c r="N8" s="1034" t="str">
        <f>'B.1 B'!F8</f>
        <v>Witness:   Waller</v>
      </c>
    </row>
    <row r="9" spans="1:17">
      <c r="A9" s="1035"/>
      <c r="B9" s="74"/>
      <c r="C9" s="74"/>
      <c r="D9" s="391"/>
      <c r="E9" s="829"/>
      <c r="F9" s="829"/>
      <c r="G9" s="893"/>
      <c r="H9" s="1036"/>
      <c r="I9" s="1037"/>
      <c r="J9" s="1033"/>
      <c r="K9" s="391"/>
      <c r="L9" s="895"/>
      <c r="M9" s="895"/>
      <c r="N9" s="1038"/>
    </row>
    <row r="10" spans="1:17" ht="15.75">
      <c r="A10" s="1039"/>
      <c r="B10" s="74"/>
      <c r="C10" s="74"/>
      <c r="D10" s="593">
        <v>43555</v>
      </c>
      <c r="E10" s="74"/>
      <c r="F10" s="74"/>
      <c r="G10" s="76" t="s">
        <v>13</v>
      </c>
      <c r="H10" s="75" t="s">
        <v>11</v>
      </c>
      <c r="I10" s="1040"/>
      <c r="J10" s="1033"/>
      <c r="K10" s="1041"/>
      <c r="L10" s="76" t="s">
        <v>13</v>
      </c>
      <c r="M10" s="75" t="s">
        <v>11</v>
      </c>
      <c r="N10" s="1040"/>
    </row>
    <row r="11" spans="1:17" ht="15.75">
      <c r="A11" s="1039" t="s">
        <v>94</v>
      </c>
      <c r="B11" s="858" t="s">
        <v>269</v>
      </c>
      <c r="C11" s="484" t="s">
        <v>217</v>
      </c>
      <c r="D11" s="857" t="s">
        <v>1346</v>
      </c>
      <c r="E11" s="75"/>
      <c r="F11" s="75" t="s">
        <v>10</v>
      </c>
      <c r="G11" s="75" t="s">
        <v>14</v>
      </c>
      <c r="H11" s="75" t="s">
        <v>600</v>
      </c>
      <c r="I11" s="484" t="s">
        <v>12</v>
      </c>
      <c r="J11" s="75"/>
      <c r="K11" s="1042" t="s">
        <v>46</v>
      </c>
      <c r="L11" s="75" t="s">
        <v>14</v>
      </c>
      <c r="M11" s="75" t="s">
        <v>600</v>
      </c>
      <c r="N11" s="484" t="s">
        <v>12</v>
      </c>
    </row>
    <row r="12" spans="1:17">
      <c r="A12" s="1043" t="s">
        <v>100</v>
      </c>
      <c r="B12" s="186" t="s">
        <v>100</v>
      </c>
      <c r="C12" s="186" t="s">
        <v>300</v>
      </c>
      <c r="D12" s="1043" t="s">
        <v>106</v>
      </c>
      <c r="E12" s="186" t="s">
        <v>995</v>
      </c>
      <c r="F12" s="186" t="s">
        <v>106</v>
      </c>
      <c r="G12" s="186" t="s">
        <v>633</v>
      </c>
      <c r="H12" s="186" t="s">
        <v>633</v>
      </c>
      <c r="I12" s="1044" t="s">
        <v>105</v>
      </c>
      <c r="J12" s="75"/>
      <c r="K12" s="1043" t="s">
        <v>99</v>
      </c>
      <c r="L12" s="186" t="s">
        <v>633</v>
      </c>
      <c r="M12" s="186" t="s">
        <v>633</v>
      </c>
      <c r="N12" s="1044" t="s">
        <v>105</v>
      </c>
      <c r="P12" s="427"/>
      <c r="Q12" s="427"/>
    </row>
    <row r="13" spans="1:17">
      <c r="A13" s="75"/>
      <c r="B13" s="75"/>
      <c r="C13" s="75"/>
      <c r="D13" s="75" t="s">
        <v>757</v>
      </c>
      <c r="E13" s="75" t="s">
        <v>758</v>
      </c>
      <c r="F13" s="75" t="s">
        <v>764</v>
      </c>
      <c r="G13" s="75" t="s">
        <v>759</v>
      </c>
      <c r="H13" s="75" t="s">
        <v>760</v>
      </c>
      <c r="I13" s="75" t="s">
        <v>765</v>
      </c>
      <c r="J13" s="75"/>
      <c r="K13" s="75" t="s">
        <v>761</v>
      </c>
      <c r="L13" s="75" t="s">
        <v>762</v>
      </c>
      <c r="M13" s="75" t="s">
        <v>763</v>
      </c>
      <c r="N13" s="75" t="s">
        <v>766</v>
      </c>
    </row>
    <row r="14" spans="1:17" ht="15.75">
      <c r="B14" s="946" t="s">
        <v>6</v>
      </c>
    </row>
    <row r="15" spans="1:17">
      <c r="A15" s="858">
        <v>1</v>
      </c>
      <c r="B15" s="81"/>
      <c r="C15" s="619" t="s">
        <v>301</v>
      </c>
    </row>
    <row r="16" spans="1:17">
      <c r="A16" s="858">
        <f>A15+1</f>
        <v>2</v>
      </c>
      <c r="B16" s="1045">
        <v>30100</v>
      </c>
      <c r="C16" s="88" t="s">
        <v>295</v>
      </c>
      <c r="D16" s="321">
        <f>'[3]Gross Plant'!$AF112</f>
        <v>8329.7199999999993</v>
      </c>
      <c r="E16" s="1046">
        <v>0</v>
      </c>
      <c r="F16" s="1046">
        <f>D16+E16</f>
        <v>8329.7199999999993</v>
      </c>
      <c r="G16" s="464">
        <v>1</v>
      </c>
      <c r="H16" s="464">
        <f>$G$16</f>
        <v>1</v>
      </c>
      <c r="I16" s="345">
        <f>F16*G16*H16</f>
        <v>8329.7199999999993</v>
      </c>
      <c r="J16" s="920"/>
      <c r="K16" s="321">
        <f>'[3]Gross Plant'!$D112</f>
        <v>8329.7199999999993</v>
      </c>
      <c r="L16" s="464">
        <f t="shared" ref="L16:M17" si="0">$G$16</f>
        <v>1</v>
      </c>
      <c r="M16" s="464">
        <f t="shared" si="0"/>
        <v>1</v>
      </c>
      <c r="N16" s="1046">
        <f>K16*L16*M16</f>
        <v>8329.7199999999993</v>
      </c>
    </row>
    <row r="17" spans="1:14">
      <c r="A17" s="858">
        <f t="shared" ref="A17:A80" si="1">A16+1</f>
        <v>3</v>
      </c>
      <c r="B17" s="1045">
        <v>30200</v>
      </c>
      <c r="C17" s="88" t="s">
        <v>154</v>
      </c>
      <c r="D17" s="321">
        <f>'[3]Gross Plant'!$AF113</f>
        <v>119852.69</v>
      </c>
      <c r="E17" s="428">
        <v>0</v>
      </c>
      <c r="F17" s="428">
        <f>D17+E17</f>
        <v>119852.69</v>
      </c>
      <c r="G17" s="464">
        <f>$G$16</f>
        <v>1</v>
      </c>
      <c r="H17" s="464">
        <f>$G$16</f>
        <v>1</v>
      </c>
      <c r="I17" s="428">
        <f>F17*G17*H17</f>
        <v>119852.69</v>
      </c>
      <c r="K17" s="321">
        <f>'[3]Gross Plant'!$D113</f>
        <v>119852.68999999996</v>
      </c>
      <c r="L17" s="464">
        <f t="shared" si="0"/>
        <v>1</v>
      </c>
      <c r="M17" s="464">
        <f t="shared" si="0"/>
        <v>1</v>
      </c>
      <c r="N17" s="428">
        <f>K17*L17*M17</f>
        <v>119852.68999999996</v>
      </c>
    </row>
    <row r="18" spans="1:14">
      <c r="A18" s="858">
        <f t="shared" si="1"/>
        <v>4</v>
      </c>
      <c r="B18" s="1047"/>
      <c r="C18" s="88"/>
      <c r="D18" s="618"/>
      <c r="E18" s="618"/>
      <c r="F18" s="618"/>
      <c r="G18" s="464"/>
      <c r="H18" s="464"/>
      <c r="I18" s="618"/>
      <c r="K18" s="618"/>
      <c r="N18" s="618"/>
    </row>
    <row r="19" spans="1:14">
      <c r="A19" s="858">
        <f t="shared" si="1"/>
        <v>5</v>
      </c>
      <c r="B19" s="1047"/>
      <c r="C19" s="88" t="s">
        <v>302</v>
      </c>
      <c r="D19" s="359">
        <f>SUM(D16:D17)</f>
        <v>128182.41</v>
      </c>
      <c r="E19" s="345">
        <f>SUM(E16:E17)</f>
        <v>0</v>
      </c>
      <c r="F19" s="345">
        <f>SUM(F16:F17)</f>
        <v>128182.41</v>
      </c>
      <c r="G19" s="1048"/>
      <c r="H19" s="1048"/>
      <c r="I19" s="345">
        <f>SUM(I16:I17)</f>
        <v>128182.41</v>
      </c>
      <c r="K19" s="359">
        <f>SUM(K16:K17)</f>
        <v>128182.40999999996</v>
      </c>
      <c r="N19" s="345">
        <f>SUM(N16:N17)</f>
        <v>128182.40999999996</v>
      </c>
    </row>
    <row r="20" spans="1:14">
      <c r="A20" s="858">
        <f t="shared" si="1"/>
        <v>6</v>
      </c>
      <c r="B20" s="1047"/>
      <c r="C20" s="81"/>
      <c r="G20" s="464"/>
      <c r="H20" s="464"/>
    </row>
    <row r="21" spans="1:14">
      <c r="A21" s="858">
        <f t="shared" si="1"/>
        <v>7</v>
      </c>
      <c r="B21" s="1047"/>
      <c r="C21" s="619" t="s">
        <v>155</v>
      </c>
      <c r="G21" s="464"/>
      <c r="H21" s="464"/>
    </row>
    <row r="22" spans="1:14">
      <c r="A22" s="858">
        <f t="shared" si="1"/>
        <v>8</v>
      </c>
      <c r="B22" s="1045">
        <v>32540</v>
      </c>
      <c r="C22" s="88" t="s">
        <v>162</v>
      </c>
      <c r="D22" s="321">
        <f>'[3]Gross Plant'!$AF114</f>
        <v>0</v>
      </c>
      <c r="E22" s="1046">
        <v>0</v>
      </c>
      <c r="F22" s="1046">
        <f t="shared" ref="F22:F24" si="2">D22+E22</f>
        <v>0</v>
      </c>
      <c r="G22" s="464">
        <f t="shared" ref="G22:H24" si="3">$G$16</f>
        <v>1</v>
      </c>
      <c r="H22" s="464">
        <f t="shared" si="3"/>
        <v>1</v>
      </c>
      <c r="I22" s="1046">
        <f t="shared" ref="I22:I24" si="4">F22*G22*H22</f>
        <v>0</v>
      </c>
      <c r="K22" s="321">
        <f>'[3]Gross Plant'!$D114</f>
        <v>0</v>
      </c>
      <c r="L22" s="464">
        <f t="shared" ref="L22:M24" si="5">$G$16</f>
        <v>1</v>
      </c>
      <c r="M22" s="464">
        <f t="shared" si="5"/>
        <v>1</v>
      </c>
      <c r="N22" s="1046">
        <f t="shared" ref="N22:N24" si="6">K22*L22*M22</f>
        <v>0</v>
      </c>
    </row>
    <row r="23" spans="1:14">
      <c r="A23" s="858">
        <f t="shared" si="1"/>
        <v>9</v>
      </c>
      <c r="B23" s="1045">
        <v>33202</v>
      </c>
      <c r="C23" s="88" t="s">
        <v>602</v>
      </c>
      <c r="D23" s="321">
        <f>'[3]Gross Plant'!$AF115</f>
        <v>0</v>
      </c>
      <c r="E23" s="428">
        <v>0</v>
      </c>
      <c r="F23" s="428">
        <f t="shared" si="2"/>
        <v>0</v>
      </c>
      <c r="G23" s="464">
        <f t="shared" si="3"/>
        <v>1</v>
      </c>
      <c r="H23" s="464">
        <f t="shared" si="3"/>
        <v>1</v>
      </c>
      <c r="I23" s="428">
        <f t="shared" si="4"/>
        <v>0</v>
      </c>
      <c r="K23" s="321">
        <f>'[3]Gross Plant'!$D115</f>
        <v>0</v>
      </c>
      <c r="L23" s="464">
        <f t="shared" si="5"/>
        <v>1</v>
      </c>
      <c r="M23" s="464">
        <f t="shared" si="5"/>
        <v>1</v>
      </c>
      <c r="N23" s="428">
        <f t="shared" si="6"/>
        <v>0</v>
      </c>
    </row>
    <row r="24" spans="1:14">
      <c r="A24" s="858">
        <f t="shared" si="1"/>
        <v>10</v>
      </c>
      <c r="B24" s="1045">
        <v>33400</v>
      </c>
      <c r="C24" s="88" t="s">
        <v>1129</v>
      </c>
      <c r="D24" s="321">
        <f>'[3]Gross Plant'!$AF116</f>
        <v>0</v>
      </c>
      <c r="E24" s="428">
        <v>0</v>
      </c>
      <c r="F24" s="428">
        <f t="shared" si="2"/>
        <v>0</v>
      </c>
      <c r="G24" s="464">
        <f t="shared" si="3"/>
        <v>1</v>
      </c>
      <c r="H24" s="464">
        <f t="shared" si="3"/>
        <v>1</v>
      </c>
      <c r="I24" s="428">
        <f t="shared" si="4"/>
        <v>0</v>
      </c>
      <c r="K24" s="321">
        <f>'[3]Gross Plant'!$D116</f>
        <v>0</v>
      </c>
      <c r="L24" s="464">
        <f t="shared" si="5"/>
        <v>1</v>
      </c>
      <c r="M24" s="464">
        <f t="shared" si="5"/>
        <v>1</v>
      </c>
      <c r="N24" s="428">
        <f t="shared" si="6"/>
        <v>0</v>
      </c>
    </row>
    <row r="25" spans="1:14">
      <c r="A25" s="858">
        <f t="shared" si="1"/>
        <v>11</v>
      </c>
      <c r="B25" s="1047"/>
      <c r="C25" s="81"/>
      <c r="D25" s="618"/>
      <c r="G25" s="464"/>
      <c r="H25" s="464"/>
      <c r="K25" s="618"/>
    </row>
    <row r="26" spans="1:14">
      <c r="A26" s="858">
        <f t="shared" si="1"/>
        <v>12</v>
      </c>
      <c r="B26" s="1047"/>
      <c r="C26" s="81" t="s">
        <v>279</v>
      </c>
      <c r="D26" s="359">
        <f>SUM(D22:D25)</f>
        <v>0</v>
      </c>
      <c r="E26" s="345">
        <f>SUM(E22:E25)</f>
        <v>0</v>
      </c>
      <c r="F26" s="345">
        <f>SUM(F22:F25)</f>
        <v>0</v>
      </c>
      <c r="G26" s="464"/>
      <c r="H26" s="464"/>
      <c r="I26" s="345">
        <f>SUM(I22:I25)</f>
        <v>0</v>
      </c>
      <c r="K26" s="359">
        <f>SUM(K22:K25)</f>
        <v>0</v>
      </c>
      <c r="N26" s="345">
        <f>SUM(N22:N25)</f>
        <v>0</v>
      </c>
    </row>
    <row r="27" spans="1:14">
      <c r="A27" s="858">
        <f t="shared" si="1"/>
        <v>13</v>
      </c>
      <c r="B27" s="1047"/>
      <c r="C27" s="88"/>
      <c r="G27" s="464"/>
      <c r="H27" s="464"/>
    </row>
    <row r="28" spans="1:14">
      <c r="A28" s="858">
        <f t="shared" si="1"/>
        <v>14</v>
      </c>
      <c r="B28" s="1047"/>
      <c r="C28" s="619" t="s">
        <v>280</v>
      </c>
      <c r="G28" s="464"/>
      <c r="H28" s="464"/>
    </row>
    <row r="29" spans="1:14">
      <c r="A29" s="858">
        <f t="shared" si="1"/>
        <v>15</v>
      </c>
      <c r="B29" s="1045">
        <v>35010</v>
      </c>
      <c r="C29" s="88" t="s">
        <v>296</v>
      </c>
      <c r="D29" s="321">
        <f>'[3]Gross Plant'!$AF117</f>
        <v>261126.69</v>
      </c>
      <c r="E29" s="1046">
        <v>0</v>
      </c>
      <c r="F29" s="1046">
        <f t="shared" ref="F29:F45" si="7">D29+E29</f>
        <v>261126.69</v>
      </c>
      <c r="G29" s="464">
        <f t="shared" ref="G29:H45" si="8">$G$16</f>
        <v>1</v>
      </c>
      <c r="H29" s="464">
        <f t="shared" si="8"/>
        <v>1</v>
      </c>
      <c r="I29" s="1046">
        <f t="shared" ref="I29:I45" si="9">F29*G29*H29</f>
        <v>261126.69</v>
      </c>
      <c r="K29" s="321">
        <f>'[3]Gross Plant'!$D117</f>
        <v>261126.68999999997</v>
      </c>
      <c r="L29" s="464">
        <f t="shared" ref="L29:M45" si="10">$G$16</f>
        <v>1</v>
      </c>
      <c r="M29" s="464">
        <f t="shared" si="10"/>
        <v>1</v>
      </c>
      <c r="N29" s="1046">
        <f t="shared" ref="N29:N45" si="11">K29*L29*M29</f>
        <v>261126.68999999997</v>
      </c>
    </row>
    <row r="30" spans="1:14">
      <c r="A30" s="858">
        <f t="shared" si="1"/>
        <v>16</v>
      </c>
      <c r="B30" s="1045">
        <v>35020</v>
      </c>
      <c r="C30" s="88" t="s">
        <v>799</v>
      </c>
      <c r="D30" s="321">
        <f>'[3]Gross Plant'!$AF118</f>
        <v>4681.58</v>
      </c>
      <c r="E30" s="428">
        <v>0</v>
      </c>
      <c r="F30" s="428">
        <f t="shared" si="7"/>
        <v>4681.58</v>
      </c>
      <c r="G30" s="464">
        <f t="shared" si="8"/>
        <v>1</v>
      </c>
      <c r="H30" s="464">
        <f t="shared" si="8"/>
        <v>1</v>
      </c>
      <c r="I30" s="428">
        <f t="shared" si="9"/>
        <v>4681.58</v>
      </c>
      <c r="K30" s="321">
        <f>'[3]Gross Plant'!$D118</f>
        <v>4681.5800000000008</v>
      </c>
      <c r="L30" s="464">
        <f t="shared" si="10"/>
        <v>1</v>
      </c>
      <c r="M30" s="464">
        <f t="shared" si="10"/>
        <v>1</v>
      </c>
      <c r="N30" s="428">
        <f t="shared" si="11"/>
        <v>4681.5800000000008</v>
      </c>
    </row>
    <row r="31" spans="1:14">
      <c r="A31" s="858">
        <f t="shared" si="1"/>
        <v>17</v>
      </c>
      <c r="B31" s="1045">
        <v>35100</v>
      </c>
      <c r="C31" s="88" t="s">
        <v>977</v>
      </c>
      <c r="D31" s="321">
        <f>'[3]Gross Plant'!$AF119</f>
        <v>17916.189999999999</v>
      </c>
      <c r="E31" s="428">
        <v>0</v>
      </c>
      <c r="F31" s="428">
        <f t="shared" si="7"/>
        <v>17916.189999999999</v>
      </c>
      <c r="G31" s="464">
        <f t="shared" si="8"/>
        <v>1</v>
      </c>
      <c r="H31" s="464">
        <f t="shared" si="8"/>
        <v>1</v>
      </c>
      <c r="I31" s="428">
        <f t="shared" si="9"/>
        <v>17916.189999999999</v>
      </c>
      <c r="K31" s="321">
        <f>'[3]Gross Plant'!$D119</f>
        <v>17916.189999999999</v>
      </c>
      <c r="L31" s="464">
        <f t="shared" si="10"/>
        <v>1</v>
      </c>
      <c r="M31" s="464">
        <f t="shared" si="10"/>
        <v>1</v>
      </c>
      <c r="N31" s="428">
        <f t="shared" si="11"/>
        <v>17916.189999999999</v>
      </c>
    </row>
    <row r="32" spans="1:14">
      <c r="A32" s="858">
        <f t="shared" si="1"/>
        <v>18</v>
      </c>
      <c r="B32" s="1045">
        <v>35102</v>
      </c>
      <c r="C32" s="88" t="s">
        <v>281</v>
      </c>
      <c r="D32" s="321">
        <f>'[3]Gross Plant'!$AF120</f>
        <v>153261.29999999999</v>
      </c>
      <c r="E32" s="428">
        <v>0</v>
      </c>
      <c r="F32" s="428">
        <f t="shared" si="7"/>
        <v>153261.29999999999</v>
      </c>
      <c r="G32" s="464">
        <f t="shared" si="8"/>
        <v>1</v>
      </c>
      <c r="H32" s="464">
        <f t="shared" si="8"/>
        <v>1</v>
      </c>
      <c r="I32" s="428">
        <f t="shared" si="9"/>
        <v>153261.29999999999</v>
      </c>
      <c r="K32" s="321">
        <f>'[3]Gross Plant'!$D120</f>
        <v>153261.30000000002</v>
      </c>
      <c r="L32" s="464">
        <f t="shared" si="10"/>
        <v>1</v>
      </c>
      <c r="M32" s="464">
        <f t="shared" si="10"/>
        <v>1</v>
      </c>
      <c r="N32" s="428">
        <f t="shared" si="11"/>
        <v>153261.30000000002</v>
      </c>
    </row>
    <row r="33" spans="1:14">
      <c r="A33" s="858">
        <f t="shared" si="1"/>
        <v>19</v>
      </c>
      <c r="B33" s="1045">
        <v>35103</v>
      </c>
      <c r="C33" s="88" t="s">
        <v>591</v>
      </c>
      <c r="D33" s="321">
        <f>'[3]Gross Plant'!$AF121</f>
        <v>23138.38</v>
      </c>
      <c r="E33" s="428">
        <v>0</v>
      </c>
      <c r="F33" s="428">
        <f t="shared" si="7"/>
        <v>23138.38</v>
      </c>
      <c r="G33" s="464">
        <f t="shared" si="8"/>
        <v>1</v>
      </c>
      <c r="H33" s="464">
        <f t="shared" si="8"/>
        <v>1</v>
      </c>
      <c r="I33" s="428">
        <f t="shared" si="9"/>
        <v>23138.38</v>
      </c>
      <c r="K33" s="321">
        <f>'[3]Gross Plant'!$D121</f>
        <v>23138.38</v>
      </c>
      <c r="L33" s="464">
        <f t="shared" si="10"/>
        <v>1</v>
      </c>
      <c r="M33" s="464">
        <f t="shared" si="10"/>
        <v>1</v>
      </c>
      <c r="N33" s="428">
        <f t="shared" si="11"/>
        <v>23138.38</v>
      </c>
    </row>
    <row r="34" spans="1:14">
      <c r="A34" s="858">
        <f t="shared" si="1"/>
        <v>20</v>
      </c>
      <c r="B34" s="1045">
        <v>35104</v>
      </c>
      <c r="C34" s="88" t="s">
        <v>592</v>
      </c>
      <c r="D34" s="321">
        <f>'[3]Gross Plant'!$AF122</f>
        <v>137442.53</v>
      </c>
      <c r="E34" s="428">
        <v>0</v>
      </c>
      <c r="F34" s="428">
        <f t="shared" si="7"/>
        <v>137442.53</v>
      </c>
      <c r="G34" s="464">
        <f t="shared" si="8"/>
        <v>1</v>
      </c>
      <c r="H34" s="464">
        <f t="shared" si="8"/>
        <v>1</v>
      </c>
      <c r="I34" s="428">
        <f t="shared" si="9"/>
        <v>137442.53</v>
      </c>
      <c r="K34" s="321">
        <f>'[3]Gross Plant'!$D122</f>
        <v>137442.53</v>
      </c>
      <c r="L34" s="464">
        <f t="shared" si="10"/>
        <v>1</v>
      </c>
      <c r="M34" s="464">
        <f t="shared" si="10"/>
        <v>1</v>
      </c>
      <c r="N34" s="428">
        <f t="shared" si="11"/>
        <v>137442.53</v>
      </c>
    </row>
    <row r="35" spans="1:14">
      <c r="A35" s="858">
        <f t="shared" si="1"/>
        <v>21</v>
      </c>
      <c r="B35" s="1045">
        <v>35200</v>
      </c>
      <c r="C35" s="88" t="s">
        <v>446</v>
      </c>
      <c r="D35" s="321">
        <f>'[3]Gross Plant'!$AF123</f>
        <v>7430333.9400000004</v>
      </c>
      <c r="E35" s="428">
        <v>0</v>
      </c>
      <c r="F35" s="428">
        <f t="shared" si="7"/>
        <v>7430333.9400000004</v>
      </c>
      <c r="G35" s="464">
        <f t="shared" si="8"/>
        <v>1</v>
      </c>
      <c r="H35" s="464">
        <f t="shared" si="8"/>
        <v>1</v>
      </c>
      <c r="I35" s="428">
        <f t="shared" si="9"/>
        <v>7430333.9400000004</v>
      </c>
      <c r="K35" s="321">
        <f>'[3]Gross Plant'!$D123</f>
        <v>7430333.9399999985</v>
      </c>
      <c r="L35" s="464">
        <f t="shared" si="10"/>
        <v>1</v>
      </c>
      <c r="M35" s="464">
        <f t="shared" si="10"/>
        <v>1</v>
      </c>
      <c r="N35" s="428">
        <f t="shared" si="11"/>
        <v>7430333.9399999985</v>
      </c>
    </row>
    <row r="36" spans="1:14">
      <c r="A36" s="858">
        <f t="shared" si="1"/>
        <v>22</v>
      </c>
      <c r="B36" s="1045">
        <v>35201</v>
      </c>
      <c r="C36" s="88" t="s">
        <v>593</v>
      </c>
      <c r="D36" s="321">
        <f>'[3]Gross Plant'!$AF124</f>
        <v>1699998.54</v>
      </c>
      <c r="E36" s="428">
        <v>0</v>
      </c>
      <c r="F36" s="428">
        <f t="shared" si="7"/>
        <v>1699998.54</v>
      </c>
      <c r="G36" s="464">
        <f t="shared" si="8"/>
        <v>1</v>
      </c>
      <c r="H36" s="464">
        <f t="shared" si="8"/>
        <v>1</v>
      </c>
      <c r="I36" s="428">
        <f t="shared" si="9"/>
        <v>1699998.54</v>
      </c>
      <c r="K36" s="321">
        <f>'[3]Gross Plant'!$D124</f>
        <v>1699998.5399999993</v>
      </c>
      <c r="L36" s="464">
        <f t="shared" si="10"/>
        <v>1</v>
      </c>
      <c r="M36" s="464">
        <f t="shared" si="10"/>
        <v>1</v>
      </c>
      <c r="N36" s="428">
        <f t="shared" si="11"/>
        <v>1699998.5399999993</v>
      </c>
    </row>
    <row r="37" spans="1:14">
      <c r="A37" s="858">
        <f t="shared" si="1"/>
        <v>23</v>
      </c>
      <c r="B37" s="1045">
        <v>35202</v>
      </c>
      <c r="C37" s="88" t="s">
        <v>594</v>
      </c>
      <c r="D37" s="321">
        <f>'[3]Gross Plant'!$AF125</f>
        <v>415818.86</v>
      </c>
      <c r="E37" s="428">
        <v>0</v>
      </c>
      <c r="F37" s="428">
        <f t="shared" si="7"/>
        <v>415818.86</v>
      </c>
      <c r="G37" s="464">
        <f t="shared" si="8"/>
        <v>1</v>
      </c>
      <c r="H37" s="464">
        <f t="shared" si="8"/>
        <v>1</v>
      </c>
      <c r="I37" s="428">
        <f t="shared" si="9"/>
        <v>415818.86</v>
      </c>
      <c r="K37" s="321">
        <f>'[3]Gross Plant'!$D125</f>
        <v>415818.86</v>
      </c>
      <c r="L37" s="464">
        <f t="shared" si="10"/>
        <v>1</v>
      </c>
      <c r="M37" s="464">
        <f t="shared" si="10"/>
        <v>1</v>
      </c>
      <c r="N37" s="428">
        <f t="shared" si="11"/>
        <v>415818.86</v>
      </c>
    </row>
    <row r="38" spans="1:14">
      <c r="A38" s="858">
        <f t="shared" si="1"/>
        <v>24</v>
      </c>
      <c r="B38" s="1045">
        <v>35203</v>
      </c>
      <c r="C38" s="88" t="s">
        <v>347</v>
      </c>
      <c r="D38" s="321">
        <f>'[3]Gross Plant'!$AF126</f>
        <v>1694832.96</v>
      </c>
      <c r="E38" s="428">
        <v>0</v>
      </c>
      <c r="F38" s="428">
        <f t="shared" si="7"/>
        <v>1694832.96</v>
      </c>
      <c r="G38" s="464">
        <f t="shared" si="8"/>
        <v>1</v>
      </c>
      <c r="H38" s="464">
        <f t="shared" si="8"/>
        <v>1</v>
      </c>
      <c r="I38" s="428">
        <f t="shared" si="9"/>
        <v>1694832.96</v>
      </c>
      <c r="K38" s="321">
        <f>'[3]Gross Plant'!$D126</f>
        <v>1694832.9600000007</v>
      </c>
      <c r="L38" s="464">
        <f t="shared" si="10"/>
        <v>1</v>
      </c>
      <c r="M38" s="464">
        <f t="shared" si="10"/>
        <v>1</v>
      </c>
      <c r="N38" s="428">
        <f t="shared" si="11"/>
        <v>1694832.9600000007</v>
      </c>
    </row>
    <row r="39" spans="1:14">
      <c r="A39" s="858">
        <f t="shared" si="1"/>
        <v>25</v>
      </c>
      <c r="B39" s="1045">
        <v>35210</v>
      </c>
      <c r="C39" s="88" t="s">
        <v>595</v>
      </c>
      <c r="D39" s="321">
        <f>'[3]Gross Plant'!$AF127</f>
        <v>178530.09</v>
      </c>
      <c r="E39" s="428">
        <v>0</v>
      </c>
      <c r="F39" s="428">
        <f t="shared" si="7"/>
        <v>178530.09</v>
      </c>
      <c r="G39" s="464">
        <f t="shared" si="8"/>
        <v>1</v>
      </c>
      <c r="H39" s="464">
        <f t="shared" si="8"/>
        <v>1</v>
      </c>
      <c r="I39" s="428">
        <f t="shared" si="9"/>
        <v>178530.09</v>
      </c>
      <c r="K39" s="321">
        <f>'[3]Gross Plant'!$D127</f>
        <v>178530.09000000003</v>
      </c>
      <c r="L39" s="464">
        <f t="shared" si="10"/>
        <v>1</v>
      </c>
      <c r="M39" s="464">
        <f t="shared" si="10"/>
        <v>1</v>
      </c>
      <c r="N39" s="428">
        <f t="shared" si="11"/>
        <v>178530.09000000003</v>
      </c>
    </row>
    <row r="40" spans="1:14">
      <c r="A40" s="858">
        <f t="shared" si="1"/>
        <v>26</v>
      </c>
      <c r="B40" s="1045">
        <v>35211</v>
      </c>
      <c r="C40" s="88" t="s">
        <v>596</v>
      </c>
      <c r="D40" s="321">
        <f>'[3]Gross Plant'!$AF128</f>
        <v>54614.27</v>
      </c>
      <c r="E40" s="428">
        <v>0</v>
      </c>
      <c r="F40" s="428">
        <f t="shared" si="7"/>
        <v>54614.27</v>
      </c>
      <c r="G40" s="464">
        <f t="shared" si="8"/>
        <v>1</v>
      </c>
      <c r="H40" s="464">
        <f t="shared" si="8"/>
        <v>1</v>
      </c>
      <c r="I40" s="428">
        <f t="shared" si="9"/>
        <v>54614.27</v>
      </c>
      <c r="K40" s="321">
        <f>'[3]Gross Plant'!$D128</f>
        <v>54614.270000000011</v>
      </c>
      <c r="L40" s="464">
        <f t="shared" si="10"/>
        <v>1</v>
      </c>
      <c r="M40" s="464">
        <f t="shared" si="10"/>
        <v>1</v>
      </c>
      <c r="N40" s="428">
        <f t="shared" si="11"/>
        <v>54614.270000000011</v>
      </c>
    </row>
    <row r="41" spans="1:14">
      <c r="A41" s="858">
        <f t="shared" si="1"/>
        <v>27</v>
      </c>
      <c r="B41" s="1045">
        <v>35301</v>
      </c>
      <c r="C41" s="81" t="s">
        <v>163</v>
      </c>
      <c r="D41" s="321">
        <f>'[3]Gross Plant'!$AF129</f>
        <v>178496.9</v>
      </c>
      <c r="E41" s="428">
        <v>0</v>
      </c>
      <c r="F41" s="428">
        <f t="shared" si="7"/>
        <v>178496.9</v>
      </c>
      <c r="G41" s="464">
        <f t="shared" si="8"/>
        <v>1</v>
      </c>
      <c r="H41" s="464">
        <f t="shared" si="8"/>
        <v>1</v>
      </c>
      <c r="I41" s="428">
        <f t="shared" si="9"/>
        <v>178496.9</v>
      </c>
      <c r="K41" s="321">
        <f>'[3]Gross Plant'!$D129</f>
        <v>178496.89999999994</v>
      </c>
      <c r="L41" s="464">
        <f t="shared" si="10"/>
        <v>1</v>
      </c>
      <c r="M41" s="464">
        <f t="shared" si="10"/>
        <v>1</v>
      </c>
      <c r="N41" s="428">
        <f t="shared" si="11"/>
        <v>178496.89999999994</v>
      </c>
    </row>
    <row r="42" spans="1:14">
      <c r="A42" s="858">
        <f t="shared" si="1"/>
        <v>28</v>
      </c>
      <c r="B42" s="1045">
        <v>35302</v>
      </c>
      <c r="C42" s="88" t="s">
        <v>602</v>
      </c>
      <c r="D42" s="321">
        <f>'[3]Gross Plant'!$AF130</f>
        <v>209458.21</v>
      </c>
      <c r="E42" s="428">
        <v>0</v>
      </c>
      <c r="F42" s="428">
        <f t="shared" si="7"/>
        <v>209458.21</v>
      </c>
      <c r="G42" s="464">
        <f t="shared" si="8"/>
        <v>1</v>
      </c>
      <c r="H42" s="464">
        <f t="shared" si="8"/>
        <v>1</v>
      </c>
      <c r="I42" s="428">
        <f t="shared" si="9"/>
        <v>209458.21</v>
      </c>
      <c r="K42" s="321">
        <f>'[3]Gross Plant'!$D130</f>
        <v>209458.21</v>
      </c>
      <c r="L42" s="464">
        <f t="shared" si="10"/>
        <v>1</v>
      </c>
      <c r="M42" s="464">
        <f t="shared" si="10"/>
        <v>1</v>
      </c>
      <c r="N42" s="428">
        <f t="shared" si="11"/>
        <v>209458.21</v>
      </c>
    </row>
    <row r="43" spans="1:14">
      <c r="A43" s="858">
        <f t="shared" si="1"/>
        <v>29</v>
      </c>
      <c r="B43" s="1045">
        <v>35400</v>
      </c>
      <c r="C43" s="88" t="s">
        <v>597</v>
      </c>
      <c r="D43" s="321">
        <f>'[3]Gross Plant'!$AF131</f>
        <v>923446.05</v>
      </c>
      <c r="E43" s="428">
        <v>0</v>
      </c>
      <c r="F43" s="428">
        <f t="shared" si="7"/>
        <v>923446.05</v>
      </c>
      <c r="G43" s="464">
        <f t="shared" si="8"/>
        <v>1</v>
      </c>
      <c r="H43" s="464">
        <f t="shared" si="8"/>
        <v>1</v>
      </c>
      <c r="I43" s="428">
        <f t="shared" si="9"/>
        <v>923446.05</v>
      </c>
      <c r="K43" s="321">
        <f>'[3]Gross Plant'!$D131</f>
        <v>923446.05000000016</v>
      </c>
      <c r="L43" s="464">
        <f t="shared" si="10"/>
        <v>1</v>
      </c>
      <c r="M43" s="464">
        <f t="shared" si="10"/>
        <v>1</v>
      </c>
      <c r="N43" s="428">
        <f t="shared" si="11"/>
        <v>923446.05000000016</v>
      </c>
    </row>
    <row r="44" spans="1:14">
      <c r="A44" s="858">
        <f t="shared" si="1"/>
        <v>30</v>
      </c>
      <c r="B44" s="1045">
        <v>35500</v>
      </c>
      <c r="C44" s="88" t="s">
        <v>1000</v>
      </c>
      <c r="D44" s="321">
        <f>'[3]Gross Plant'!$AF132</f>
        <v>481913.9747228034</v>
      </c>
      <c r="E44" s="428">
        <v>0</v>
      </c>
      <c r="F44" s="428">
        <f t="shared" si="7"/>
        <v>481913.9747228034</v>
      </c>
      <c r="G44" s="464">
        <f t="shared" si="8"/>
        <v>1</v>
      </c>
      <c r="H44" s="464">
        <f t="shared" si="8"/>
        <v>1</v>
      </c>
      <c r="I44" s="428">
        <f t="shared" si="9"/>
        <v>481913.9747228034</v>
      </c>
      <c r="K44" s="321">
        <f>'[3]Gross Plant'!$D132</f>
        <v>439116.75239859428</v>
      </c>
      <c r="L44" s="464">
        <f t="shared" si="10"/>
        <v>1</v>
      </c>
      <c r="M44" s="464">
        <f t="shared" si="10"/>
        <v>1</v>
      </c>
      <c r="N44" s="428">
        <f t="shared" si="11"/>
        <v>439116.75239859428</v>
      </c>
    </row>
    <row r="45" spans="1:14">
      <c r="A45" s="858">
        <f t="shared" si="1"/>
        <v>31</v>
      </c>
      <c r="B45" s="1045">
        <v>35600</v>
      </c>
      <c r="C45" s="88" t="s">
        <v>1049</v>
      </c>
      <c r="D45" s="321">
        <f>'[3]Gross Plant'!$AF133</f>
        <v>414663.45</v>
      </c>
      <c r="E45" s="1049">
        <v>0</v>
      </c>
      <c r="F45" s="1049">
        <f t="shared" si="7"/>
        <v>414663.45</v>
      </c>
      <c r="G45" s="464">
        <f t="shared" si="8"/>
        <v>1</v>
      </c>
      <c r="H45" s="464">
        <f t="shared" si="8"/>
        <v>1</v>
      </c>
      <c r="I45" s="1049">
        <f t="shared" si="9"/>
        <v>414663.45</v>
      </c>
      <c r="K45" s="321">
        <f>'[3]Gross Plant'!$D133</f>
        <v>414663.45000000013</v>
      </c>
      <c r="L45" s="464">
        <f t="shared" si="10"/>
        <v>1</v>
      </c>
      <c r="M45" s="464">
        <f t="shared" si="10"/>
        <v>1</v>
      </c>
      <c r="N45" s="1049">
        <f t="shared" si="11"/>
        <v>414663.45000000013</v>
      </c>
    </row>
    <row r="46" spans="1:14">
      <c r="A46" s="858">
        <f t="shared" si="1"/>
        <v>32</v>
      </c>
      <c r="B46" s="1047"/>
      <c r="C46" s="88"/>
      <c r="D46" s="618"/>
      <c r="G46" s="464"/>
      <c r="H46" s="464"/>
      <c r="K46" s="618"/>
    </row>
    <row r="47" spans="1:14">
      <c r="A47" s="858">
        <f t="shared" si="1"/>
        <v>33</v>
      </c>
      <c r="B47" s="1047"/>
      <c r="C47" s="88" t="s">
        <v>216</v>
      </c>
      <c r="D47" s="359">
        <f>SUM(D29:D46)</f>
        <v>14279673.914722802</v>
      </c>
      <c r="E47" s="345">
        <f>SUM(E29:E46)</f>
        <v>0</v>
      </c>
      <c r="F47" s="345">
        <f>SUM(F29:F46)</f>
        <v>14279673.914722802</v>
      </c>
      <c r="G47" s="464"/>
      <c r="H47" s="464"/>
      <c r="I47" s="345">
        <f>SUM(I29:I46)</f>
        <v>14279673.914722802</v>
      </c>
      <c r="K47" s="359">
        <f>SUM(K29:K46)</f>
        <v>14236876.692398593</v>
      </c>
      <c r="N47" s="359">
        <f>SUM(N29:N46)</f>
        <v>14236876.692398593</v>
      </c>
    </row>
    <row r="48" spans="1:14">
      <c r="A48" s="858">
        <f t="shared" si="1"/>
        <v>34</v>
      </c>
      <c r="B48" s="1047"/>
      <c r="C48" s="88"/>
      <c r="G48" s="464"/>
      <c r="H48" s="464"/>
    </row>
    <row r="49" spans="1:14">
      <c r="A49" s="858">
        <f t="shared" si="1"/>
        <v>35</v>
      </c>
      <c r="B49" s="1047"/>
      <c r="C49" s="619" t="s">
        <v>1001</v>
      </c>
      <c r="G49" s="464"/>
      <c r="H49" s="464"/>
    </row>
    <row r="50" spans="1:14">
      <c r="A50" s="858">
        <f t="shared" si="1"/>
        <v>36</v>
      </c>
      <c r="B50" s="1045">
        <v>36510</v>
      </c>
      <c r="C50" s="88" t="s">
        <v>296</v>
      </c>
      <c r="D50" s="321">
        <f>'[3]Gross Plant'!$AF134</f>
        <v>26970.37</v>
      </c>
      <c r="E50" s="1046">
        <v>0</v>
      </c>
      <c r="F50" s="1046">
        <f t="shared" ref="F50:F57" si="12">D50+E50</f>
        <v>26970.37</v>
      </c>
      <c r="G50" s="464">
        <f t="shared" ref="G50:H57" si="13">$G$16</f>
        <v>1</v>
      </c>
      <c r="H50" s="464">
        <f t="shared" si="13"/>
        <v>1</v>
      </c>
      <c r="I50" s="359">
        <f t="shared" ref="I50:I57" si="14">F50*G50*H50</f>
        <v>26970.37</v>
      </c>
      <c r="K50" s="321">
        <f>'[3]Gross Plant'!$D134</f>
        <v>26970.37</v>
      </c>
      <c r="L50" s="464">
        <f t="shared" ref="L50:M57" si="15">$G$16</f>
        <v>1</v>
      </c>
      <c r="M50" s="464">
        <f t="shared" si="15"/>
        <v>1</v>
      </c>
      <c r="N50" s="1046">
        <f t="shared" ref="N50:N57" si="16">K50*L50*M50</f>
        <v>26970.37</v>
      </c>
    </row>
    <row r="51" spans="1:14">
      <c r="A51" s="858">
        <f t="shared" si="1"/>
        <v>37</v>
      </c>
      <c r="B51" s="1045">
        <v>36520</v>
      </c>
      <c r="C51" s="88" t="s">
        <v>799</v>
      </c>
      <c r="D51" s="321">
        <f>'[3]Gross Plant'!$AF135</f>
        <v>867772</v>
      </c>
      <c r="E51" s="428">
        <v>0</v>
      </c>
      <c r="F51" s="428">
        <f t="shared" si="12"/>
        <v>867772</v>
      </c>
      <c r="G51" s="464">
        <f t="shared" si="13"/>
        <v>1</v>
      </c>
      <c r="H51" s="464">
        <f t="shared" si="13"/>
        <v>1</v>
      </c>
      <c r="I51" s="428">
        <f t="shared" si="14"/>
        <v>867772</v>
      </c>
      <c r="K51" s="321">
        <f>'[3]Gross Plant'!$D135</f>
        <v>867772</v>
      </c>
      <c r="L51" s="464">
        <f t="shared" si="15"/>
        <v>1</v>
      </c>
      <c r="M51" s="464">
        <f t="shared" si="15"/>
        <v>1</v>
      </c>
      <c r="N51" s="428">
        <f t="shared" si="16"/>
        <v>867772</v>
      </c>
    </row>
    <row r="52" spans="1:14">
      <c r="A52" s="858">
        <f t="shared" si="1"/>
        <v>38</v>
      </c>
      <c r="B52" s="1045">
        <v>36602</v>
      </c>
      <c r="C52" s="88" t="s">
        <v>863</v>
      </c>
      <c r="D52" s="321">
        <f>'[3]Gross Plant'!$AF136</f>
        <v>49001.72</v>
      </c>
      <c r="E52" s="428">
        <v>0</v>
      </c>
      <c r="F52" s="428">
        <f t="shared" si="12"/>
        <v>49001.72</v>
      </c>
      <c r="G52" s="464">
        <f t="shared" si="13"/>
        <v>1</v>
      </c>
      <c r="H52" s="464">
        <f t="shared" si="13"/>
        <v>1</v>
      </c>
      <c r="I52" s="428">
        <f t="shared" si="14"/>
        <v>49001.72</v>
      </c>
      <c r="K52" s="321">
        <f>'[3]Gross Plant'!$D136</f>
        <v>49001.719999999987</v>
      </c>
      <c r="L52" s="464">
        <f t="shared" si="15"/>
        <v>1</v>
      </c>
      <c r="M52" s="464">
        <f t="shared" si="15"/>
        <v>1</v>
      </c>
      <c r="N52" s="428">
        <f t="shared" si="16"/>
        <v>49001.719999999987</v>
      </c>
    </row>
    <row r="53" spans="1:14">
      <c r="A53" s="858">
        <f t="shared" si="1"/>
        <v>39</v>
      </c>
      <c r="B53" s="1045">
        <v>36603</v>
      </c>
      <c r="C53" s="88" t="s">
        <v>1002</v>
      </c>
      <c r="D53" s="321">
        <f>'[3]Gross Plant'!$AF137</f>
        <v>60826.29</v>
      </c>
      <c r="E53" s="428">
        <v>0</v>
      </c>
      <c r="F53" s="428">
        <f t="shared" si="12"/>
        <v>60826.29</v>
      </c>
      <c r="G53" s="464">
        <f t="shared" si="13"/>
        <v>1</v>
      </c>
      <c r="H53" s="464">
        <f t="shared" si="13"/>
        <v>1</v>
      </c>
      <c r="I53" s="428">
        <f t="shared" si="14"/>
        <v>60826.29</v>
      </c>
      <c r="K53" s="321">
        <f>'[3]Gross Plant'!$D137</f>
        <v>60826.290000000008</v>
      </c>
      <c r="L53" s="464">
        <f t="shared" si="15"/>
        <v>1</v>
      </c>
      <c r="M53" s="464">
        <f t="shared" si="15"/>
        <v>1</v>
      </c>
      <c r="N53" s="428">
        <f t="shared" si="16"/>
        <v>60826.290000000008</v>
      </c>
    </row>
    <row r="54" spans="1:14">
      <c r="A54" s="858">
        <f t="shared" si="1"/>
        <v>40</v>
      </c>
      <c r="B54" s="1045">
        <v>36700</v>
      </c>
      <c r="C54" s="88" t="s">
        <v>851</v>
      </c>
      <c r="D54" s="321">
        <f>'[3]Gross Plant'!$AF138</f>
        <v>158925.44</v>
      </c>
      <c r="E54" s="428">
        <v>0</v>
      </c>
      <c r="F54" s="428">
        <f t="shared" si="12"/>
        <v>158925.44</v>
      </c>
      <c r="G54" s="464">
        <f t="shared" si="13"/>
        <v>1</v>
      </c>
      <c r="H54" s="464">
        <f t="shared" si="13"/>
        <v>1</v>
      </c>
      <c r="I54" s="428">
        <f t="shared" si="14"/>
        <v>158925.44</v>
      </c>
      <c r="K54" s="321">
        <f>'[3]Gross Plant'!$D138</f>
        <v>158925.43999999997</v>
      </c>
      <c r="L54" s="464">
        <f t="shared" si="15"/>
        <v>1</v>
      </c>
      <c r="M54" s="464">
        <f t="shared" si="15"/>
        <v>1</v>
      </c>
      <c r="N54" s="428">
        <f t="shared" si="16"/>
        <v>158925.43999999997</v>
      </c>
    </row>
    <row r="55" spans="1:14">
      <c r="A55" s="858">
        <f t="shared" si="1"/>
        <v>41</v>
      </c>
      <c r="B55" s="1045">
        <v>36701</v>
      </c>
      <c r="C55" s="88" t="s">
        <v>16</v>
      </c>
      <c r="D55" s="321">
        <f>'[3]Gross Plant'!$AF139</f>
        <v>27643441.630000003</v>
      </c>
      <c r="E55" s="428">
        <v>0</v>
      </c>
      <c r="F55" s="428">
        <f t="shared" si="12"/>
        <v>27643441.630000003</v>
      </c>
      <c r="G55" s="464">
        <f t="shared" si="13"/>
        <v>1</v>
      </c>
      <c r="H55" s="464">
        <f t="shared" si="13"/>
        <v>1</v>
      </c>
      <c r="I55" s="428">
        <f t="shared" si="14"/>
        <v>27643441.630000003</v>
      </c>
      <c r="K55" s="321">
        <f>'[3]Gross Plant'!$D139</f>
        <v>27643441.629999999</v>
      </c>
      <c r="L55" s="464">
        <f t="shared" si="15"/>
        <v>1</v>
      </c>
      <c r="M55" s="464">
        <f t="shared" si="15"/>
        <v>1</v>
      </c>
      <c r="N55" s="428">
        <f t="shared" si="16"/>
        <v>27643441.629999999</v>
      </c>
    </row>
    <row r="56" spans="1:14">
      <c r="A56" s="858">
        <f t="shared" si="1"/>
        <v>42</v>
      </c>
      <c r="B56" s="1045">
        <v>36900</v>
      </c>
      <c r="C56" s="88" t="s">
        <v>1003</v>
      </c>
      <c r="D56" s="321">
        <f>'[3]Gross Plant'!$AF140</f>
        <v>731466.64</v>
      </c>
      <c r="E56" s="428">
        <v>0</v>
      </c>
      <c r="F56" s="428">
        <f t="shared" si="12"/>
        <v>731466.64</v>
      </c>
      <c r="G56" s="464">
        <f t="shared" si="13"/>
        <v>1</v>
      </c>
      <c r="H56" s="464">
        <f t="shared" si="13"/>
        <v>1</v>
      </c>
      <c r="I56" s="428">
        <f t="shared" si="14"/>
        <v>731466.64</v>
      </c>
      <c r="K56" s="321">
        <f>'[3]Gross Plant'!$D140</f>
        <v>731466.6399999999</v>
      </c>
      <c r="L56" s="464">
        <f t="shared" si="15"/>
        <v>1</v>
      </c>
      <c r="M56" s="464">
        <f t="shared" si="15"/>
        <v>1</v>
      </c>
      <c r="N56" s="428">
        <f t="shared" si="16"/>
        <v>731466.6399999999</v>
      </c>
    </row>
    <row r="57" spans="1:14">
      <c r="A57" s="858">
        <f t="shared" si="1"/>
        <v>43</v>
      </c>
      <c r="B57" s="1045">
        <v>36901</v>
      </c>
      <c r="C57" s="88" t="s">
        <v>1003</v>
      </c>
      <c r="D57" s="321">
        <f>'[3]Gross Plant'!$AF141</f>
        <v>2269555.91</v>
      </c>
      <c r="E57" s="1049">
        <v>0</v>
      </c>
      <c r="F57" s="1049">
        <f t="shared" si="12"/>
        <v>2269555.91</v>
      </c>
      <c r="G57" s="464">
        <f t="shared" si="13"/>
        <v>1</v>
      </c>
      <c r="H57" s="464">
        <f t="shared" si="13"/>
        <v>1</v>
      </c>
      <c r="I57" s="1049">
        <f t="shared" si="14"/>
        <v>2269555.91</v>
      </c>
      <c r="K57" s="321">
        <f>'[3]Gross Plant'!$D141</f>
        <v>2269555.91</v>
      </c>
      <c r="L57" s="464">
        <f t="shared" si="15"/>
        <v>1</v>
      </c>
      <c r="M57" s="464">
        <f t="shared" si="15"/>
        <v>1</v>
      </c>
      <c r="N57" s="1049">
        <f t="shared" si="16"/>
        <v>2269555.91</v>
      </c>
    </row>
    <row r="58" spans="1:14">
      <c r="A58" s="858">
        <f t="shared" si="1"/>
        <v>44</v>
      </c>
      <c r="B58" s="1047"/>
      <c r="C58" s="88"/>
      <c r="D58" s="618"/>
      <c r="G58" s="464"/>
      <c r="H58" s="464"/>
      <c r="K58" s="618"/>
    </row>
    <row r="59" spans="1:14">
      <c r="A59" s="858">
        <f t="shared" si="1"/>
        <v>45</v>
      </c>
      <c r="B59" s="1047"/>
      <c r="C59" s="88" t="s">
        <v>1370</v>
      </c>
      <c r="D59" s="359">
        <f>SUM(D50:D58)</f>
        <v>31807960.000000004</v>
      </c>
      <c r="E59" s="345">
        <f>SUM(E50:E58)</f>
        <v>0</v>
      </c>
      <c r="F59" s="359">
        <f>SUM(F50:F58)</f>
        <v>31807960.000000004</v>
      </c>
      <c r="G59" s="464"/>
      <c r="H59" s="464"/>
      <c r="I59" s="359">
        <f>SUM(I50:I58)</f>
        <v>31807960.000000004</v>
      </c>
      <c r="K59" s="359">
        <f>SUM(K50:K58)</f>
        <v>31807960</v>
      </c>
      <c r="N59" s="359">
        <f>SUM(N50:N58)</f>
        <v>31807960</v>
      </c>
    </row>
    <row r="60" spans="1:14">
      <c r="A60" s="858">
        <f t="shared" si="1"/>
        <v>46</v>
      </c>
      <c r="B60" s="1047"/>
      <c r="C60" s="81"/>
      <c r="G60" s="464"/>
      <c r="H60" s="464"/>
    </row>
    <row r="61" spans="1:14">
      <c r="A61" s="858">
        <f t="shared" si="1"/>
        <v>47</v>
      </c>
      <c r="B61" s="1047"/>
      <c r="C61" s="619" t="s">
        <v>303</v>
      </c>
      <c r="G61" s="464"/>
      <c r="H61" s="464"/>
    </row>
    <row r="62" spans="1:14">
      <c r="A62" s="858">
        <f t="shared" si="1"/>
        <v>48</v>
      </c>
      <c r="B62" s="1045">
        <v>37400</v>
      </c>
      <c r="C62" s="88" t="s">
        <v>1157</v>
      </c>
      <c r="D62" s="321">
        <f>'[3]Gross Plant'!$AF142</f>
        <v>531166.79</v>
      </c>
      <c r="E62" s="1046">
        <v>0</v>
      </c>
      <c r="F62" s="1046">
        <f t="shared" ref="F62:F81" si="17">D62+E62</f>
        <v>531166.79</v>
      </c>
      <c r="G62" s="464">
        <f t="shared" ref="G62:H81" si="18">$G$16</f>
        <v>1</v>
      </c>
      <c r="H62" s="464">
        <f t="shared" si="18"/>
        <v>1</v>
      </c>
      <c r="I62" s="359">
        <f t="shared" ref="I62:I81" si="19">F62*G62*H62</f>
        <v>531166.79</v>
      </c>
      <c r="K62" s="321">
        <f>'[3]Gross Plant'!$D142</f>
        <v>531166.79</v>
      </c>
      <c r="L62" s="464">
        <f t="shared" ref="L62:M81" si="20">$G$16</f>
        <v>1</v>
      </c>
      <c r="M62" s="464">
        <f t="shared" si="20"/>
        <v>1</v>
      </c>
      <c r="N62" s="1046">
        <f t="shared" ref="N62:N81" si="21">K62*L62*M62</f>
        <v>531166.79</v>
      </c>
    </row>
    <row r="63" spans="1:14">
      <c r="A63" s="858">
        <f t="shared" si="1"/>
        <v>49</v>
      </c>
      <c r="B63" s="1045">
        <v>37401</v>
      </c>
      <c r="C63" s="88" t="s">
        <v>296</v>
      </c>
      <c r="D63" s="321">
        <f>'[3]Gross Plant'!$AF143</f>
        <v>37326.42</v>
      </c>
      <c r="E63" s="428">
        <v>0</v>
      </c>
      <c r="F63" s="428">
        <f t="shared" si="17"/>
        <v>37326.42</v>
      </c>
      <c r="G63" s="464">
        <f t="shared" si="18"/>
        <v>1</v>
      </c>
      <c r="H63" s="464">
        <f t="shared" si="18"/>
        <v>1</v>
      </c>
      <c r="I63" s="428">
        <f t="shared" si="19"/>
        <v>37326.42</v>
      </c>
      <c r="K63" s="321">
        <f>'[3]Gross Plant'!$D143</f>
        <v>37326.419999999991</v>
      </c>
      <c r="L63" s="464">
        <f t="shared" si="20"/>
        <v>1</v>
      </c>
      <c r="M63" s="464">
        <f t="shared" si="20"/>
        <v>1</v>
      </c>
      <c r="N63" s="428">
        <f t="shared" si="21"/>
        <v>37326.419999999991</v>
      </c>
    </row>
    <row r="64" spans="1:14">
      <c r="A64" s="858">
        <f t="shared" si="1"/>
        <v>50</v>
      </c>
      <c r="B64" s="1045">
        <v>37402</v>
      </c>
      <c r="C64" s="88" t="s">
        <v>1007</v>
      </c>
      <c r="D64" s="321">
        <f>'[3]Gross Plant'!$AF144</f>
        <v>3457724.3248630208</v>
      </c>
      <c r="E64" s="428">
        <v>0</v>
      </c>
      <c r="F64" s="428">
        <f t="shared" si="17"/>
        <v>3457724.3248630208</v>
      </c>
      <c r="G64" s="464">
        <f t="shared" si="18"/>
        <v>1</v>
      </c>
      <c r="H64" s="464">
        <f t="shared" si="18"/>
        <v>1</v>
      </c>
      <c r="I64" s="428">
        <f t="shared" si="19"/>
        <v>3457724.3248630208</v>
      </c>
      <c r="K64" s="321">
        <f>'[3]Gross Plant'!$D144</f>
        <v>3231772.0035037072</v>
      </c>
      <c r="L64" s="464">
        <f t="shared" si="20"/>
        <v>1</v>
      </c>
      <c r="M64" s="464">
        <f t="shared" si="20"/>
        <v>1</v>
      </c>
      <c r="N64" s="428">
        <f t="shared" si="21"/>
        <v>3231772.0035037072</v>
      </c>
    </row>
    <row r="65" spans="1:14">
      <c r="A65" s="858">
        <f t="shared" si="1"/>
        <v>51</v>
      </c>
      <c r="B65" s="1045">
        <v>37403</v>
      </c>
      <c r="C65" s="88" t="s">
        <v>1004</v>
      </c>
      <c r="D65" s="321">
        <f>'[3]Gross Plant'!$AF145</f>
        <v>2783.89</v>
      </c>
      <c r="E65" s="428">
        <v>0</v>
      </c>
      <c r="F65" s="428">
        <f t="shared" si="17"/>
        <v>2783.89</v>
      </c>
      <c r="G65" s="464">
        <f t="shared" si="18"/>
        <v>1</v>
      </c>
      <c r="H65" s="464">
        <f t="shared" si="18"/>
        <v>1</v>
      </c>
      <c r="I65" s="428">
        <f t="shared" si="19"/>
        <v>2783.89</v>
      </c>
      <c r="K65" s="321">
        <f>'[3]Gross Plant'!$D145</f>
        <v>2783.89</v>
      </c>
      <c r="L65" s="464">
        <f t="shared" si="20"/>
        <v>1</v>
      </c>
      <c r="M65" s="464">
        <f t="shared" si="20"/>
        <v>1</v>
      </c>
      <c r="N65" s="428">
        <f t="shared" si="21"/>
        <v>2783.89</v>
      </c>
    </row>
    <row r="66" spans="1:14">
      <c r="A66" s="858">
        <f t="shared" si="1"/>
        <v>52</v>
      </c>
      <c r="B66" s="1045">
        <v>37500</v>
      </c>
      <c r="C66" s="88" t="s">
        <v>863</v>
      </c>
      <c r="D66" s="321">
        <f>'[3]Gross Plant'!$AF146</f>
        <v>336167.54</v>
      </c>
      <c r="E66" s="428">
        <v>0</v>
      </c>
      <c r="F66" s="428">
        <f t="shared" si="17"/>
        <v>336167.54</v>
      </c>
      <c r="G66" s="464">
        <f t="shared" si="18"/>
        <v>1</v>
      </c>
      <c r="H66" s="464">
        <f t="shared" si="18"/>
        <v>1</v>
      </c>
      <c r="I66" s="428">
        <f t="shared" si="19"/>
        <v>336167.54</v>
      </c>
      <c r="K66" s="321">
        <f>'[3]Gross Plant'!$D146</f>
        <v>336167.54</v>
      </c>
      <c r="L66" s="464">
        <f t="shared" si="20"/>
        <v>1</v>
      </c>
      <c r="M66" s="464">
        <f t="shared" si="20"/>
        <v>1</v>
      </c>
      <c r="N66" s="428">
        <f t="shared" si="21"/>
        <v>336167.54</v>
      </c>
    </row>
    <row r="67" spans="1:14">
      <c r="A67" s="858">
        <f t="shared" si="1"/>
        <v>53</v>
      </c>
      <c r="B67" s="1045">
        <v>37501</v>
      </c>
      <c r="C67" s="88" t="s">
        <v>1005</v>
      </c>
      <c r="D67" s="321">
        <f>'[3]Gross Plant'!$AF147</f>
        <v>99818.13</v>
      </c>
      <c r="E67" s="428">
        <v>0</v>
      </c>
      <c r="F67" s="428">
        <f t="shared" si="17"/>
        <v>99818.13</v>
      </c>
      <c r="G67" s="464">
        <f t="shared" si="18"/>
        <v>1</v>
      </c>
      <c r="H67" s="464">
        <f t="shared" si="18"/>
        <v>1</v>
      </c>
      <c r="I67" s="428">
        <f t="shared" si="19"/>
        <v>99818.13</v>
      </c>
      <c r="K67" s="321">
        <f>'[3]Gross Plant'!$D147</f>
        <v>99818.12999999999</v>
      </c>
      <c r="L67" s="464">
        <f t="shared" si="20"/>
        <v>1</v>
      </c>
      <c r="M67" s="464">
        <f t="shared" si="20"/>
        <v>1</v>
      </c>
      <c r="N67" s="428">
        <f t="shared" si="21"/>
        <v>99818.12999999999</v>
      </c>
    </row>
    <row r="68" spans="1:14">
      <c r="A68" s="858">
        <f t="shared" si="1"/>
        <v>54</v>
      </c>
      <c r="B68" s="1045">
        <v>37502</v>
      </c>
      <c r="C68" s="88" t="s">
        <v>1007</v>
      </c>
      <c r="D68" s="321">
        <f>'[3]Gross Plant'!$AF148</f>
        <v>46264.19</v>
      </c>
      <c r="E68" s="428">
        <v>0</v>
      </c>
      <c r="F68" s="428">
        <f t="shared" si="17"/>
        <v>46264.19</v>
      </c>
      <c r="G68" s="464">
        <f t="shared" si="18"/>
        <v>1</v>
      </c>
      <c r="H68" s="464">
        <f t="shared" si="18"/>
        <v>1</v>
      </c>
      <c r="I68" s="428">
        <f t="shared" si="19"/>
        <v>46264.19</v>
      </c>
      <c r="K68" s="321">
        <f>'[3]Gross Plant'!$D148</f>
        <v>46264.189999999995</v>
      </c>
      <c r="L68" s="464">
        <f t="shared" si="20"/>
        <v>1</v>
      </c>
      <c r="M68" s="464">
        <f t="shared" si="20"/>
        <v>1</v>
      </c>
      <c r="N68" s="428">
        <f t="shared" si="21"/>
        <v>46264.189999999995</v>
      </c>
    </row>
    <row r="69" spans="1:14">
      <c r="A69" s="858">
        <f t="shared" si="1"/>
        <v>55</v>
      </c>
      <c r="B69" s="1045">
        <v>37503</v>
      </c>
      <c r="C69" s="88" t="s">
        <v>1006</v>
      </c>
      <c r="D69" s="321">
        <f>'[3]Gross Plant'!$AF149</f>
        <v>4005.08</v>
      </c>
      <c r="E69" s="428">
        <v>0</v>
      </c>
      <c r="F69" s="428">
        <f t="shared" si="17"/>
        <v>4005.08</v>
      </c>
      <c r="G69" s="464">
        <f t="shared" si="18"/>
        <v>1</v>
      </c>
      <c r="H69" s="464">
        <f t="shared" si="18"/>
        <v>1</v>
      </c>
      <c r="I69" s="428">
        <f t="shared" si="19"/>
        <v>4005.08</v>
      </c>
      <c r="K69" s="321">
        <f>'[3]Gross Plant'!$D149</f>
        <v>4005.0800000000013</v>
      </c>
      <c r="L69" s="464">
        <f t="shared" si="20"/>
        <v>1</v>
      </c>
      <c r="M69" s="464">
        <f t="shared" si="20"/>
        <v>1</v>
      </c>
      <c r="N69" s="428">
        <f t="shared" si="21"/>
        <v>4005.0800000000013</v>
      </c>
    </row>
    <row r="70" spans="1:14">
      <c r="A70" s="858">
        <f t="shared" si="1"/>
        <v>56</v>
      </c>
      <c r="B70" s="1045">
        <v>37600</v>
      </c>
      <c r="C70" s="88" t="s">
        <v>851</v>
      </c>
      <c r="D70" s="321">
        <f>'[3]Gross Plant'!$AF150</f>
        <v>20655335.585649919</v>
      </c>
      <c r="E70" s="428">
        <v>0</v>
      </c>
      <c r="F70" s="428">
        <f t="shared" si="17"/>
        <v>20655335.585649919</v>
      </c>
      <c r="G70" s="464">
        <f t="shared" si="18"/>
        <v>1</v>
      </c>
      <c r="H70" s="464">
        <f t="shared" si="18"/>
        <v>1</v>
      </c>
      <c r="I70" s="428">
        <f t="shared" si="19"/>
        <v>20655335.585649919</v>
      </c>
      <c r="K70" s="321">
        <f>'[3]Gross Plant'!$D150</f>
        <v>20712559.000218406</v>
      </c>
      <c r="L70" s="464">
        <f t="shared" si="20"/>
        <v>1</v>
      </c>
      <c r="M70" s="464">
        <f t="shared" si="20"/>
        <v>1</v>
      </c>
      <c r="N70" s="428">
        <f t="shared" si="21"/>
        <v>20712559.000218406</v>
      </c>
    </row>
    <row r="71" spans="1:14">
      <c r="A71" s="858">
        <f t="shared" si="1"/>
        <v>57</v>
      </c>
      <c r="B71" s="1045">
        <v>37601</v>
      </c>
      <c r="C71" s="88" t="s">
        <v>16</v>
      </c>
      <c r="D71" s="321">
        <f>'[3]Gross Plant'!$AF151</f>
        <v>140873358.22486562</v>
      </c>
      <c r="E71" s="428">
        <v>0</v>
      </c>
      <c r="F71" s="428">
        <f t="shared" si="17"/>
        <v>140873358.22486562</v>
      </c>
      <c r="G71" s="464">
        <f t="shared" si="18"/>
        <v>1</v>
      </c>
      <c r="H71" s="464">
        <f t="shared" si="18"/>
        <v>1</v>
      </c>
      <c r="I71" s="428">
        <f t="shared" si="19"/>
        <v>140873358.22486562</v>
      </c>
      <c r="K71" s="321">
        <f>'[3]Gross Plant'!$D151</f>
        <v>140488694.34852239</v>
      </c>
      <c r="L71" s="464">
        <f t="shared" si="20"/>
        <v>1</v>
      </c>
      <c r="M71" s="464">
        <f t="shared" si="20"/>
        <v>1</v>
      </c>
      <c r="N71" s="428">
        <f t="shared" si="21"/>
        <v>140488694.34852239</v>
      </c>
    </row>
    <row r="72" spans="1:14">
      <c r="A72" s="858">
        <f t="shared" si="1"/>
        <v>58</v>
      </c>
      <c r="B72" s="1045">
        <v>37602</v>
      </c>
      <c r="C72" s="88" t="s">
        <v>852</v>
      </c>
      <c r="D72" s="321">
        <f>'[3]Gross Plant'!$AF152</f>
        <v>132616481.80944051</v>
      </c>
      <c r="E72" s="428">
        <v>0</v>
      </c>
      <c r="F72" s="428">
        <f t="shared" si="17"/>
        <v>132616481.80944051</v>
      </c>
      <c r="G72" s="464">
        <f t="shared" si="18"/>
        <v>1</v>
      </c>
      <c r="H72" s="464">
        <f t="shared" si="18"/>
        <v>1</v>
      </c>
      <c r="I72" s="428">
        <f t="shared" si="19"/>
        <v>132616481.80944051</v>
      </c>
      <c r="K72" s="321">
        <f>'[3]Gross Plant'!$D152</f>
        <v>125040068.23160912</v>
      </c>
      <c r="L72" s="464">
        <f t="shared" si="20"/>
        <v>1</v>
      </c>
      <c r="M72" s="464">
        <f t="shared" si="20"/>
        <v>1</v>
      </c>
      <c r="N72" s="428">
        <f t="shared" si="21"/>
        <v>125040068.23160912</v>
      </c>
    </row>
    <row r="73" spans="1:14">
      <c r="A73" s="858">
        <f t="shared" si="1"/>
        <v>59</v>
      </c>
      <c r="B73" s="1045">
        <v>37800</v>
      </c>
      <c r="C73" s="88" t="s">
        <v>230</v>
      </c>
      <c r="D73" s="321">
        <f>'[3]Gross Plant'!$AF153</f>
        <v>14728715.633485029</v>
      </c>
      <c r="E73" s="428">
        <v>0</v>
      </c>
      <c r="F73" s="428">
        <f t="shared" si="17"/>
        <v>14728715.633485029</v>
      </c>
      <c r="G73" s="464">
        <f t="shared" si="18"/>
        <v>1</v>
      </c>
      <c r="H73" s="464">
        <f t="shared" si="18"/>
        <v>1</v>
      </c>
      <c r="I73" s="428">
        <f t="shared" si="19"/>
        <v>14728715.633485029</v>
      </c>
      <c r="K73" s="321">
        <f>'[3]Gross Plant'!$D153</f>
        <v>13616672.591601254</v>
      </c>
      <c r="L73" s="464">
        <f t="shared" si="20"/>
        <v>1</v>
      </c>
      <c r="M73" s="464">
        <f t="shared" si="20"/>
        <v>1</v>
      </c>
      <c r="N73" s="428">
        <f t="shared" si="21"/>
        <v>13616672.591601254</v>
      </c>
    </row>
    <row r="74" spans="1:14">
      <c r="A74" s="858">
        <f t="shared" si="1"/>
        <v>60</v>
      </c>
      <c r="B74" s="1045">
        <v>37900</v>
      </c>
      <c r="C74" s="88" t="s">
        <v>1200</v>
      </c>
      <c r="D74" s="321">
        <f>'[3]Gross Plant'!$AF154</f>
        <v>5300150.4771533329</v>
      </c>
      <c r="E74" s="428">
        <v>0</v>
      </c>
      <c r="F74" s="428">
        <f t="shared" si="17"/>
        <v>5300150.4771533329</v>
      </c>
      <c r="G74" s="464">
        <f t="shared" si="18"/>
        <v>1</v>
      </c>
      <c r="H74" s="464">
        <f t="shared" si="18"/>
        <v>1</v>
      </c>
      <c r="I74" s="428">
        <f t="shared" si="19"/>
        <v>5300150.4771533329</v>
      </c>
      <c r="K74" s="321">
        <f>'[3]Gross Plant'!$D154</f>
        <v>5018152.1710744491</v>
      </c>
      <c r="L74" s="464">
        <f t="shared" si="20"/>
        <v>1</v>
      </c>
      <c r="M74" s="464">
        <f t="shared" si="20"/>
        <v>1</v>
      </c>
      <c r="N74" s="428">
        <f t="shared" si="21"/>
        <v>5018152.1710744491</v>
      </c>
    </row>
    <row r="75" spans="1:14">
      <c r="A75" s="858">
        <f t="shared" si="1"/>
        <v>61</v>
      </c>
      <c r="B75" s="1045">
        <v>37905</v>
      </c>
      <c r="C75" s="88" t="s">
        <v>732</v>
      </c>
      <c r="D75" s="321">
        <f>'[3]Gross Plant'!$AF155</f>
        <v>3114224.8509158269</v>
      </c>
      <c r="E75" s="428">
        <v>0</v>
      </c>
      <c r="F75" s="428">
        <f t="shared" si="17"/>
        <v>3114224.8509158269</v>
      </c>
      <c r="G75" s="464">
        <f t="shared" si="18"/>
        <v>1</v>
      </c>
      <c r="H75" s="464">
        <f t="shared" si="18"/>
        <v>1</v>
      </c>
      <c r="I75" s="428">
        <f t="shared" si="19"/>
        <v>3114224.8509158269</v>
      </c>
      <c r="K75" s="321">
        <f>'[3]Gross Plant'!$D155</f>
        <v>2811184.1186289769</v>
      </c>
      <c r="L75" s="464">
        <f t="shared" si="20"/>
        <v>1</v>
      </c>
      <c r="M75" s="464">
        <f t="shared" si="20"/>
        <v>1</v>
      </c>
      <c r="N75" s="428">
        <f t="shared" si="21"/>
        <v>2811184.1186289769</v>
      </c>
    </row>
    <row r="76" spans="1:14">
      <c r="A76" s="858">
        <f t="shared" si="1"/>
        <v>62</v>
      </c>
      <c r="B76" s="1045">
        <v>38000</v>
      </c>
      <c r="C76" s="88" t="s">
        <v>1061</v>
      </c>
      <c r="D76" s="321">
        <f>'[3]Gross Plant'!$AF156</f>
        <v>146513248.83287457</v>
      </c>
      <c r="E76" s="428">
        <v>0</v>
      </c>
      <c r="F76" s="428">
        <f t="shared" si="17"/>
        <v>146513248.83287457</v>
      </c>
      <c r="G76" s="464">
        <f t="shared" si="18"/>
        <v>1</v>
      </c>
      <c r="H76" s="464">
        <f t="shared" si="18"/>
        <v>1</v>
      </c>
      <c r="I76" s="428">
        <f t="shared" si="19"/>
        <v>146513248.83287457</v>
      </c>
      <c r="K76" s="321">
        <f>'[3]Gross Plant'!$D156</f>
        <v>139868620.0155507</v>
      </c>
      <c r="L76" s="464">
        <f t="shared" si="20"/>
        <v>1</v>
      </c>
      <c r="M76" s="464">
        <f t="shared" si="20"/>
        <v>1</v>
      </c>
      <c r="N76" s="428">
        <f t="shared" si="21"/>
        <v>139868620.0155507</v>
      </c>
    </row>
    <row r="77" spans="1:14">
      <c r="A77" s="858">
        <f t="shared" si="1"/>
        <v>63</v>
      </c>
      <c r="B77" s="1045">
        <v>38100</v>
      </c>
      <c r="C77" s="88" t="s">
        <v>853</v>
      </c>
      <c r="D77" s="321">
        <f>'[3]Gross Plant'!$AF157</f>
        <v>44941089.768012822</v>
      </c>
      <c r="E77" s="428">
        <v>0</v>
      </c>
      <c r="F77" s="428">
        <f t="shared" si="17"/>
        <v>44941089.768012822</v>
      </c>
      <c r="G77" s="464">
        <f t="shared" si="18"/>
        <v>1</v>
      </c>
      <c r="H77" s="464">
        <f t="shared" si="18"/>
        <v>1</v>
      </c>
      <c r="I77" s="428">
        <f t="shared" si="19"/>
        <v>44941089.768012822</v>
      </c>
      <c r="K77" s="321">
        <f>'[3]Gross Plant'!$D157</f>
        <v>41724894.701585218</v>
      </c>
      <c r="L77" s="464">
        <f t="shared" si="20"/>
        <v>1</v>
      </c>
      <c r="M77" s="464">
        <f t="shared" si="20"/>
        <v>1</v>
      </c>
      <c r="N77" s="428">
        <f t="shared" si="21"/>
        <v>41724894.701585218</v>
      </c>
    </row>
    <row r="78" spans="1:14">
      <c r="A78" s="858">
        <f t="shared" si="1"/>
        <v>64</v>
      </c>
      <c r="B78" s="1045">
        <v>38200</v>
      </c>
      <c r="C78" s="88" t="s">
        <v>447</v>
      </c>
      <c r="D78" s="321">
        <f>'[3]Gross Plant'!$AF158</f>
        <v>57452858.863692269</v>
      </c>
      <c r="E78" s="428">
        <v>0</v>
      </c>
      <c r="F78" s="428">
        <f t="shared" si="17"/>
        <v>57452858.863692269</v>
      </c>
      <c r="G78" s="464">
        <f t="shared" si="18"/>
        <v>1</v>
      </c>
      <c r="H78" s="464">
        <f t="shared" si="18"/>
        <v>1</v>
      </c>
      <c r="I78" s="428">
        <f t="shared" si="19"/>
        <v>57452858.863692269</v>
      </c>
      <c r="K78" s="321">
        <f>'[3]Gross Plant'!$D158</f>
        <v>56980787.1217167</v>
      </c>
      <c r="L78" s="464">
        <f t="shared" si="20"/>
        <v>1</v>
      </c>
      <c r="M78" s="464">
        <f t="shared" si="20"/>
        <v>1</v>
      </c>
      <c r="N78" s="428">
        <f t="shared" si="21"/>
        <v>56980787.1217167</v>
      </c>
    </row>
    <row r="79" spans="1:14">
      <c r="A79" s="858">
        <f t="shared" si="1"/>
        <v>65</v>
      </c>
      <c r="B79" s="1045">
        <v>38300</v>
      </c>
      <c r="C79" s="88" t="s">
        <v>1062</v>
      </c>
      <c r="D79" s="321">
        <f>'[3]Gross Plant'!$AF159</f>
        <v>12010719.680952335</v>
      </c>
      <c r="E79" s="428">
        <v>0</v>
      </c>
      <c r="F79" s="428">
        <f t="shared" si="17"/>
        <v>12010719.680952335</v>
      </c>
      <c r="G79" s="464">
        <f t="shared" si="18"/>
        <v>1</v>
      </c>
      <c r="H79" s="464">
        <f t="shared" si="18"/>
        <v>1</v>
      </c>
      <c r="I79" s="428">
        <f t="shared" si="19"/>
        <v>12010719.680952335</v>
      </c>
      <c r="K79" s="321">
        <f>'[3]Gross Plant'!$D159</f>
        <v>11717794.277451711</v>
      </c>
      <c r="L79" s="464">
        <f t="shared" si="20"/>
        <v>1</v>
      </c>
      <c r="M79" s="464">
        <f t="shared" si="20"/>
        <v>1</v>
      </c>
      <c r="N79" s="428">
        <f t="shared" si="21"/>
        <v>11717794.277451711</v>
      </c>
    </row>
    <row r="80" spans="1:14">
      <c r="A80" s="858">
        <f t="shared" si="1"/>
        <v>66</v>
      </c>
      <c r="B80" s="1045">
        <v>38400</v>
      </c>
      <c r="C80" s="88" t="s">
        <v>448</v>
      </c>
      <c r="D80" s="321">
        <f>'[3]Gross Plant'!$AF160</f>
        <v>263603.40132685943</v>
      </c>
      <c r="E80" s="428">
        <v>0</v>
      </c>
      <c r="F80" s="428">
        <f t="shared" si="17"/>
        <v>263603.40132685943</v>
      </c>
      <c r="G80" s="464">
        <f t="shared" si="18"/>
        <v>1</v>
      </c>
      <c r="H80" s="464">
        <f t="shared" si="18"/>
        <v>1</v>
      </c>
      <c r="I80" s="428">
        <f t="shared" si="19"/>
        <v>263603.40132685943</v>
      </c>
      <c r="K80" s="321">
        <f>'[3]Gross Plant'!$D160</f>
        <v>249551.83348966861</v>
      </c>
      <c r="L80" s="464">
        <f t="shared" si="20"/>
        <v>1</v>
      </c>
      <c r="M80" s="464">
        <f t="shared" si="20"/>
        <v>1</v>
      </c>
      <c r="N80" s="428">
        <f t="shared" si="21"/>
        <v>249551.83348966861</v>
      </c>
    </row>
    <row r="81" spans="1:14">
      <c r="A81" s="858">
        <f t="shared" ref="A81:A149" si="22">A80+1</f>
        <v>67</v>
      </c>
      <c r="B81" s="1045">
        <v>38500</v>
      </c>
      <c r="C81" s="88" t="s">
        <v>449</v>
      </c>
      <c r="D81" s="321">
        <f>'[3]Gross Plant'!$AF161</f>
        <v>5259207.65656331</v>
      </c>
      <c r="E81" s="428">
        <v>0</v>
      </c>
      <c r="F81" s="428">
        <f t="shared" si="17"/>
        <v>5259207.65656331</v>
      </c>
      <c r="G81" s="464">
        <f t="shared" si="18"/>
        <v>1</v>
      </c>
      <c r="H81" s="464">
        <f t="shared" si="18"/>
        <v>1</v>
      </c>
      <c r="I81" s="428">
        <f t="shared" si="19"/>
        <v>5259207.65656331</v>
      </c>
      <c r="K81" s="321">
        <f>'[3]Gross Plant'!$D161</f>
        <v>5237632.693020015</v>
      </c>
      <c r="L81" s="464">
        <f t="shared" si="20"/>
        <v>1</v>
      </c>
      <c r="M81" s="464">
        <f t="shared" si="20"/>
        <v>1</v>
      </c>
      <c r="N81" s="428">
        <f t="shared" si="21"/>
        <v>5237632.693020015</v>
      </c>
    </row>
    <row r="82" spans="1:14">
      <c r="A82" s="858">
        <f t="shared" si="22"/>
        <v>68</v>
      </c>
      <c r="B82" s="1047"/>
      <c r="C82" s="88"/>
      <c r="D82" s="618"/>
      <c r="E82" s="618"/>
      <c r="F82" s="618"/>
      <c r="G82" s="464"/>
      <c r="H82" s="464"/>
      <c r="I82" s="618"/>
      <c r="K82" s="618"/>
      <c r="N82" s="618"/>
    </row>
    <row r="83" spans="1:14">
      <c r="A83" s="858">
        <f t="shared" si="22"/>
        <v>69</v>
      </c>
      <c r="B83" s="1047"/>
      <c r="C83" s="88" t="s">
        <v>304</v>
      </c>
      <c r="D83" s="359">
        <f>SUM(D62:D82)</f>
        <v>588244251.14979541</v>
      </c>
      <c r="E83" s="345">
        <f>SUM(E62:E82)</f>
        <v>0</v>
      </c>
      <c r="F83" s="359">
        <f>SUM(F62:F82)</f>
        <v>588244251.14979541</v>
      </c>
      <c r="G83" s="464"/>
      <c r="H83" s="464"/>
      <c r="I83" s="359">
        <f>SUM(I62:I82)</f>
        <v>588244251.14979541</v>
      </c>
      <c r="K83" s="359">
        <f>SUM(K62:K82)</f>
        <v>567755915.14797235</v>
      </c>
      <c r="N83" s="359">
        <f>SUM(N62:N82)</f>
        <v>567755915.14797235</v>
      </c>
    </row>
    <row r="84" spans="1:14">
      <c r="A84" s="858">
        <f t="shared" si="22"/>
        <v>70</v>
      </c>
      <c r="B84" s="1047"/>
      <c r="C84" s="88"/>
      <c r="G84" s="464"/>
      <c r="H84" s="464"/>
    </row>
    <row r="85" spans="1:14">
      <c r="A85" s="858">
        <f t="shared" si="22"/>
        <v>71</v>
      </c>
      <c r="B85" s="1047"/>
      <c r="C85" s="619" t="s">
        <v>305</v>
      </c>
      <c r="G85" s="464"/>
      <c r="H85" s="464"/>
    </row>
    <row r="86" spans="1:14">
      <c r="A86" s="858">
        <f t="shared" si="22"/>
        <v>72</v>
      </c>
      <c r="B86" s="1045">
        <v>38900</v>
      </c>
      <c r="C86" s="88" t="s">
        <v>1157</v>
      </c>
      <c r="D86" s="321">
        <f>'[3]Gross Plant'!$AF162</f>
        <v>1211697.3</v>
      </c>
      <c r="E86" s="1046">
        <v>0</v>
      </c>
      <c r="F86" s="1046">
        <f t="shared" ref="F86:F110" si="23">D86+E86</f>
        <v>1211697.3</v>
      </c>
      <c r="G86" s="464">
        <f t="shared" ref="G86:H101" si="24">$G$16</f>
        <v>1</v>
      </c>
      <c r="H86" s="464">
        <f t="shared" si="24"/>
        <v>1</v>
      </c>
      <c r="I86" s="359">
        <f t="shared" ref="I86:I110" si="25">F86*G86*H86</f>
        <v>1211697.3</v>
      </c>
      <c r="K86" s="321">
        <f>'[3]Gross Plant'!$D162</f>
        <v>1211697.3000000003</v>
      </c>
      <c r="L86" s="464">
        <f>$G$16</f>
        <v>1</v>
      </c>
      <c r="M86" s="464">
        <f>$G$16</f>
        <v>1</v>
      </c>
      <c r="N86" s="1046">
        <f>K86*L86*M86</f>
        <v>1211697.3000000003</v>
      </c>
    </row>
    <row r="87" spans="1:14">
      <c r="A87" s="858">
        <f t="shared" si="22"/>
        <v>73</v>
      </c>
      <c r="B87" s="1045">
        <v>39000</v>
      </c>
      <c r="C87" s="88" t="s">
        <v>863</v>
      </c>
      <c r="D87" s="321">
        <f>'[3]Gross Plant'!$AF163</f>
        <v>7149908.6553839436</v>
      </c>
      <c r="E87" s="428">
        <v>0</v>
      </c>
      <c r="F87" s="428">
        <f t="shared" si="23"/>
        <v>7149908.6553839436</v>
      </c>
      <c r="G87" s="464">
        <f t="shared" si="24"/>
        <v>1</v>
      </c>
      <c r="H87" s="464">
        <f t="shared" si="24"/>
        <v>1</v>
      </c>
      <c r="I87" s="428">
        <f t="shared" si="25"/>
        <v>7149908.6553839436</v>
      </c>
      <c r="K87" s="321">
        <f>'[3]Gross Plant'!$D163</f>
        <v>7148202.0262166616</v>
      </c>
      <c r="L87" s="464">
        <f>$G$16</f>
        <v>1</v>
      </c>
      <c r="M87" s="464">
        <f>$G$16</f>
        <v>1</v>
      </c>
      <c r="N87" s="428">
        <f t="shared" ref="N87:N110" si="26">K87*L87*M87</f>
        <v>7148202.0262166616</v>
      </c>
    </row>
    <row r="88" spans="1:14">
      <c r="A88" s="858">
        <f t="shared" si="22"/>
        <v>74</v>
      </c>
      <c r="B88" s="1045">
        <v>39002</v>
      </c>
      <c r="C88" s="88" t="s">
        <v>754</v>
      </c>
      <c r="D88" s="321">
        <f>'[3]Gross Plant'!$AF164</f>
        <v>173114.85</v>
      </c>
      <c r="E88" s="428">
        <v>0</v>
      </c>
      <c r="F88" s="428">
        <f t="shared" si="23"/>
        <v>173114.85</v>
      </c>
      <c r="G88" s="464">
        <f t="shared" si="24"/>
        <v>1</v>
      </c>
      <c r="H88" s="464">
        <f t="shared" si="24"/>
        <v>1</v>
      </c>
      <c r="I88" s="428">
        <f t="shared" si="25"/>
        <v>173114.85</v>
      </c>
      <c r="K88" s="321">
        <f>'[3]Gross Plant'!$D164</f>
        <v>173114.85000000003</v>
      </c>
      <c r="L88" s="464">
        <f t="shared" ref="L88:M103" si="27">$G$16</f>
        <v>1</v>
      </c>
      <c r="M88" s="464">
        <f t="shared" si="27"/>
        <v>1</v>
      </c>
      <c r="N88" s="428">
        <f t="shared" si="26"/>
        <v>173114.85000000003</v>
      </c>
    </row>
    <row r="89" spans="1:14">
      <c r="A89" s="858">
        <f t="shared" si="22"/>
        <v>75</v>
      </c>
      <c r="B89" s="1045">
        <v>39003</v>
      </c>
      <c r="C89" s="88" t="s">
        <v>1006</v>
      </c>
      <c r="D89" s="321">
        <f>'[3]Gross Plant'!$AF165</f>
        <v>709199.18</v>
      </c>
      <c r="E89" s="428">
        <v>0</v>
      </c>
      <c r="F89" s="428">
        <f t="shared" si="23"/>
        <v>709199.18</v>
      </c>
      <c r="G89" s="464">
        <f t="shared" si="24"/>
        <v>1</v>
      </c>
      <c r="H89" s="464">
        <f t="shared" si="24"/>
        <v>1</v>
      </c>
      <c r="I89" s="428">
        <f t="shared" si="25"/>
        <v>709199.18</v>
      </c>
      <c r="K89" s="321">
        <f>'[3]Gross Plant'!$D165</f>
        <v>709199.17999999982</v>
      </c>
      <c r="L89" s="464">
        <f t="shared" si="27"/>
        <v>1</v>
      </c>
      <c r="M89" s="464">
        <f t="shared" si="27"/>
        <v>1</v>
      </c>
      <c r="N89" s="428">
        <f t="shared" si="26"/>
        <v>709199.17999999982</v>
      </c>
    </row>
    <row r="90" spans="1:14">
      <c r="A90" s="858">
        <f t="shared" si="22"/>
        <v>76</v>
      </c>
      <c r="B90" s="1045">
        <v>39004</v>
      </c>
      <c r="C90" s="88" t="s">
        <v>450</v>
      </c>
      <c r="D90" s="321">
        <f>'[3]Gross Plant'!$AF166</f>
        <v>12954.74</v>
      </c>
      <c r="E90" s="428">
        <v>0</v>
      </c>
      <c r="F90" s="428">
        <f t="shared" si="23"/>
        <v>12954.74</v>
      </c>
      <c r="G90" s="464">
        <f t="shared" si="24"/>
        <v>1</v>
      </c>
      <c r="H90" s="464">
        <f t="shared" si="24"/>
        <v>1</v>
      </c>
      <c r="I90" s="428">
        <f t="shared" si="25"/>
        <v>12954.74</v>
      </c>
      <c r="K90" s="321">
        <f>'[3]Gross Plant'!$D166</f>
        <v>12954.74</v>
      </c>
      <c r="L90" s="464">
        <f t="shared" si="27"/>
        <v>1</v>
      </c>
      <c r="M90" s="464">
        <f t="shared" si="27"/>
        <v>1</v>
      </c>
      <c r="N90" s="428">
        <f t="shared" si="26"/>
        <v>12954.74</v>
      </c>
    </row>
    <row r="91" spans="1:14">
      <c r="A91" s="858">
        <f t="shared" si="22"/>
        <v>77</v>
      </c>
      <c r="B91" s="1045">
        <v>39009</v>
      </c>
      <c r="C91" s="88" t="s">
        <v>1045</v>
      </c>
      <c r="D91" s="321">
        <f>'[3]Gross Plant'!$AF167</f>
        <v>1246194.18</v>
      </c>
      <c r="E91" s="428">
        <v>0</v>
      </c>
      <c r="F91" s="428">
        <f t="shared" si="23"/>
        <v>1246194.18</v>
      </c>
      <c r="G91" s="464">
        <f t="shared" si="24"/>
        <v>1</v>
      </c>
      <c r="H91" s="464">
        <f t="shared" si="24"/>
        <v>1</v>
      </c>
      <c r="I91" s="428">
        <f t="shared" si="25"/>
        <v>1246194.18</v>
      </c>
      <c r="K91" s="321">
        <f>'[3]Gross Plant'!$D167</f>
        <v>1246194.18</v>
      </c>
      <c r="L91" s="464">
        <f t="shared" si="27"/>
        <v>1</v>
      </c>
      <c r="M91" s="464">
        <f t="shared" si="27"/>
        <v>1</v>
      </c>
      <c r="N91" s="428">
        <f t="shared" si="26"/>
        <v>1246194.18</v>
      </c>
    </row>
    <row r="92" spans="1:14">
      <c r="A92" s="858">
        <f t="shared" si="22"/>
        <v>78</v>
      </c>
      <c r="B92" s="1045">
        <v>39100</v>
      </c>
      <c r="C92" s="88" t="s">
        <v>786</v>
      </c>
      <c r="D92" s="321">
        <f>'[3]Gross Plant'!$AF168</f>
        <v>1794619.1</v>
      </c>
      <c r="E92" s="428">
        <v>0</v>
      </c>
      <c r="F92" s="428">
        <f t="shared" si="23"/>
        <v>1794619.1</v>
      </c>
      <c r="G92" s="464">
        <f t="shared" si="24"/>
        <v>1</v>
      </c>
      <c r="H92" s="464">
        <f t="shared" si="24"/>
        <v>1</v>
      </c>
      <c r="I92" s="428">
        <f t="shared" si="25"/>
        <v>1794619.1</v>
      </c>
      <c r="K92" s="321">
        <f>'[3]Gross Plant'!$D168</f>
        <v>1794619.1000000003</v>
      </c>
      <c r="L92" s="464">
        <f t="shared" si="27"/>
        <v>1</v>
      </c>
      <c r="M92" s="464">
        <f t="shared" si="27"/>
        <v>1</v>
      </c>
      <c r="N92" s="428">
        <f t="shared" si="26"/>
        <v>1794619.1000000003</v>
      </c>
    </row>
    <row r="93" spans="1:14">
      <c r="A93" s="858">
        <f t="shared" si="22"/>
        <v>79</v>
      </c>
      <c r="B93" s="1045">
        <v>39103</v>
      </c>
      <c r="C93" s="88" t="s">
        <v>787</v>
      </c>
      <c r="D93" s="321">
        <f>'[3]Gross Plant'!$AF169</f>
        <v>0</v>
      </c>
      <c r="E93" s="428">
        <v>0</v>
      </c>
      <c r="F93" s="428">
        <f t="shared" si="23"/>
        <v>0</v>
      </c>
      <c r="G93" s="464">
        <f t="shared" si="24"/>
        <v>1</v>
      </c>
      <c r="H93" s="464">
        <f t="shared" si="24"/>
        <v>1</v>
      </c>
      <c r="I93" s="428">
        <f t="shared" si="25"/>
        <v>0</v>
      </c>
      <c r="K93" s="321">
        <f>'[3]Gross Plant'!$D169</f>
        <v>0</v>
      </c>
      <c r="L93" s="464">
        <f t="shared" si="27"/>
        <v>1</v>
      </c>
      <c r="M93" s="464">
        <f t="shared" si="27"/>
        <v>1</v>
      </c>
      <c r="N93" s="428">
        <f t="shared" si="26"/>
        <v>0</v>
      </c>
    </row>
    <row r="94" spans="1:14">
      <c r="A94" s="858">
        <f t="shared" si="22"/>
        <v>80</v>
      </c>
      <c r="B94" s="1045">
        <v>39200</v>
      </c>
      <c r="C94" s="88" t="s">
        <v>1085</v>
      </c>
      <c r="D94" s="321">
        <f>'[3]Gross Plant'!$AF170</f>
        <v>220986.90000000002</v>
      </c>
      <c r="E94" s="428">
        <v>0</v>
      </c>
      <c r="F94" s="428">
        <f t="shared" si="23"/>
        <v>220986.90000000002</v>
      </c>
      <c r="G94" s="464">
        <f t="shared" si="24"/>
        <v>1</v>
      </c>
      <c r="H94" s="464">
        <f t="shared" si="24"/>
        <v>1</v>
      </c>
      <c r="I94" s="428">
        <f t="shared" si="25"/>
        <v>220986.90000000002</v>
      </c>
      <c r="K94" s="321">
        <f>'[3]Gross Plant'!$D170</f>
        <v>220986.89999999994</v>
      </c>
      <c r="L94" s="464">
        <f t="shared" si="27"/>
        <v>1</v>
      </c>
      <c r="M94" s="464">
        <f t="shared" si="27"/>
        <v>1</v>
      </c>
      <c r="N94" s="428">
        <f t="shared" si="26"/>
        <v>220986.89999999994</v>
      </c>
    </row>
    <row r="95" spans="1:14">
      <c r="A95" s="858">
        <f t="shared" si="22"/>
        <v>81</v>
      </c>
      <c r="B95" s="1045">
        <v>39202</v>
      </c>
      <c r="C95" s="88" t="s">
        <v>87</v>
      </c>
      <c r="D95" s="321">
        <f>'[3]Gross Plant'!$AF171</f>
        <v>0</v>
      </c>
      <c r="E95" s="428">
        <v>0</v>
      </c>
      <c r="F95" s="428">
        <f t="shared" si="23"/>
        <v>0</v>
      </c>
      <c r="G95" s="464">
        <f t="shared" si="24"/>
        <v>1</v>
      </c>
      <c r="H95" s="464">
        <f t="shared" si="24"/>
        <v>1</v>
      </c>
      <c r="I95" s="428">
        <f t="shared" si="25"/>
        <v>0</v>
      </c>
      <c r="K95" s="321">
        <f>'[3]Gross Plant'!$D171</f>
        <v>0</v>
      </c>
      <c r="L95" s="464">
        <f t="shared" si="27"/>
        <v>1</v>
      </c>
      <c r="M95" s="464">
        <f t="shared" si="27"/>
        <v>1</v>
      </c>
      <c r="N95" s="428">
        <f t="shared" si="26"/>
        <v>0</v>
      </c>
    </row>
    <row r="96" spans="1:14">
      <c r="A96" s="858">
        <f t="shared" si="22"/>
        <v>82</v>
      </c>
      <c r="B96" s="1045">
        <v>39400</v>
      </c>
      <c r="C96" s="88" t="s">
        <v>1044</v>
      </c>
      <c r="D96" s="321">
        <f>'[3]Gross Plant'!$AF172</f>
        <v>6025513.9585687099</v>
      </c>
      <c r="E96" s="428">
        <v>0</v>
      </c>
      <c r="F96" s="428">
        <f t="shared" si="23"/>
        <v>6025513.9585687099</v>
      </c>
      <c r="G96" s="464">
        <f t="shared" si="24"/>
        <v>1</v>
      </c>
      <c r="H96" s="464">
        <f t="shared" si="24"/>
        <v>1</v>
      </c>
      <c r="I96" s="428">
        <f t="shared" si="25"/>
        <v>6025513.9585687099</v>
      </c>
      <c r="K96" s="321">
        <f>'[3]Gross Plant'!$D172</f>
        <v>5455993.2745073829</v>
      </c>
      <c r="L96" s="464">
        <f t="shared" si="27"/>
        <v>1</v>
      </c>
      <c r="M96" s="464">
        <f t="shared" si="27"/>
        <v>1</v>
      </c>
      <c r="N96" s="428">
        <f t="shared" si="26"/>
        <v>5455993.2745073829</v>
      </c>
    </row>
    <row r="97" spans="1:14">
      <c r="A97" s="858">
        <f t="shared" si="22"/>
        <v>83</v>
      </c>
      <c r="B97" s="1045">
        <v>39603</v>
      </c>
      <c r="C97" s="88" t="s">
        <v>88</v>
      </c>
      <c r="D97" s="321">
        <f>'[3]Gross Plant'!$AF173</f>
        <v>39610.080000000002</v>
      </c>
      <c r="E97" s="428">
        <v>0</v>
      </c>
      <c r="F97" s="428">
        <f t="shared" si="23"/>
        <v>39610.080000000002</v>
      </c>
      <c r="G97" s="464">
        <f t="shared" si="24"/>
        <v>1</v>
      </c>
      <c r="H97" s="464">
        <f t="shared" si="24"/>
        <v>1</v>
      </c>
      <c r="I97" s="428">
        <f t="shared" si="25"/>
        <v>39610.080000000002</v>
      </c>
      <c r="K97" s="321">
        <f>'[3]Gross Plant'!$D173</f>
        <v>39610.080000000009</v>
      </c>
      <c r="L97" s="464">
        <f t="shared" si="27"/>
        <v>1</v>
      </c>
      <c r="M97" s="464">
        <f t="shared" si="27"/>
        <v>1</v>
      </c>
      <c r="N97" s="428">
        <f t="shared" si="26"/>
        <v>39610.080000000009</v>
      </c>
    </row>
    <row r="98" spans="1:14">
      <c r="A98" s="858">
        <f t="shared" si="22"/>
        <v>84</v>
      </c>
      <c r="B98" s="1045">
        <v>39604</v>
      </c>
      <c r="C98" s="88" t="s">
        <v>89</v>
      </c>
      <c r="D98" s="321">
        <f>'[3]Gross Plant'!$AF174</f>
        <v>62747.29</v>
      </c>
      <c r="E98" s="428">
        <v>0</v>
      </c>
      <c r="F98" s="428">
        <f t="shared" si="23"/>
        <v>62747.29</v>
      </c>
      <c r="G98" s="464">
        <f t="shared" si="24"/>
        <v>1</v>
      </c>
      <c r="H98" s="464">
        <f t="shared" si="24"/>
        <v>1</v>
      </c>
      <c r="I98" s="428">
        <f t="shared" si="25"/>
        <v>62747.29</v>
      </c>
      <c r="K98" s="321">
        <f>'[3]Gross Plant'!$D174</f>
        <v>62747.290000000008</v>
      </c>
      <c r="L98" s="464">
        <f t="shared" si="27"/>
        <v>1</v>
      </c>
      <c r="M98" s="464">
        <f t="shared" si="27"/>
        <v>1</v>
      </c>
      <c r="N98" s="428">
        <f t="shared" si="26"/>
        <v>62747.290000000008</v>
      </c>
    </row>
    <row r="99" spans="1:14">
      <c r="A99" s="858">
        <f t="shared" si="22"/>
        <v>85</v>
      </c>
      <c r="B99" s="1045">
        <v>39605</v>
      </c>
      <c r="C99" s="81" t="s">
        <v>90</v>
      </c>
      <c r="D99" s="321">
        <f>'[3]Gross Plant'!$AF175</f>
        <v>19427.23</v>
      </c>
      <c r="E99" s="428">
        <v>0</v>
      </c>
      <c r="F99" s="428">
        <f t="shared" si="23"/>
        <v>19427.23</v>
      </c>
      <c r="G99" s="464">
        <f t="shared" si="24"/>
        <v>1</v>
      </c>
      <c r="H99" s="464">
        <f t="shared" si="24"/>
        <v>1</v>
      </c>
      <c r="I99" s="428">
        <f t="shared" si="25"/>
        <v>19427.23</v>
      </c>
      <c r="K99" s="321">
        <f>'[3]Gross Plant'!$D175</f>
        <v>19427.230000000003</v>
      </c>
      <c r="L99" s="464">
        <f t="shared" si="27"/>
        <v>1</v>
      </c>
      <c r="M99" s="464">
        <f t="shared" si="27"/>
        <v>1</v>
      </c>
      <c r="N99" s="428">
        <f t="shared" si="26"/>
        <v>19427.230000000003</v>
      </c>
    </row>
    <row r="100" spans="1:14">
      <c r="A100" s="858">
        <f t="shared" si="22"/>
        <v>86</v>
      </c>
      <c r="B100" s="1045">
        <v>39700</v>
      </c>
      <c r="C100" s="88" t="s">
        <v>445</v>
      </c>
      <c r="D100" s="321">
        <f>'[3]Gross Plant'!$AF176</f>
        <v>358964.52</v>
      </c>
      <c r="E100" s="428">
        <v>0</v>
      </c>
      <c r="F100" s="428">
        <f t="shared" si="23"/>
        <v>358964.52</v>
      </c>
      <c r="G100" s="464">
        <f t="shared" si="24"/>
        <v>1</v>
      </c>
      <c r="H100" s="464">
        <f t="shared" si="24"/>
        <v>1</v>
      </c>
      <c r="I100" s="428">
        <f t="shared" si="25"/>
        <v>358964.52</v>
      </c>
      <c r="K100" s="321">
        <f>'[3]Gross Plant'!$D176</f>
        <v>358964.51999999996</v>
      </c>
      <c r="L100" s="464">
        <f t="shared" si="27"/>
        <v>1</v>
      </c>
      <c r="M100" s="464">
        <f t="shared" si="27"/>
        <v>1</v>
      </c>
      <c r="N100" s="428">
        <f t="shared" si="26"/>
        <v>358964.51999999996</v>
      </c>
    </row>
    <row r="101" spans="1:14">
      <c r="A101" s="858">
        <f t="shared" si="22"/>
        <v>87</v>
      </c>
      <c r="B101" s="1045">
        <v>39701</v>
      </c>
      <c r="C101" s="88" t="s">
        <v>1530</v>
      </c>
      <c r="D101" s="321">
        <f>'[3]Gross Plant'!$AF177</f>
        <v>0</v>
      </c>
      <c r="E101" s="428">
        <v>0</v>
      </c>
      <c r="F101" s="428">
        <f t="shared" si="23"/>
        <v>0</v>
      </c>
      <c r="G101" s="464">
        <f t="shared" si="24"/>
        <v>1</v>
      </c>
      <c r="H101" s="464">
        <f t="shared" si="24"/>
        <v>1</v>
      </c>
      <c r="I101" s="428">
        <f t="shared" si="25"/>
        <v>0</v>
      </c>
      <c r="K101" s="321">
        <f>'[3]Gross Plant'!$D177</f>
        <v>0</v>
      </c>
      <c r="L101" s="464">
        <f t="shared" si="27"/>
        <v>1</v>
      </c>
      <c r="M101" s="464">
        <f t="shared" si="27"/>
        <v>1</v>
      </c>
      <c r="N101" s="428">
        <f t="shared" si="26"/>
        <v>0</v>
      </c>
    </row>
    <row r="102" spans="1:14">
      <c r="A102" s="858">
        <f t="shared" si="22"/>
        <v>88</v>
      </c>
      <c r="B102" s="1045">
        <v>39702</v>
      </c>
      <c r="C102" s="88" t="s">
        <v>1530</v>
      </c>
      <c r="D102" s="321">
        <f>'[3]Gross Plant'!$AF178</f>
        <v>0</v>
      </c>
      <c r="E102" s="428">
        <v>0</v>
      </c>
      <c r="F102" s="428">
        <f t="shared" si="23"/>
        <v>0</v>
      </c>
      <c r="G102" s="464">
        <f t="shared" ref="G102:H106" si="28">$G$16</f>
        <v>1</v>
      </c>
      <c r="H102" s="464">
        <f t="shared" si="28"/>
        <v>1</v>
      </c>
      <c r="I102" s="428">
        <f t="shared" si="25"/>
        <v>0</v>
      </c>
      <c r="K102" s="321">
        <f>'[3]Gross Plant'!$D178</f>
        <v>0</v>
      </c>
      <c r="L102" s="464">
        <f t="shared" si="27"/>
        <v>1</v>
      </c>
      <c r="M102" s="464">
        <f t="shared" si="27"/>
        <v>1</v>
      </c>
      <c r="N102" s="428">
        <f t="shared" si="26"/>
        <v>0</v>
      </c>
    </row>
    <row r="103" spans="1:14">
      <c r="A103" s="858">
        <f t="shared" si="22"/>
        <v>89</v>
      </c>
      <c r="B103" s="1045">
        <v>39705</v>
      </c>
      <c r="C103" s="88" t="s">
        <v>728</v>
      </c>
      <c r="D103" s="321">
        <f>'[3]Gross Plant'!$AF179</f>
        <v>0</v>
      </c>
      <c r="E103" s="428">
        <v>0</v>
      </c>
      <c r="F103" s="428">
        <f t="shared" si="23"/>
        <v>0</v>
      </c>
      <c r="G103" s="464">
        <f t="shared" si="28"/>
        <v>1</v>
      </c>
      <c r="H103" s="464">
        <f t="shared" si="28"/>
        <v>1</v>
      </c>
      <c r="I103" s="428">
        <f t="shared" si="25"/>
        <v>0</v>
      </c>
      <c r="K103" s="321">
        <f>'[3]Gross Plant'!$D179</f>
        <v>0</v>
      </c>
      <c r="L103" s="464">
        <f t="shared" si="27"/>
        <v>1</v>
      </c>
      <c r="M103" s="464">
        <f t="shared" si="27"/>
        <v>1</v>
      </c>
      <c r="N103" s="428">
        <f t="shared" si="26"/>
        <v>0</v>
      </c>
    </row>
    <row r="104" spans="1:14">
      <c r="A104" s="858">
        <f t="shared" si="22"/>
        <v>90</v>
      </c>
      <c r="B104" s="1045">
        <v>39800</v>
      </c>
      <c r="C104" s="88" t="s">
        <v>656</v>
      </c>
      <c r="D104" s="321">
        <f>'[3]Gross Plant'!$AF180</f>
        <v>3772427.3848281614</v>
      </c>
      <c r="E104" s="428">
        <v>0</v>
      </c>
      <c r="F104" s="428">
        <f t="shared" si="23"/>
        <v>3772427.3848281614</v>
      </c>
      <c r="G104" s="464">
        <f t="shared" si="28"/>
        <v>1</v>
      </c>
      <c r="H104" s="464">
        <f t="shared" si="28"/>
        <v>1</v>
      </c>
      <c r="I104" s="428">
        <f t="shared" si="25"/>
        <v>3772427.3848281614</v>
      </c>
      <c r="K104" s="321">
        <f>'[3]Gross Plant'!$D180</f>
        <v>3791155.2795283841</v>
      </c>
      <c r="L104" s="464">
        <f t="shared" ref="L104:M109" si="29">$G$16</f>
        <v>1</v>
      </c>
      <c r="M104" s="464">
        <f t="shared" si="29"/>
        <v>1</v>
      </c>
      <c r="N104" s="428">
        <f t="shared" si="26"/>
        <v>3791155.2795283841</v>
      </c>
    </row>
    <row r="105" spans="1:14">
      <c r="A105" s="858">
        <f t="shared" si="22"/>
        <v>91</v>
      </c>
      <c r="B105" s="1045">
        <v>39901</v>
      </c>
      <c r="C105" s="88" t="s">
        <v>1531</v>
      </c>
      <c r="D105" s="321">
        <f>'[3]Gross Plant'!$AF181</f>
        <v>14389.76</v>
      </c>
      <c r="E105" s="428">
        <v>0</v>
      </c>
      <c r="F105" s="428">
        <f t="shared" si="23"/>
        <v>14389.76</v>
      </c>
      <c r="G105" s="464">
        <f t="shared" si="28"/>
        <v>1</v>
      </c>
      <c r="H105" s="464">
        <f t="shared" si="28"/>
        <v>1</v>
      </c>
      <c r="I105" s="428">
        <f t="shared" si="25"/>
        <v>14389.76</v>
      </c>
      <c r="K105" s="321">
        <f>'[3]Gross Plant'!$D181</f>
        <v>0</v>
      </c>
      <c r="L105" s="464">
        <f t="shared" si="29"/>
        <v>1</v>
      </c>
      <c r="M105" s="464">
        <f t="shared" si="29"/>
        <v>1</v>
      </c>
      <c r="N105" s="428">
        <f t="shared" si="26"/>
        <v>0</v>
      </c>
    </row>
    <row r="106" spans="1:14">
      <c r="A106" s="858">
        <f t="shared" si="22"/>
        <v>92</v>
      </c>
      <c r="B106" s="1045">
        <v>39902</v>
      </c>
      <c r="C106" s="88" t="s">
        <v>1532</v>
      </c>
      <c r="D106" s="321">
        <f>'[3]Gross Plant'!$AF182</f>
        <v>0</v>
      </c>
      <c r="E106" s="428">
        <v>0</v>
      </c>
      <c r="F106" s="428">
        <f t="shared" si="23"/>
        <v>0</v>
      </c>
      <c r="G106" s="464">
        <f t="shared" si="28"/>
        <v>1</v>
      </c>
      <c r="H106" s="464">
        <f t="shared" si="28"/>
        <v>1</v>
      </c>
      <c r="I106" s="428">
        <f t="shared" si="25"/>
        <v>0</v>
      </c>
      <c r="K106" s="321">
        <f>'[3]Gross Plant'!$D182</f>
        <v>0</v>
      </c>
      <c r="L106" s="464">
        <f t="shared" si="29"/>
        <v>1</v>
      </c>
      <c r="M106" s="464">
        <f t="shared" si="29"/>
        <v>1</v>
      </c>
      <c r="N106" s="428">
        <f t="shared" si="26"/>
        <v>0</v>
      </c>
    </row>
    <row r="107" spans="1:14">
      <c r="A107" s="858">
        <f t="shared" si="22"/>
        <v>93</v>
      </c>
      <c r="B107" s="1045">
        <v>39903</v>
      </c>
      <c r="C107" s="88" t="s">
        <v>1011</v>
      </c>
      <c r="D107" s="321">
        <f>'[3]Gross Plant'!$AF183</f>
        <v>134598.85999999999</v>
      </c>
      <c r="E107" s="428">
        <v>0</v>
      </c>
      <c r="F107" s="428">
        <f t="shared" si="23"/>
        <v>134598.85999999999</v>
      </c>
      <c r="G107" s="464">
        <f t="shared" ref="G107:H110" si="30">$G$16</f>
        <v>1</v>
      </c>
      <c r="H107" s="464">
        <f t="shared" si="30"/>
        <v>1</v>
      </c>
      <c r="I107" s="428">
        <f t="shared" si="25"/>
        <v>134598.85999999999</v>
      </c>
      <c r="K107" s="321">
        <f>'[3]Gross Plant'!$D183</f>
        <v>134598.85999999993</v>
      </c>
      <c r="L107" s="464">
        <f t="shared" si="29"/>
        <v>1</v>
      </c>
      <c r="M107" s="464">
        <f t="shared" si="29"/>
        <v>1</v>
      </c>
      <c r="N107" s="428">
        <f t="shared" si="26"/>
        <v>134598.85999999993</v>
      </c>
    </row>
    <row r="108" spans="1:14">
      <c r="A108" s="858">
        <f t="shared" si="22"/>
        <v>94</v>
      </c>
      <c r="B108" s="1045">
        <v>39906</v>
      </c>
      <c r="C108" s="88" t="s">
        <v>456</v>
      </c>
      <c r="D108" s="321">
        <f>'[3]Gross Plant'!$AF184</f>
        <v>1893352.3496315097</v>
      </c>
      <c r="E108" s="428">
        <v>0</v>
      </c>
      <c r="F108" s="428">
        <f t="shared" si="23"/>
        <v>1893352.3496315097</v>
      </c>
      <c r="G108" s="464">
        <f t="shared" si="30"/>
        <v>1</v>
      </c>
      <c r="H108" s="464">
        <f t="shared" si="30"/>
        <v>1</v>
      </c>
      <c r="I108" s="428">
        <f t="shared" si="25"/>
        <v>1893352.3496315097</v>
      </c>
      <c r="K108" s="321">
        <f>'[3]Gross Plant'!$D184</f>
        <v>1770508.9860929651</v>
      </c>
      <c r="L108" s="464">
        <f t="shared" si="29"/>
        <v>1</v>
      </c>
      <c r="M108" s="464">
        <f t="shared" si="29"/>
        <v>1</v>
      </c>
      <c r="N108" s="428">
        <f t="shared" si="26"/>
        <v>1770508.9860929651</v>
      </c>
    </row>
    <row r="109" spans="1:14">
      <c r="A109" s="858">
        <f t="shared" si="22"/>
        <v>95</v>
      </c>
      <c r="B109" s="1045">
        <v>39907</v>
      </c>
      <c r="C109" s="88" t="s">
        <v>510</v>
      </c>
      <c r="D109" s="321">
        <f>'[3]Gross Plant'!$AF185</f>
        <v>0</v>
      </c>
      <c r="E109" s="428">
        <v>0</v>
      </c>
      <c r="F109" s="428">
        <f t="shared" si="23"/>
        <v>0</v>
      </c>
      <c r="G109" s="464">
        <f t="shared" si="30"/>
        <v>1</v>
      </c>
      <c r="H109" s="464">
        <f t="shared" si="30"/>
        <v>1</v>
      </c>
      <c r="I109" s="428">
        <f t="shared" si="25"/>
        <v>0</v>
      </c>
      <c r="K109" s="321">
        <f>'[3]Gross Plant'!$D185</f>
        <v>0</v>
      </c>
      <c r="L109" s="464">
        <f t="shared" si="29"/>
        <v>1</v>
      </c>
      <c r="M109" s="464">
        <f t="shared" si="29"/>
        <v>1</v>
      </c>
      <c r="N109" s="428">
        <f t="shared" si="26"/>
        <v>0</v>
      </c>
    </row>
    <row r="110" spans="1:14">
      <c r="A110" s="858">
        <f t="shared" si="22"/>
        <v>96</v>
      </c>
      <c r="B110" s="1045">
        <v>39908</v>
      </c>
      <c r="C110" s="88" t="s">
        <v>180</v>
      </c>
      <c r="D110" s="321">
        <f>'[3]Gross Plant'!$AF186</f>
        <v>123514.83</v>
      </c>
      <c r="E110" s="428">
        <v>0</v>
      </c>
      <c r="F110" s="428">
        <f t="shared" si="23"/>
        <v>123514.83</v>
      </c>
      <c r="G110" s="464">
        <f t="shared" si="30"/>
        <v>1</v>
      </c>
      <c r="H110" s="464">
        <f t="shared" si="30"/>
        <v>1</v>
      </c>
      <c r="I110" s="428">
        <f t="shared" si="25"/>
        <v>123514.83</v>
      </c>
      <c r="K110" s="321">
        <f>'[3]Gross Plant'!$D186</f>
        <v>123514.83000000002</v>
      </c>
      <c r="L110" s="464">
        <f t="shared" ref="L110:M110" si="31">$G$16</f>
        <v>1</v>
      </c>
      <c r="M110" s="464">
        <f t="shared" si="31"/>
        <v>1</v>
      </c>
      <c r="N110" s="428">
        <f t="shared" si="26"/>
        <v>123514.83000000002</v>
      </c>
    </row>
    <row r="111" spans="1:14">
      <c r="A111" s="858">
        <f t="shared" si="22"/>
        <v>97</v>
      </c>
      <c r="B111" s="1047"/>
      <c r="C111" s="88"/>
      <c r="D111" s="618"/>
      <c r="E111" s="618"/>
      <c r="F111" s="618"/>
      <c r="I111" s="618"/>
      <c r="K111" s="618"/>
      <c r="N111" s="618"/>
    </row>
    <row r="112" spans="1:14">
      <c r="A112" s="858">
        <f t="shared" si="22"/>
        <v>98</v>
      </c>
      <c r="B112" s="1047"/>
      <c r="C112" s="88" t="s">
        <v>4</v>
      </c>
      <c r="D112" s="359">
        <f>SUM(D86:D111)</f>
        <v>24963221.16841232</v>
      </c>
      <c r="E112" s="345">
        <f>SUM(E86:E111)</f>
        <v>0</v>
      </c>
      <c r="F112" s="359">
        <f>SUM(F86:F111)</f>
        <v>24963221.16841232</v>
      </c>
      <c r="G112" s="464"/>
      <c r="H112" s="464"/>
      <c r="I112" s="359">
        <f>SUM(I86:I111)</f>
        <v>24963221.16841232</v>
      </c>
      <c r="K112" s="359">
        <f>SUM(K86:K111)</f>
        <v>24273488.626345389</v>
      </c>
      <c r="N112" s="359">
        <f>SUM(N86:N111)</f>
        <v>24273488.626345389</v>
      </c>
    </row>
    <row r="113" spans="1:19">
      <c r="A113" s="858">
        <f t="shared" si="22"/>
        <v>99</v>
      </c>
      <c r="B113" s="1047"/>
      <c r="C113" s="88"/>
    </row>
    <row r="114" spans="1:19" ht="15.75" thickBot="1">
      <c r="A114" s="858">
        <f t="shared" si="22"/>
        <v>100</v>
      </c>
      <c r="B114" s="1047"/>
      <c r="C114" s="232" t="s">
        <v>1338</v>
      </c>
      <c r="D114" s="1016">
        <f>D19+D26+D47+D59+D83+D112</f>
        <v>659423288.64293051</v>
      </c>
      <c r="E114" s="328">
        <f>E19+E26+E47+E59+E83+E112</f>
        <v>0</v>
      </c>
      <c r="F114" s="1016">
        <f>F19+F26+F47+F59+F83+F112</f>
        <v>659423288.64293051</v>
      </c>
      <c r="I114" s="1016">
        <f>I19+I26+I47+I59+I83+I112</f>
        <v>659423288.64293051</v>
      </c>
      <c r="K114" s="1016">
        <f>K19+K26+K47+K59+K83+K112</f>
        <v>638202422.87671638</v>
      </c>
      <c r="N114" s="1016">
        <f>N19+N26+N47+N59+N83+N112</f>
        <v>638202422.87671638</v>
      </c>
    </row>
    <row r="115" spans="1:19" ht="15.75" thickTop="1">
      <c r="A115" s="858">
        <f t="shared" si="22"/>
        <v>101</v>
      </c>
      <c r="B115" s="1047"/>
      <c r="C115" s="88"/>
    </row>
    <row r="116" spans="1:19">
      <c r="A116" s="858">
        <f t="shared" si="22"/>
        <v>102</v>
      </c>
      <c r="B116" s="1047"/>
      <c r="C116" s="81" t="s">
        <v>756</v>
      </c>
      <c r="D116" s="321">
        <f>'[3]Gross Plant'!$AF$216</f>
        <v>26845504.509999994</v>
      </c>
      <c r="E116" s="327">
        <v>0</v>
      </c>
      <c r="F116" s="327">
        <f>D116+E116</f>
        <v>26845504.509999994</v>
      </c>
      <c r="G116" s="420">
        <f>$G$16</f>
        <v>1</v>
      </c>
      <c r="H116" s="420">
        <f>$G$16</f>
        <v>1</v>
      </c>
      <c r="I116" s="327">
        <f>F116*G116*H116</f>
        <v>26845504.509999994</v>
      </c>
      <c r="K116" s="321">
        <f>'[3]Gross Plant'!$D$216</f>
        <v>26845504.509999994</v>
      </c>
      <c r="L116" s="464">
        <f>$G$16</f>
        <v>1</v>
      </c>
      <c r="M116" s="464">
        <f>$G$16</f>
        <v>1</v>
      </c>
      <c r="N116" s="327">
        <f>K116*L116*M116</f>
        <v>26845504.509999994</v>
      </c>
    </row>
    <row r="117" spans="1:19">
      <c r="A117" s="858">
        <f t="shared" si="22"/>
        <v>103</v>
      </c>
      <c r="B117" s="1047"/>
      <c r="K117" s="359"/>
    </row>
    <row r="118" spans="1:19" ht="15.75">
      <c r="A118" s="858">
        <f t="shared" si="22"/>
        <v>104</v>
      </c>
      <c r="B118" s="1050" t="s">
        <v>7</v>
      </c>
      <c r="K118" s="359"/>
    </row>
    <row r="119" spans="1:19">
      <c r="A119" s="858">
        <f t="shared" si="22"/>
        <v>105</v>
      </c>
      <c r="B119" s="1047"/>
      <c r="K119" s="359"/>
    </row>
    <row r="120" spans="1:19">
      <c r="A120" s="858">
        <f t="shared" si="22"/>
        <v>106</v>
      </c>
      <c r="B120" s="1047"/>
      <c r="C120" s="619" t="s">
        <v>301</v>
      </c>
      <c r="K120" s="359"/>
    </row>
    <row r="121" spans="1:19">
      <c r="A121" s="858">
        <f t="shared" si="22"/>
        <v>107</v>
      </c>
      <c r="B121" s="1051">
        <v>30100</v>
      </c>
      <c r="C121" s="88" t="s">
        <v>295</v>
      </c>
      <c r="D121" s="321">
        <f>'[3]Gross Plant'!$AF84</f>
        <v>185309.27</v>
      </c>
      <c r="E121" s="345">
        <v>0</v>
      </c>
      <c r="F121" s="345">
        <f>D121+E121</f>
        <v>185309.27</v>
      </c>
      <c r="G121" s="464">
        <f>$G$16</f>
        <v>1</v>
      </c>
      <c r="H121" s="465">
        <f>Allocation!$D$17</f>
        <v>0.5025136071712456</v>
      </c>
      <c r="I121" s="345">
        <f>F121*G121*H121</f>
        <v>93120.429709970282</v>
      </c>
      <c r="K121" s="321">
        <f>'[3]Gross Plant'!$D84</f>
        <v>185309.27</v>
      </c>
      <c r="L121" s="464">
        <f t="shared" ref="L121:M122" si="32">G121</f>
        <v>1</v>
      </c>
      <c r="M121" s="465">
        <f t="shared" si="32"/>
        <v>0.5025136071712456</v>
      </c>
      <c r="N121" s="345">
        <f>K121*L121*M121</f>
        <v>93120.429709970282</v>
      </c>
      <c r="S121" s="422"/>
    </row>
    <row r="122" spans="1:19">
      <c r="A122" s="858">
        <f t="shared" si="22"/>
        <v>108</v>
      </c>
      <c r="B122" s="1051">
        <v>30300</v>
      </c>
      <c r="C122" s="88" t="s">
        <v>548</v>
      </c>
      <c r="D122" s="321">
        <f>'[3]Gross Plant'!$AF85</f>
        <v>1109551.68</v>
      </c>
      <c r="E122" s="1049">
        <v>0</v>
      </c>
      <c r="F122" s="1049">
        <f>D122+E122</f>
        <v>1109551.68</v>
      </c>
      <c r="G122" s="464">
        <f>$G$16</f>
        <v>1</v>
      </c>
      <c r="H122" s="465">
        <f>$H$121</f>
        <v>0.5025136071712456</v>
      </c>
      <c r="I122" s="1049">
        <f>F122*G122*H122</f>
        <v>557564.81705971563</v>
      </c>
      <c r="K122" s="321">
        <f>'[3]Gross Plant'!$D85</f>
        <v>1109551.68</v>
      </c>
      <c r="L122" s="464">
        <f t="shared" si="32"/>
        <v>1</v>
      </c>
      <c r="M122" s="465">
        <f t="shared" si="32"/>
        <v>0.5025136071712456</v>
      </c>
      <c r="N122" s="1049">
        <f>K122*L122*M122</f>
        <v>557564.81705971563</v>
      </c>
      <c r="S122" s="422"/>
    </row>
    <row r="123" spans="1:19">
      <c r="A123" s="858">
        <f t="shared" si="22"/>
        <v>109</v>
      </c>
      <c r="B123" s="1047"/>
      <c r="C123" s="88"/>
      <c r="D123" s="618"/>
      <c r="K123" s="618"/>
    </row>
    <row r="124" spans="1:19">
      <c r="A124" s="858">
        <f t="shared" si="22"/>
        <v>110</v>
      </c>
      <c r="B124" s="1047"/>
      <c r="C124" s="88" t="s">
        <v>302</v>
      </c>
      <c r="D124" s="359">
        <f>SUM(D121:D123)</f>
        <v>1294860.95</v>
      </c>
      <c r="E124" s="345">
        <f>SUM(E121:E123)</f>
        <v>0</v>
      </c>
      <c r="F124" s="345">
        <f>SUM(F121:F123)</f>
        <v>1294860.95</v>
      </c>
      <c r="G124" s="464"/>
      <c r="H124" s="464"/>
      <c r="I124" s="345">
        <f>SUM(I121:I123)</f>
        <v>650685.24676968588</v>
      </c>
      <c r="K124" s="359">
        <f>SUM(K121:K123)</f>
        <v>1294860.95</v>
      </c>
      <c r="N124" s="345">
        <f>SUM(N121:N123)</f>
        <v>650685.24676968588</v>
      </c>
    </row>
    <row r="125" spans="1:19">
      <c r="A125" s="858">
        <f t="shared" si="22"/>
        <v>111</v>
      </c>
      <c r="B125" s="1047"/>
    </row>
    <row r="126" spans="1:19">
      <c r="A126" s="858">
        <f t="shared" si="22"/>
        <v>112</v>
      </c>
      <c r="B126" s="1047"/>
      <c r="C126" s="619" t="s">
        <v>303</v>
      </c>
    </row>
    <row r="127" spans="1:19">
      <c r="A127" s="858">
        <f t="shared" si="22"/>
        <v>113</v>
      </c>
      <c r="B127" s="1051">
        <v>37400</v>
      </c>
      <c r="C127" s="88" t="s">
        <v>1157</v>
      </c>
      <c r="D127" s="359">
        <v>0</v>
      </c>
      <c r="E127" s="345">
        <v>0</v>
      </c>
      <c r="F127" s="345">
        <f t="shared" ref="F127:F147" si="33">D127+E127</f>
        <v>0</v>
      </c>
      <c r="G127" s="464">
        <f t="shared" ref="G127:G147" si="34">$G$16</f>
        <v>1</v>
      </c>
      <c r="H127" s="465">
        <f t="shared" ref="H127:H147" si="35">$H$121</f>
        <v>0.5025136071712456</v>
      </c>
      <c r="I127" s="345">
        <f t="shared" ref="I127:I147" si="36">F127*G127*H127</f>
        <v>0</v>
      </c>
      <c r="K127" s="359">
        <v>0</v>
      </c>
      <c r="L127" s="464">
        <f t="shared" ref="L127:L147" si="37">G127</f>
        <v>1</v>
      </c>
      <c r="M127" s="465">
        <f t="shared" ref="M127:M147" si="38">H127</f>
        <v>0.5025136071712456</v>
      </c>
      <c r="N127" s="345">
        <f t="shared" ref="N127:N147" si="39">K127*L127*M127</f>
        <v>0</v>
      </c>
      <c r="P127" s="670"/>
    </row>
    <row r="128" spans="1:19">
      <c r="A128" s="858">
        <f t="shared" si="22"/>
        <v>114</v>
      </c>
      <c r="B128" s="1051">
        <v>35010</v>
      </c>
      <c r="C128" s="88" t="s">
        <v>296</v>
      </c>
      <c r="D128" s="616">
        <v>0</v>
      </c>
      <c r="E128" s="428">
        <v>0</v>
      </c>
      <c r="F128" s="428">
        <f t="shared" si="33"/>
        <v>0</v>
      </c>
      <c r="G128" s="464">
        <f t="shared" si="34"/>
        <v>1</v>
      </c>
      <c r="H128" s="465">
        <f t="shared" si="35"/>
        <v>0.5025136071712456</v>
      </c>
      <c r="I128" s="428">
        <f t="shared" si="36"/>
        <v>0</v>
      </c>
      <c r="K128" s="616">
        <v>0</v>
      </c>
      <c r="L128" s="464">
        <f t="shared" si="37"/>
        <v>1</v>
      </c>
      <c r="M128" s="465">
        <f t="shared" si="38"/>
        <v>0.5025136071712456</v>
      </c>
      <c r="N128" s="428">
        <f t="shared" si="39"/>
        <v>0</v>
      </c>
      <c r="P128" s="670"/>
    </row>
    <row r="129" spans="1:16">
      <c r="A129" s="858">
        <f t="shared" si="22"/>
        <v>115</v>
      </c>
      <c r="B129" s="1051">
        <v>37402</v>
      </c>
      <c r="C129" s="88" t="s">
        <v>1007</v>
      </c>
      <c r="D129" s="616">
        <v>0</v>
      </c>
      <c r="E129" s="428">
        <v>0</v>
      </c>
      <c r="F129" s="428">
        <f t="shared" si="33"/>
        <v>0</v>
      </c>
      <c r="G129" s="464">
        <f t="shared" si="34"/>
        <v>1</v>
      </c>
      <c r="H129" s="465">
        <f t="shared" si="35"/>
        <v>0.5025136071712456</v>
      </c>
      <c r="I129" s="428">
        <f t="shared" si="36"/>
        <v>0</v>
      </c>
      <c r="K129" s="616">
        <v>0</v>
      </c>
      <c r="L129" s="464">
        <f t="shared" si="37"/>
        <v>1</v>
      </c>
      <c r="M129" s="465">
        <f t="shared" si="38"/>
        <v>0.5025136071712456</v>
      </c>
      <c r="N129" s="428">
        <f t="shared" si="39"/>
        <v>0</v>
      </c>
      <c r="P129" s="670"/>
    </row>
    <row r="130" spans="1:16">
      <c r="A130" s="858">
        <f t="shared" si="22"/>
        <v>116</v>
      </c>
      <c r="B130" s="1051">
        <v>37403</v>
      </c>
      <c r="C130" s="88" t="s">
        <v>1004</v>
      </c>
      <c r="D130" s="616">
        <v>0</v>
      </c>
      <c r="E130" s="428">
        <v>0</v>
      </c>
      <c r="F130" s="428">
        <f t="shared" si="33"/>
        <v>0</v>
      </c>
      <c r="G130" s="464">
        <f t="shared" si="34"/>
        <v>1</v>
      </c>
      <c r="H130" s="465">
        <f t="shared" si="35"/>
        <v>0.5025136071712456</v>
      </c>
      <c r="I130" s="428">
        <f t="shared" si="36"/>
        <v>0</v>
      </c>
      <c r="K130" s="616">
        <v>0</v>
      </c>
      <c r="L130" s="464">
        <f t="shared" si="37"/>
        <v>1</v>
      </c>
      <c r="M130" s="465">
        <f t="shared" si="38"/>
        <v>0.5025136071712456</v>
      </c>
      <c r="N130" s="428">
        <f t="shared" si="39"/>
        <v>0</v>
      </c>
    </row>
    <row r="131" spans="1:16">
      <c r="A131" s="858">
        <f t="shared" si="22"/>
        <v>117</v>
      </c>
      <c r="B131" s="1051">
        <v>36602</v>
      </c>
      <c r="C131" s="88" t="s">
        <v>863</v>
      </c>
      <c r="D131" s="616">
        <v>0</v>
      </c>
      <c r="E131" s="428">
        <v>0</v>
      </c>
      <c r="F131" s="428">
        <f t="shared" si="33"/>
        <v>0</v>
      </c>
      <c r="G131" s="464">
        <f t="shared" si="34"/>
        <v>1</v>
      </c>
      <c r="H131" s="465">
        <f t="shared" si="35"/>
        <v>0.5025136071712456</v>
      </c>
      <c r="I131" s="428">
        <f t="shared" si="36"/>
        <v>0</v>
      </c>
      <c r="K131" s="616">
        <v>0</v>
      </c>
      <c r="L131" s="464">
        <f t="shared" si="37"/>
        <v>1</v>
      </c>
      <c r="M131" s="465">
        <f t="shared" si="38"/>
        <v>0.5025136071712456</v>
      </c>
      <c r="N131" s="428">
        <f t="shared" si="39"/>
        <v>0</v>
      </c>
      <c r="P131" s="670"/>
    </row>
    <row r="132" spans="1:16">
      <c r="A132" s="858">
        <f t="shared" si="22"/>
        <v>118</v>
      </c>
      <c r="B132" s="1051">
        <v>37402</v>
      </c>
      <c r="C132" s="88" t="s">
        <v>1007</v>
      </c>
      <c r="D132" s="616">
        <v>0</v>
      </c>
      <c r="E132" s="428">
        <v>0</v>
      </c>
      <c r="F132" s="428">
        <f>D132+E132</f>
        <v>0</v>
      </c>
      <c r="G132" s="464">
        <f t="shared" si="34"/>
        <v>1</v>
      </c>
      <c r="H132" s="465">
        <f t="shared" si="35"/>
        <v>0.5025136071712456</v>
      </c>
      <c r="I132" s="428">
        <f>F132*G132*H132</f>
        <v>0</v>
      </c>
      <c r="K132" s="616">
        <v>0</v>
      </c>
      <c r="L132" s="464">
        <f>G132</f>
        <v>1</v>
      </c>
      <c r="M132" s="465">
        <f>H132</f>
        <v>0.5025136071712456</v>
      </c>
      <c r="N132" s="428">
        <f>K132*L132*M132</f>
        <v>0</v>
      </c>
    </row>
    <row r="133" spans="1:16">
      <c r="A133" s="858">
        <f t="shared" si="22"/>
        <v>119</v>
      </c>
      <c r="B133" s="1051">
        <v>37501</v>
      </c>
      <c r="C133" s="88" t="s">
        <v>1005</v>
      </c>
      <c r="D133" s="616">
        <v>0</v>
      </c>
      <c r="E133" s="428">
        <v>0</v>
      </c>
      <c r="F133" s="428">
        <f t="shared" si="33"/>
        <v>0</v>
      </c>
      <c r="G133" s="464">
        <f t="shared" si="34"/>
        <v>1</v>
      </c>
      <c r="H133" s="465">
        <f t="shared" si="35"/>
        <v>0.5025136071712456</v>
      </c>
      <c r="I133" s="428">
        <f t="shared" si="36"/>
        <v>0</v>
      </c>
      <c r="K133" s="616">
        <v>0</v>
      </c>
      <c r="L133" s="464">
        <f t="shared" si="37"/>
        <v>1</v>
      </c>
      <c r="M133" s="465">
        <f t="shared" si="38"/>
        <v>0.5025136071712456</v>
      </c>
      <c r="N133" s="428">
        <f t="shared" si="39"/>
        <v>0</v>
      </c>
    </row>
    <row r="134" spans="1:16">
      <c r="A134" s="858">
        <f t="shared" si="22"/>
        <v>120</v>
      </c>
      <c r="B134" s="1051">
        <v>37503</v>
      </c>
      <c r="C134" s="88" t="s">
        <v>1006</v>
      </c>
      <c r="D134" s="616">
        <v>0</v>
      </c>
      <c r="E134" s="428">
        <v>0</v>
      </c>
      <c r="F134" s="428">
        <f t="shared" si="33"/>
        <v>0</v>
      </c>
      <c r="G134" s="464">
        <f t="shared" si="34"/>
        <v>1</v>
      </c>
      <c r="H134" s="465">
        <f t="shared" si="35"/>
        <v>0.5025136071712456</v>
      </c>
      <c r="I134" s="428">
        <f t="shared" si="36"/>
        <v>0</v>
      </c>
      <c r="K134" s="616">
        <v>0</v>
      </c>
      <c r="L134" s="464">
        <f t="shared" si="37"/>
        <v>1</v>
      </c>
      <c r="M134" s="465">
        <f t="shared" si="38"/>
        <v>0.5025136071712456</v>
      </c>
      <c r="N134" s="428">
        <f t="shared" si="39"/>
        <v>0</v>
      </c>
    </row>
    <row r="135" spans="1:16">
      <c r="A135" s="858">
        <f t="shared" si="22"/>
        <v>121</v>
      </c>
      <c r="B135" s="1051">
        <v>36700</v>
      </c>
      <c r="C135" s="88" t="s">
        <v>851</v>
      </c>
      <c r="D135" s="616">
        <v>0</v>
      </c>
      <c r="E135" s="428">
        <v>0</v>
      </c>
      <c r="F135" s="428">
        <f t="shared" si="33"/>
        <v>0</v>
      </c>
      <c r="G135" s="464">
        <f t="shared" si="34"/>
        <v>1</v>
      </c>
      <c r="H135" s="465">
        <f t="shared" si="35"/>
        <v>0.5025136071712456</v>
      </c>
      <c r="I135" s="428">
        <f t="shared" si="36"/>
        <v>0</v>
      </c>
      <c r="K135" s="616">
        <v>0</v>
      </c>
      <c r="L135" s="464">
        <f t="shared" si="37"/>
        <v>1</v>
      </c>
      <c r="M135" s="465">
        <f t="shared" si="38"/>
        <v>0.5025136071712456</v>
      </c>
      <c r="N135" s="428">
        <f t="shared" si="39"/>
        <v>0</v>
      </c>
    </row>
    <row r="136" spans="1:16">
      <c r="A136" s="858">
        <f t="shared" si="22"/>
        <v>122</v>
      </c>
      <c r="B136" s="1051">
        <v>36701</v>
      </c>
      <c r="C136" s="88" t="s">
        <v>16</v>
      </c>
      <c r="D136" s="616">
        <v>0</v>
      </c>
      <c r="E136" s="428">
        <v>0</v>
      </c>
      <c r="F136" s="428">
        <f t="shared" si="33"/>
        <v>0</v>
      </c>
      <c r="G136" s="464">
        <f t="shared" si="34"/>
        <v>1</v>
      </c>
      <c r="H136" s="465">
        <f t="shared" si="35"/>
        <v>0.5025136071712456</v>
      </c>
      <c r="I136" s="428">
        <f t="shared" si="36"/>
        <v>0</v>
      </c>
      <c r="K136" s="616">
        <v>0</v>
      </c>
      <c r="L136" s="464">
        <f t="shared" si="37"/>
        <v>1</v>
      </c>
      <c r="M136" s="465">
        <f t="shared" si="38"/>
        <v>0.5025136071712456</v>
      </c>
      <c r="N136" s="428">
        <f t="shared" si="39"/>
        <v>0</v>
      </c>
    </row>
    <row r="137" spans="1:16">
      <c r="A137" s="858">
        <f t="shared" si="22"/>
        <v>123</v>
      </c>
      <c r="B137" s="1051">
        <v>37602</v>
      </c>
      <c r="C137" s="88" t="s">
        <v>852</v>
      </c>
      <c r="D137" s="616">
        <v>0</v>
      </c>
      <c r="E137" s="428">
        <v>0</v>
      </c>
      <c r="F137" s="428">
        <f t="shared" si="33"/>
        <v>0</v>
      </c>
      <c r="G137" s="464">
        <f t="shared" si="34"/>
        <v>1</v>
      </c>
      <c r="H137" s="465">
        <f t="shared" si="35"/>
        <v>0.5025136071712456</v>
      </c>
      <c r="I137" s="428">
        <f t="shared" si="36"/>
        <v>0</v>
      </c>
      <c r="K137" s="616">
        <v>0</v>
      </c>
      <c r="L137" s="464">
        <f t="shared" si="37"/>
        <v>1</v>
      </c>
      <c r="M137" s="465">
        <f t="shared" si="38"/>
        <v>0.5025136071712456</v>
      </c>
      <c r="N137" s="428">
        <f t="shared" si="39"/>
        <v>0</v>
      </c>
    </row>
    <row r="138" spans="1:16">
      <c r="A138" s="858">
        <f t="shared" si="22"/>
        <v>124</v>
      </c>
      <c r="B138" s="1051">
        <v>37800</v>
      </c>
      <c r="C138" s="88" t="s">
        <v>230</v>
      </c>
      <c r="D138" s="616">
        <v>0</v>
      </c>
      <c r="E138" s="428">
        <v>0</v>
      </c>
      <c r="F138" s="428">
        <f t="shared" si="33"/>
        <v>0</v>
      </c>
      <c r="G138" s="464">
        <f t="shared" si="34"/>
        <v>1</v>
      </c>
      <c r="H138" s="465">
        <f t="shared" si="35"/>
        <v>0.5025136071712456</v>
      </c>
      <c r="I138" s="428">
        <f t="shared" si="36"/>
        <v>0</v>
      </c>
      <c r="K138" s="616">
        <v>0</v>
      </c>
      <c r="L138" s="464">
        <f t="shared" si="37"/>
        <v>1</v>
      </c>
      <c r="M138" s="465">
        <f t="shared" si="38"/>
        <v>0.5025136071712456</v>
      </c>
      <c r="N138" s="428">
        <f t="shared" si="39"/>
        <v>0</v>
      </c>
    </row>
    <row r="139" spans="1:16">
      <c r="A139" s="858">
        <f t="shared" si="22"/>
        <v>125</v>
      </c>
      <c r="B139" s="1051">
        <v>37900</v>
      </c>
      <c r="C139" s="88" t="s">
        <v>1200</v>
      </c>
      <c r="D139" s="616">
        <v>0</v>
      </c>
      <c r="E139" s="428">
        <v>0</v>
      </c>
      <c r="F139" s="428">
        <f t="shared" si="33"/>
        <v>0</v>
      </c>
      <c r="G139" s="464">
        <f t="shared" si="34"/>
        <v>1</v>
      </c>
      <c r="H139" s="465">
        <f t="shared" si="35"/>
        <v>0.5025136071712456</v>
      </c>
      <c r="I139" s="428">
        <f t="shared" si="36"/>
        <v>0</v>
      </c>
      <c r="K139" s="616">
        <v>0</v>
      </c>
      <c r="L139" s="464">
        <f t="shared" si="37"/>
        <v>1</v>
      </c>
      <c r="M139" s="465">
        <f t="shared" si="38"/>
        <v>0.5025136071712456</v>
      </c>
      <c r="N139" s="428">
        <f t="shared" si="39"/>
        <v>0</v>
      </c>
    </row>
    <row r="140" spans="1:16">
      <c r="A140" s="858">
        <f t="shared" si="22"/>
        <v>126</v>
      </c>
      <c r="B140" s="1051">
        <v>37905</v>
      </c>
      <c r="C140" s="88" t="s">
        <v>732</v>
      </c>
      <c r="D140" s="616">
        <v>0</v>
      </c>
      <c r="E140" s="428">
        <v>0</v>
      </c>
      <c r="F140" s="428">
        <f t="shared" si="33"/>
        <v>0</v>
      </c>
      <c r="G140" s="464">
        <f t="shared" si="34"/>
        <v>1</v>
      </c>
      <c r="H140" s="465">
        <f t="shared" si="35"/>
        <v>0.5025136071712456</v>
      </c>
      <c r="I140" s="428">
        <f t="shared" si="36"/>
        <v>0</v>
      </c>
      <c r="K140" s="616">
        <v>0</v>
      </c>
      <c r="L140" s="464">
        <f t="shared" si="37"/>
        <v>1</v>
      </c>
      <c r="M140" s="465">
        <f t="shared" si="38"/>
        <v>0.5025136071712456</v>
      </c>
      <c r="N140" s="428">
        <f t="shared" si="39"/>
        <v>0</v>
      </c>
    </row>
    <row r="141" spans="1:16">
      <c r="A141" s="858">
        <f t="shared" si="22"/>
        <v>127</v>
      </c>
      <c r="B141" s="1051">
        <v>38000</v>
      </c>
      <c r="C141" s="88" t="s">
        <v>1061</v>
      </c>
      <c r="D141" s="616">
        <v>0</v>
      </c>
      <c r="E141" s="428">
        <v>0</v>
      </c>
      <c r="F141" s="428">
        <f t="shared" si="33"/>
        <v>0</v>
      </c>
      <c r="G141" s="464">
        <f t="shared" si="34"/>
        <v>1</v>
      </c>
      <c r="H141" s="465">
        <f t="shared" si="35"/>
        <v>0.5025136071712456</v>
      </c>
      <c r="I141" s="428">
        <f t="shared" si="36"/>
        <v>0</v>
      </c>
      <c r="K141" s="616">
        <v>0</v>
      </c>
      <c r="L141" s="464">
        <f t="shared" si="37"/>
        <v>1</v>
      </c>
      <c r="M141" s="465">
        <f t="shared" si="38"/>
        <v>0.5025136071712456</v>
      </c>
      <c r="N141" s="428">
        <f t="shared" si="39"/>
        <v>0</v>
      </c>
    </row>
    <row r="142" spans="1:16">
      <c r="A142" s="858">
        <f t="shared" si="22"/>
        <v>128</v>
      </c>
      <c r="B142" s="1051">
        <v>38100</v>
      </c>
      <c r="C142" s="88" t="s">
        <v>853</v>
      </c>
      <c r="D142" s="616">
        <v>0</v>
      </c>
      <c r="E142" s="428">
        <v>0</v>
      </c>
      <c r="F142" s="428">
        <f t="shared" si="33"/>
        <v>0</v>
      </c>
      <c r="G142" s="464">
        <f t="shared" si="34"/>
        <v>1</v>
      </c>
      <c r="H142" s="465">
        <f t="shared" si="35"/>
        <v>0.5025136071712456</v>
      </c>
      <c r="I142" s="428">
        <f t="shared" si="36"/>
        <v>0</v>
      </c>
      <c r="K142" s="616">
        <v>0</v>
      </c>
      <c r="L142" s="464">
        <f t="shared" si="37"/>
        <v>1</v>
      </c>
      <c r="M142" s="465">
        <f t="shared" si="38"/>
        <v>0.5025136071712456</v>
      </c>
      <c r="N142" s="428">
        <f t="shared" si="39"/>
        <v>0</v>
      </c>
    </row>
    <row r="143" spans="1:16">
      <c r="A143" s="858">
        <f t="shared" si="22"/>
        <v>129</v>
      </c>
      <c r="B143" s="1051">
        <v>38200</v>
      </c>
      <c r="C143" s="88" t="s">
        <v>447</v>
      </c>
      <c r="D143" s="616">
        <v>0</v>
      </c>
      <c r="E143" s="428">
        <v>0</v>
      </c>
      <c r="F143" s="428">
        <f t="shared" si="33"/>
        <v>0</v>
      </c>
      <c r="G143" s="464">
        <f t="shared" si="34"/>
        <v>1</v>
      </c>
      <c r="H143" s="465">
        <f t="shared" si="35"/>
        <v>0.5025136071712456</v>
      </c>
      <c r="I143" s="428">
        <f t="shared" si="36"/>
        <v>0</v>
      </c>
      <c r="K143" s="616">
        <v>0</v>
      </c>
      <c r="L143" s="464">
        <f t="shared" si="37"/>
        <v>1</v>
      </c>
      <c r="M143" s="465">
        <f t="shared" si="38"/>
        <v>0.5025136071712456</v>
      </c>
      <c r="N143" s="428">
        <f t="shared" si="39"/>
        <v>0</v>
      </c>
    </row>
    <row r="144" spans="1:16">
      <c r="A144" s="858">
        <f t="shared" si="22"/>
        <v>130</v>
      </c>
      <c r="B144" s="1051">
        <v>38300</v>
      </c>
      <c r="C144" s="88" t="s">
        <v>1062</v>
      </c>
      <c r="D144" s="616">
        <v>0</v>
      </c>
      <c r="E144" s="428">
        <v>0</v>
      </c>
      <c r="F144" s="428">
        <f t="shared" si="33"/>
        <v>0</v>
      </c>
      <c r="G144" s="464">
        <f t="shared" si="34"/>
        <v>1</v>
      </c>
      <c r="H144" s="465">
        <f t="shared" si="35"/>
        <v>0.5025136071712456</v>
      </c>
      <c r="I144" s="428">
        <f t="shared" si="36"/>
        <v>0</v>
      </c>
      <c r="K144" s="616">
        <v>0</v>
      </c>
      <c r="L144" s="464">
        <f t="shared" si="37"/>
        <v>1</v>
      </c>
      <c r="M144" s="465">
        <f t="shared" si="38"/>
        <v>0.5025136071712456</v>
      </c>
      <c r="N144" s="428">
        <f t="shared" si="39"/>
        <v>0</v>
      </c>
    </row>
    <row r="145" spans="1:19">
      <c r="A145" s="858">
        <f t="shared" si="22"/>
        <v>131</v>
      </c>
      <c r="B145" s="1051">
        <v>38400</v>
      </c>
      <c r="C145" s="88" t="s">
        <v>448</v>
      </c>
      <c r="D145" s="616">
        <v>0</v>
      </c>
      <c r="E145" s="428">
        <v>0</v>
      </c>
      <c r="F145" s="428">
        <f t="shared" si="33"/>
        <v>0</v>
      </c>
      <c r="G145" s="464">
        <f t="shared" si="34"/>
        <v>1</v>
      </c>
      <c r="H145" s="465">
        <f t="shared" si="35"/>
        <v>0.5025136071712456</v>
      </c>
      <c r="I145" s="428">
        <f t="shared" si="36"/>
        <v>0</v>
      </c>
      <c r="K145" s="616">
        <v>0</v>
      </c>
      <c r="L145" s="464">
        <f t="shared" si="37"/>
        <v>1</v>
      </c>
      <c r="M145" s="465">
        <f t="shared" si="38"/>
        <v>0.5025136071712456</v>
      </c>
      <c r="N145" s="428">
        <f t="shared" si="39"/>
        <v>0</v>
      </c>
    </row>
    <row r="146" spans="1:19">
      <c r="A146" s="858">
        <f t="shared" si="22"/>
        <v>132</v>
      </c>
      <c r="B146" s="1051">
        <v>38500</v>
      </c>
      <c r="C146" s="88" t="s">
        <v>449</v>
      </c>
      <c r="D146" s="616">
        <v>0</v>
      </c>
      <c r="E146" s="428">
        <v>0</v>
      </c>
      <c r="F146" s="428">
        <f t="shared" si="33"/>
        <v>0</v>
      </c>
      <c r="G146" s="464">
        <f t="shared" si="34"/>
        <v>1</v>
      </c>
      <c r="H146" s="465">
        <f t="shared" si="35"/>
        <v>0.5025136071712456</v>
      </c>
      <c r="I146" s="428">
        <f t="shared" si="36"/>
        <v>0</v>
      </c>
      <c r="K146" s="616">
        <v>0</v>
      </c>
      <c r="L146" s="464">
        <f t="shared" si="37"/>
        <v>1</v>
      </c>
      <c r="M146" s="465">
        <f t="shared" si="38"/>
        <v>0.5025136071712456</v>
      </c>
      <c r="N146" s="428">
        <f t="shared" si="39"/>
        <v>0</v>
      </c>
    </row>
    <row r="147" spans="1:19">
      <c r="A147" s="858">
        <f t="shared" si="22"/>
        <v>133</v>
      </c>
      <c r="B147" s="1051">
        <v>38600</v>
      </c>
      <c r="C147" s="88" t="s">
        <v>107</v>
      </c>
      <c r="D147" s="1052">
        <v>0</v>
      </c>
      <c r="E147" s="1049">
        <v>0</v>
      </c>
      <c r="F147" s="1049">
        <f t="shared" si="33"/>
        <v>0</v>
      </c>
      <c r="G147" s="464">
        <f t="shared" si="34"/>
        <v>1</v>
      </c>
      <c r="H147" s="465">
        <f t="shared" si="35"/>
        <v>0.5025136071712456</v>
      </c>
      <c r="I147" s="1049">
        <f t="shared" si="36"/>
        <v>0</v>
      </c>
      <c r="K147" s="1052">
        <v>0</v>
      </c>
      <c r="L147" s="464">
        <f t="shared" si="37"/>
        <v>1</v>
      </c>
      <c r="M147" s="465">
        <f t="shared" si="38"/>
        <v>0.5025136071712456</v>
      </c>
      <c r="N147" s="1049">
        <f t="shared" si="39"/>
        <v>0</v>
      </c>
    </row>
    <row r="148" spans="1:19">
      <c r="A148" s="858">
        <f t="shared" si="22"/>
        <v>134</v>
      </c>
      <c r="B148" s="1047"/>
      <c r="C148" s="88"/>
      <c r="M148" s="465"/>
    </row>
    <row r="149" spans="1:19">
      <c r="A149" s="858">
        <f t="shared" si="22"/>
        <v>135</v>
      </c>
      <c r="B149" s="1047"/>
      <c r="C149" s="88" t="s">
        <v>304</v>
      </c>
      <c r="D149" s="359">
        <f>SUM(D127:D148)</f>
        <v>0</v>
      </c>
      <c r="E149" s="345">
        <f>SUM(E127:E148)</f>
        <v>0</v>
      </c>
      <c r="F149" s="345">
        <f>SUM(F127:F148)</f>
        <v>0</v>
      </c>
      <c r="I149" s="345">
        <f>SUM(I127:I148)</f>
        <v>0</v>
      </c>
      <c r="K149" s="359">
        <f>SUM(K127:K148)</f>
        <v>0</v>
      </c>
      <c r="M149" s="465"/>
      <c r="N149" s="345">
        <f>SUM(N127:N148)</f>
        <v>0</v>
      </c>
    </row>
    <row r="150" spans="1:19">
      <c r="A150" s="858">
        <f t="shared" ref="A150:A232" si="40">A149+1</f>
        <v>136</v>
      </c>
      <c r="B150" s="1047"/>
      <c r="C150" s="88"/>
      <c r="M150" s="465"/>
    </row>
    <row r="151" spans="1:19">
      <c r="A151" s="858">
        <f t="shared" si="40"/>
        <v>137</v>
      </c>
      <c r="B151" s="1047"/>
      <c r="C151" s="619" t="s">
        <v>1179</v>
      </c>
      <c r="M151" s="465"/>
    </row>
    <row r="152" spans="1:19">
      <c r="A152" s="858">
        <f t="shared" si="40"/>
        <v>138</v>
      </c>
      <c r="B152" s="1051">
        <v>39001</v>
      </c>
      <c r="C152" s="88" t="s">
        <v>546</v>
      </c>
      <c r="D152" s="321">
        <f>'[3]Gross Plant'!$AF86</f>
        <v>179338.52</v>
      </c>
      <c r="E152" s="345">
        <v>0</v>
      </c>
      <c r="F152" s="345">
        <f t="shared" ref="F152:F172" si="41">D152+E152</f>
        <v>179338.52</v>
      </c>
      <c r="G152" s="464">
        <f t="shared" ref="G152:G172" si="42">$G$16</f>
        <v>1</v>
      </c>
      <c r="H152" s="465">
        <f t="shared" ref="H152:H172" si="43">$H$121</f>
        <v>0.5025136071712456</v>
      </c>
      <c r="I152" s="345">
        <f t="shared" ref="I152:I172" si="44">F152*G152*H152</f>
        <v>90120.046589952573</v>
      </c>
      <c r="K152" s="321">
        <f>'[3]Gross Plant'!$D86</f>
        <v>179338.52</v>
      </c>
      <c r="L152" s="464">
        <f t="shared" ref="L152:L172" si="45">G152</f>
        <v>1</v>
      </c>
      <c r="M152" s="465">
        <f t="shared" ref="M152:M172" si="46">H152</f>
        <v>0.5025136071712456</v>
      </c>
      <c r="N152" s="345">
        <f t="shared" ref="N152:N172" si="47">K152*L152*M152</f>
        <v>90120.046589952573</v>
      </c>
      <c r="S152" s="422"/>
    </row>
    <row r="153" spans="1:19">
      <c r="A153" s="858">
        <f t="shared" si="40"/>
        <v>139</v>
      </c>
      <c r="B153" s="1051">
        <v>39004</v>
      </c>
      <c r="C153" s="88" t="s">
        <v>450</v>
      </c>
      <c r="D153" s="321">
        <f>'[3]Gross Plant'!$AF87</f>
        <v>15383.91</v>
      </c>
      <c r="E153" s="428">
        <v>0</v>
      </c>
      <c r="F153" s="428">
        <f t="shared" si="41"/>
        <v>15383.91</v>
      </c>
      <c r="G153" s="464">
        <f t="shared" si="42"/>
        <v>1</v>
      </c>
      <c r="H153" s="465">
        <f t="shared" si="43"/>
        <v>0.5025136071712456</v>
      </c>
      <c r="I153" s="428">
        <f t="shared" si="44"/>
        <v>7730.6241064977967</v>
      </c>
      <c r="K153" s="321">
        <f>'[3]Gross Plant'!$D87</f>
        <v>15383.910000000002</v>
      </c>
      <c r="L153" s="464">
        <f t="shared" si="45"/>
        <v>1</v>
      </c>
      <c r="M153" s="465">
        <f t="shared" si="46"/>
        <v>0.5025136071712456</v>
      </c>
      <c r="N153" s="428">
        <f t="shared" si="47"/>
        <v>7730.6241064977976</v>
      </c>
      <c r="S153" s="422"/>
    </row>
    <row r="154" spans="1:19">
      <c r="A154" s="858">
        <f t="shared" si="40"/>
        <v>140</v>
      </c>
      <c r="B154" s="1051">
        <v>39009</v>
      </c>
      <c r="C154" s="88" t="s">
        <v>1045</v>
      </c>
      <c r="D154" s="321">
        <f>'[3]Gross Plant'!$AF88</f>
        <v>38834</v>
      </c>
      <c r="E154" s="428">
        <v>0</v>
      </c>
      <c r="F154" s="428">
        <f t="shared" si="41"/>
        <v>38834</v>
      </c>
      <c r="G154" s="464">
        <f t="shared" si="42"/>
        <v>1</v>
      </c>
      <c r="H154" s="465">
        <f t="shared" si="43"/>
        <v>0.5025136071712456</v>
      </c>
      <c r="I154" s="428">
        <f t="shared" si="44"/>
        <v>19514.613420888152</v>
      </c>
      <c r="K154" s="321">
        <f>'[3]Gross Plant'!$D88</f>
        <v>38834</v>
      </c>
      <c r="L154" s="464">
        <f t="shared" si="45"/>
        <v>1</v>
      </c>
      <c r="M154" s="465">
        <f t="shared" si="46"/>
        <v>0.5025136071712456</v>
      </c>
      <c r="N154" s="428">
        <f t="shared" si="47"/>
        <v>19514.613420888152</v>
      </c>
      <c r="S154" s="422"/>
    </row>
    <row r="155" spans="1:19">
      <c r="A155" s="858">
        <f t="shared" si="40"/>
        <v>141</v>
      </c>
      <c r="B155" s="1051">
        <v>39100</v>
      </c>
      <c r="C155" s="88" t="s">
        <v>786</v>
      </c>
      <c r="D155" s="321">
        <f>'[3]Gross Plant'!$AF89</f>
        <v>41397.21</v>
      </c>
      <c r="E155" s="428">
        <v>0</v>
      </c>
      <c r="F155" s="428">
        <f t="shared" si="41"/>
        <v>41397.21</v>
      </c>
      <c r="G155" s="464">
        <f t="shared" si="42"/>
        <v>1</v>
      </c>
      <c r="H155" s="465">
        <f t="shared" si="43"/>
        <v>0.5025136071712456</v>
      </c>
      <c r="I155" s="428">
        <f t="shared" si="44"/>
        <v>20802.66132392556</v>
      </c>
      <c r="K155" s="321">
        <f>'[3]Gross Plant'!$D89</f>
        <v>41397.210000000006</v>
      </c>
      <c r="L155" s="464">
        <f t="shared" si="45"/>
        <v>1</v>
      </c>
      <c r="M155" s="465">
        <f t="shared" si="46"/>
        <v>0.5025136071712456</v>
      </c>
      <c r="N155" s="428">
        <f t="shared" si="47"/>
        <v>20802.661323925564</v>
      </c>
      <c r="S155" s="422"/>
    </row>
    <row r="156" spans="1:19">
      <c r="A156" s="858">
        <f t="shared" si="40"/>
        <v>142</v>
      </c>
      <c r="B156" s="1051">
        <v>39101</v>
      </c>
      <c r="C156" s="88" t="s">
        <v>1533</v>
      </c>
      <c r="D156" s="321">
        <f>'[3]Gross Plant'!$AF90</f>
        <v>0</v>
      </c>
      <c r="E156" s="428">
        <v>0</v>
      </c>
      <c r="F156" s="428">
        <f t="shared" si="41"/>
        <v>0</v>
      </c>
      <c r="G156" s="464">
        <f t="shared" si="42"/>
        <v>1</v>
      </c>
      <c r="H156" s="465">
        <f t="shared" si="43"/>
        <v>0.5025136071712456</v>
      </c>
      <c r="I156" s="428">
        <f t="shared" si="44"/>
        <v>0</v>
      </c>
      <c r="K156" s="321">
        <f>'[3]Gross Plant'!$D90</f>
        <v>0</v>
      </c>
      <c r="L156" s="464">
        <f t="shared" ref="L156:L167" si="48">G156</f>
        <v>1</v>
      </c>
      <c r="M156" s="465">
        <f t="shared" ref="M156:M167" si="49">H156</f>
        <v>0.5025136071712456</v>
      </c>
      <c r="N156" s="428">
        <f t="shared" ref="N156:N167" si="50">K156*L156*M156</f>
        <v>0</v>
      </c>
      <c r="S156" s="422"/>
    </row>
    <row r="157" spans="1:19">
      <c r="A157" s="858">
        <f t="shared" si="40"/>
        <v>143</v>
      </c>
      <c r="B157" s="1051">
        <v>39103</v>
      </c>
      <c r="C157" s="88" t="s">
        <v>787</v>
      </c>
      <c r="D157" s="321">
        <f>'[3]Gross Plant'!$AF91</f>
        <v>0</v>
      </c>
      <c r="E157" s="428">
        <v>0</v>
      </c>
      <c r="F157" s="428">
        <f t="shared" si="41"/>
        <v>0</v>
      </c>
      <c r="G157" s="464">
        <f t="shared" si="42"/>
        <v>1</v>
      </c>
      <c r="H157" s="465">
        <f t="shared" si="43"/>
        <v>0.5025136071712456</v>
      </c>
      <c r="I157" s="428">
        <f t="shared" si="44"/>
        <v>0</v>
      </c>
      <c r="K157" s="321">
        <f>'[3]Gross Plant'!$D91</f>
        <v>0</v>
      </c>
      <c r="L157" s="464">
        <f t="shared" si="48"/>
        <v>1</v>
      </c>
      <c r="M157" s="465">
        <f t="shared" si="49"/>
        <v>0.5025136071712456</v>
      </c>
      <c r="N157" s="428">
        <f t="shared" si="50"/>
        <v>0</v>
      </c>
      <c r="S157" s="422"/>
    </row>
    <row r="158" spans="1:19">
      <c r="A158" s="858">
        <f t="shared" si="40"/>
        <v>144</v>
      </c>
      <c r="B158" s="1051">
        <v>39200</v>
      </c>
      <c r="C158" s="88" t="s">
        <v>1085</v>
      </c>
      <c r="D158" s="321">
        <f>'[3]Gross Plant'!$AF92</f>
        <v>27284.69</v>
      </c>
      <c r="E158" s="428">
        <v>0</v>
      </c>
      <c r="F158" s="428">
        <f t="shared" si="41"/>
        <v>27284.69</v>
      </c>
      <c r="G158" s="464">
        <f t="shared" si="42"/>
        <v>1</v>
      </c>
      <c r="H158" s="465">
        <f t="shared" si="43"/>
        <v>0.5025136071712456</v>
      </c>
      <c r="I158" s="428">
        <f t="shared" si="44"/>
        <v>13710.927992449213</v>
      </c>
      <c r="K158" s="321">
        <f>'[3]Gross Plant'!$D92</f>
        <v>27284.69</v>
      </c>
      <c r="L158" s="464">
        <f t="shared" si="48"/>
        <v>1</v>
      </c>
      <c r="M158" s="465">
        <f t="shared" si="49"/>
        <v>0.5025136071712456</v>
      </c>
      <c r="N158" s="428">
        <f t="shared" si="50"/>
        <v>13710.927992449213</v>
      </c>
      <c r="S158" s="422"/>
    </row>
    <row r="159" spans="1:19">
      <c r="A159" s="858">
        <f t="shared" si="40"/>
        <v>145</v>
      </c>
      <c r="B159" s="1051">
        <v>39300</v>
      </c>
      <c r="C159" s="88" t="s">
        <v>655</v>
      </c>
      <c r="D159" s="321">
        <f>'[3]Gross Plant'!$AF93</f>
        <v>0</v>
      </c>
      <c r="E159" s="428">
        <v>0</v>
      </c>
      <c r="F159" s="428">
        <f t="shared" si="41"/>
        <v>0</v>
      </c>
      <c r="G159" s="464">
        <f t="shared" si="42"/>
        <v>1</v>
      </c>
      <c r="H159" s="465">
        <f t="shared" si="43"/>
        <v>0.5025136071712456</v>
      </c>
      <c r="I159" s="428">
        <f t="shared" si="44"/>
        <v>0</v>
      </c>
      <c r="K159" s="321">
        <f>'[3]Gross Plant'!$D93</f>
        <v>0</v>
      </c>
      <c r="L159" s="464">
        <f t="shared" si="48"/>
        <v>1</v>
      </c>
      <c r="M159" s="465">
        <f t="shared" si="49"/>
        <v>0.5025136071712456</v>
      </c>
      <c r="N159" s="428">
        <f t="shared" si="50"/>
        <v>0</v>
      </c>
      <c r="S159" s="422"/>
    </row>
    <row r="160" spans="1:19">
      <c r="A160" s="858">
        <f t="shared" si="40"/>
        <v>146</v>
      </c>
      <c r="B160" s="1051">
        <v>39400</v>
      </c>
      <c r="C160" s="88" t="s">
        <v>1044</v>
      </c>
      <c r="D160" s="321">
        <f>'[3]Gross Plant'!$AF94</f>
        <v>186174.43620427285</v>
      </c>
      <c r="E160" s="428">
        <v>0</v>
      </c>
      <c r="F160" s="428">
        <f t="shared" si="41"/>
        <v>186174.43620427285</v>
      </c>
      <c r="G160" s="464">
        <f t="shared" si="42"/>
        <v>1</v>
      </c>
      <c r="H160" s="465">
        <f t="shared" si="43"/>
        <v>0.5025136071712456</v>
      </c>
      <c r="I160" s="428">
        <f t="shared" si="44"/>
        <v>93555.187500082087</v>
      </c>
      <c r="K160" s="321">
        <f>'[3]Gross Plant'!$D94</f>
        <v>181813.78396400355</v>
      </c>
      <c r="L160" s="464">
        <f t="shared" si="48"/>
        <v>1</v>
      </c>
      <c r="M160" s="465">
        <f t="shared" si="49"/>
        <v>0.5025136071712456</v>
      </c>
      <c r="N160" s="428">
        <f t="shared" si="50"/>
        <v>91363.900413204989</v>
      </c>
      <c r="S160" s="422"/>
    </row>
    <row r="161" spans="1:19">
      <c r="A161" s="858">
        <f t="shared" si="40"/>
        <v>147</v>
      </c>
      <c r="B161" s="1051">
        <v>39600</v>
      </c>
      <c r="C161" s="88" t="s">
        <v>547</v>
      </c>
      <c r="D161" s="321">
        <f>'[3]Gross Plant'!$AF95</f>
        <v>20515.689999999999</v>
      </c>
      <c r="E161" s="428">
        <v>0</v>
      </c>
      <c r="F161" s="428">
        <f t="shared" si="41"/>
        <v>20515.689999999999</v>
      </c>
      <c r="G161" s="464">
        <f t="shared" si="42"/>
        <v>1</v>
      </c>
      <c r="H161" s="465">
        <f t="shared" si="43"/>
        <v>0.5025136071712456</v>
      </c>
      <c r="I161" s="428">
        <f t="shared" si="44"/>
        <v>10309.41338550705</v>
      </c>
      <c r="K161" s="321">
        <f>'[3]Gross Plant'!$D95</f>
        <v>20515.689999999999</v>
      </c>
      <c r="L161" s="464">
        <f t="shared" si="48"/>
        <v>1</v>
      </c>
      <c r="M161" s="465">
        <f t="shared" si="49"/>
        <v>0.5025136071712456</v>
      </c>
      <c r="N161" s="428">
        <f t="shared" si="50"/>
        <v>10309.41338550705</v>
      </c>
      <c r="S161" s="422"/>
    </row>
    <row r="162" spans="1:19">
      <c r="A162" s="858">
        <f t="shared" si="40"/>
        <v>148</v>
      </c>
      <c r="B162" s="1051">
        <v>39700</v>
      </c>
      <c r="C162" s="88" t="s">
        <v>445</v>
      </c>
      <c r="D162" s="321">
        <f>'[3]Gross Plant'!$AF96</f>
        <v>66532.643795727156</v>
      </c>
      <c r="E162" s="428">
        <v>0</v>
      </c>
      <c r="F162" s="428">
        <f t="shared" si="41"/>
        <v>66532.643795727156</v>
      </c>
      <c r="G162" s="464">
        <f t="shared" si="42"/>
        <v>1</v>
      </c>
      <c r="H162" s="465">
        <f t="shared" si="43"/>
        <v>0.5025136071712456</v>
      </c>
      <c r="I162" s="428">
        <f t="shared" si="44"/>
        <v>33433.558828430447</v>
      </c>
      <c r="K162" s="321">
        <f>'[3]Gross Plant'!$D96</f>
        <v>54266.948343688746</v>
      </c>
      <c r="L162" s="464">
        <f t="shared" si="48"/>
        <v>1</v>
      </c>
      <c r="M162" s="465">
        <f t="shared" si="49"/>
        <v>0.5025136071712456</v>
      </c>
      <c r="N162" s="428">
        <f t="shared" si="50"/>
        <v>27269.879962362684</v>
      </c>
      <c r="S162" s="422"/>
    </row>
    <row r="163" spans="1:19">
      <c r="A163" s="858">
        <f t="shared" si="40"/>
        <v>149</v>
      </c>
      <c r="B163" s="1051">
        <v>39701</v>
      </c>
      <c r="C163" s="88" t="s">
        <v>1530</v>
      </c>
      <c r="D163" s="321">
        <f>'[3]Gross Plant'!$AF97</f>
        <v>0</v>
      </c>
      <c r="E163" s="428">
        <v>0</v>
      </c>
      <c r="F163" s="428">
        <f t="shared" si="41"/>
        <v>0</v>
      </c>
      <c r="G163" s="464">
        <f t="shared" si="42"/>
        <v>1</v>
      </c>
      <c r="H163" s="465">
        <f t="shared" si="43"/>
        <v>0.5025136071712456</v>
      </c>
      <c r="I163" s="428">
        <f t="shared" si="44"/>
        <v>0</v>
      </c>
      <c r="K163" s="321">
        <f>'[3]Gross Plant'!$D97</f>
        <v>0</v>
      </c>
      <c r="L163" s="464">
        <f t="shared" si="48"/>
        <v>1</v>
      </c>
      <c r="M163" s="465">
        <f t="shared" si="49"/>
        <v>0.5025136071712456</v>
      </c>
      <c r="N163" s="428">
        <f t="shared" si="50"/>
        <v>0</v>
      </c>
      <c r="S163" s="422"/>
    </row>
    <row r="164" spans="1:19">
      <c r="A164" s="858">
        <f t="shared" si="40"/>
        <v>150</v>
      </c>
      <c r="B164" s="1051">
        <v>39702</v>
      </c>
      <c r="C164" s="88" t="s">
        <v>1530</v>
      </c>
      <c r="D164" s="321">
        <f>'[3]Gross Plant'!$AF98</f>
        <v>0</v>
      </c>
      <c r="E164" s="428">
        <v>0</v>
      </c>
      <c r="F164" s="428">
        <f t="shared" si="41"/>
        <v>0</v>
      </c>
      <c r="G164" s="464">
        <f t="shared" si="42"/>
        <v>1</v>
      </c>
      <c r="H164" s="465">
        <f t="shared" si="43"/>
        <v>0.5025136071712456</v>
      </c>
      <c r="I164" s="428">
        <f t="shared" si="44"/>
        <v>0</v>
      </c>
      <c r="K164" s="321">
        <f>'[3]Gross Plant'!$D98</f>
        <v>0</v>
      </c>
      <c r="L164" s="464">
        <f t="shared" si="48"/>
        <v>1</v>
      </c>
      <c r="M164" s="465">
        <f t="shared" si="49"/>
        <v>0.5025136071712456</v>
      </c>
      <c r="N164" s="428">
        <f t="shared" si="50"/>
        <v>0</v>
      </c>
      <c r="S164" s="422"/>
    </row>
    <row r="165" spans="1:19">
      <c r="A165" s="858">
        <f t="shared" si="40"/>
        <v>151</v>
      </c>
      <c r="B165" s="1051">
        <v>39800</v>
      </c>
      <c r="C165" s="88" t="s">
        <v>656</v>
      </c>
      <c r="D165" s="321">
        <f>'[3]Gross Plant'!$AF99</f>
        <v>814166.88</v>
      </c>
      <c r="E165" s="428">
        <v>0</v>
      </c>
      <c r="F165" s="428">
        <f t="shared" si="41"/>
        <v>814166.88</v>
      </c>
      <c r="G165" s="464">
        <f t="shared" si="42"/>
        <v>1</v>
      </c>
      <c r="H165" s="465">
        <f t="shared" si="43"/>
        <v>0.5025136071712456</v>
      </c>
      <c r="I165" s="428">
        <f t="shared" si="44"/>
        <v>409129.93570815865</v>
      </c>
      <c r="K165" s="321">
        <f>'[3]Gross Plant'!$D99</f>
        <v>814166.88000000012</v>
      </c>
      <c r="L165" s="464">
        <f t="shared" si="48"/>
        <v>1</v>
      </c>
      <c r="M165" s="465">
        <f t="shared" si="49"/>
        <v>0.5025136071712456</v>
      </c>
      <c r="N165" s="428">
        <f t="shared" si="50"/>
        <v>409129.93570815871</v>
      </c>
      <c r="S165" s="422"/>
    </row>
    <row r="166" spans="1:19">
      <c r="A166" s="858">
        <f t="shared" si="40"/>
        <v>152</v>
      </c>
      <c r="B166" s="1051">
        <v>39900</v>
      </c>
      <c r="C166" s="88" t="s">
        <v>1162</v>
      </c>
      <c r="D166" s="321">
        <f>'[3]Gross Plant'!$AF100</f>
        <v>0</v>
      </c>
      <c r="E166" s="428">
        <v>0</v>
      </c>
      <c r="F166" s="428">
        <f t="shared" si="41"/>
        <v>0</v>
      </c>
      <c r="G166" s="464">
        <f t="shared" si="42"/>
        <v>1</v>
      </c>
      <c r="H166" s="465">
        <f t="shared" si="43"/>
        <v>0.5025136071712456</v>
      </c>
      <c r="I166" s="428">
        <f t="shared" si="44"/>
        <v>0</v>
      </c>
      <c r="K166" s="321">
        <f>'[3]Gross Plant'!$D100</f>
        <v>0</v>
      </c>
      <c r="L166" s="464">
        <f t="shared" si="48"/>
        <v>1</v>
      </c>
      <c r="M166" s="465">
        <f t="shared" si="49"/>
        <v>0.5025136071712456</v>
      </c>
      <c r="N166" s="428">
        <f t="shared" si="50"/>
        <v>0</v>
      </c>
      <c r="S166" s="422"/>
    </row>
    <row r="167" spans="1:19">
      <c r="A167" s="858">
        <f t="shared" si="40"/>
        <v>153</v>
      </c>
      <c r="B167" s="1051">
        <v>39901</v>
      </c>
      <c r="C167" s="88" t="s">
        <v>479</v>
      </c>
      <c r="D167" s="321">
        <f>'[3]Gross Plant'!$AF101</f>
        <v>0</v>
      </c>
      <c r="E167" s="428">
        <v>0</v>
      </c>
      <c r="F167" s="428">
        <f t="shared" si="41"/>
        <v>0</v>
      </c>
      <c r="G167" s="464">
        <f t="shared" si="42"/>
        <v>1</v>
      </c>
      <c r="H167" s="465">
        <f t="shared" si="43"/>
        <v>0.5025136071712456</v>
      </c>
      <c r="I167" s="428">
        <f t="shared" si="44"/>
        <v>0</v>
      </c>
      <c r="K167" s="321">
        <f>'[3]Gross Plant'!$D101</f>
        <v>0</v>
      </c>
      <c r="L167" s="464">
        <f t="shared" si="48"/>
        <v>1</v>
      </c>
      <c r="M167" s="465">
        <f t="shared" si="49"/>
        <v>0.5025136071712456</v>
      </c>
      <c r="N167" s="428">
        <f t="shared" si="50"/>
        <v>0</v>
      </c>
      <c r="S167" s="422"/>
    </row>
    <row r="168" spans="1:19">
      <c r="A168" s="858">
        <f t="shared" si="40"/>
        <v>154</v>
      </c>
      <c r="B168" s="1051">
        <v>39902</v>
      </c>
      <c r="C168" s="88" t="s">
        <v>968</v>
      </c>
      <c r="D168" s="321">
        <f>'[3]Gross Plant'!$AF102</f>
        <v>0</v>
      </c>
      <c r="E168" s="428">
        <v>0</v>
      </c>
      <c r="F168" s="428">
        <f t="shared" si="41"/>
        <v>0</v>
      </c>
      <c r="G168" s="464">
        <f t="shared" si="42"/>
        <v>1</v>
      </c>
      <c r="H168" s="465">
        <f t="shared" si="43"/>
        <v>0.5025136071712456</v>
      </c>
      <c r="I168" s="428">
        <f t="shared" si="44"/>
        <v>0</v>
      </c>
      <c r="K168" s="321">
        <f>'[3]Gross Plant'!$D102</f>
        <v>0</v>
      </c>
      <c r="L168" s="464">
        <f t="shared" si="45"/>
        <v>1</v>
      </c>
      <c r="M168" s="465">
        <f t="shared" si="46"/>
        <v>0.5025136071712456</v>
      </c>
      <c r="N168" s="428">
        <f t="shared" si="47"/>
        <v>0</v>
      </c>
      <c r="S168" s="422"/>
    </row>
    <row r="169" spans="1:19">
      <c r="A169" s="858">
        <f t="shared" si="40"/>
        <v>155</v>
      </c>
      <c r="B169" s="1051">
        <v>39903</v>
      </c>
      <c r="C169" s="88" t="s">
        <v>1011</v>
      </c>
      <c r="D169" s="321">
        <f>'[3]Gross Plant'!$AF103</f>
        <v>0</v>
      </c>
      <c r="E169" s="428">
        <v>0</v>
      </c>
      <c r="F169" s="428">
        <f t="shared" si="41"/>
        <v>0</v>
      </c>
      <c r="G169" s="464">
        <f t="shared" si="42"/>
        <v>1</v>
      </c>
      <c r="H169" s="465">
        <f t="shared" si="43"/>
        <v>0.5025136071712456</v>
      </c>
      <c r="I169" s="428">
        <f t="shared" si="44"/>
        <v>0</v>
      </c>
      <c r="K169" s="321">
        <f>'[3]Gross Plant'!$D103</f>
        <v>0</v>
      </c>
      <c r="L169" s="464">
        <f t="shared" si="45"/>
        <v>1</v>
      </c>
      <c r="M169" s="465">
        <f t="shared" si="46"/>
        <v>0.5025136071712456</v>
      </c>
      <c r="N169" s="428">
        <f t="shared" si="47"/>
        <v>0</v>
      </c>
      <c r="S169" s="422"/>
    </row>
    <row r="170" spans="1:19">
      <c r="A170" s="858">
        <f t="shared" si="40"/>
        <v>156</v>
      </c>
      <c r="B170" s="1051">
        <v>39906</v>
      </c>
      <c r="C170" s="88" t="s">
        <v>456</v>
      </c>
      <c r="D170" s="321">
        <f>'[3]Gross Plant'!$AF104</f>
        <v>74189.619999999966</v>
      </c>
      <c r="E170" s="428">
        <v>0</v>
      </c>
      <c r="F170" s="428">
        <f t="shared" si="41"/>
        <v>74189.619999999966</v>
      </c>
      <c r="G170" s="464">
        <f t="shared" si="42"/>
        <v>1</v>
      </c>
      <c r="H170" s="465">
        <f t="shared" si="43"/>
        <v>0.5025136071712456</v>
      </c>
      <c r="I170" s="428">
        <f t="shared" si="44"/>
        <v>37281.293560863967</v>
      </c>
      <c r="K170" s="321">
        <f>'[3]Gross Plant'!$D104</f>
        <v>74189.619999999981</v>
      </c>
      <c r="L170" s="464">
        <f t="shared" si="45"/>
        <v>1</v>
      </c>
      <c r="M170" s="465">
        <f t="shared" si="46"/>
        <v>0.5025136071712456</v>
      </c>
      <c r="N170" s="428">
        <f t="shared" si="47"/>
        <v>37281.293560863975</v>
      </c>
      <c r="S170" s="422"/>
    </row>
    <row r="171" spans="1:19">
      <c r="A171" s="858">
        <f t="shared" si="40"/>
        <v>157</v>
      </c>
      <c r="B171" s="1051">
        <v>39907</v>
      </c>
      <c r="C171" s="88" t="s">
        <v>510</v>
      </c>
      <c r="D171" s="321">
        <f>'[3]Gross Plant'!$AF105</f>
        <v>35063.769999999997</v>
      </c>
      <c r="E171" s="428">
        <v>0</v>
      </c>
      <c r="F171" s="428">
        <f t="shared" si="41"/>
        <v>35063.769999999997</v>
      </c>
      <c r="G171" s="464">
        <f t="shared" si="42"/>
        <v>1</v>
      </c>
      <c r="H171" s="465">
        <f t="shared" si="43"/>
        <v>0.5025136071712456</v>
      </c>
      <c r="I171" s="428">
        <f t="shared" si="44"/>
        <v>17620.021543722905</v>
      </c>
      <c r="K171" s="321">
        <f>'[3]Gross Plant'!$D105</f>
        <v>35063.770000000004</v>
      </c>
      <c r="L171" s="464">
        <f t="shared" si="45"/>
        <v>1</v>
      </c>
      <c r="M171" s="465">
        <f t="shared" si="46"/>
        <v>0.5025136071712456</v>
      </c>
      <c r="N171" s="428">
        <f t="shared" si="47"/>
        <v>17620.021543722909</v>
      </c>
      <c r="S171" s="422"/>
    </row>
    <row r="172" spans="1:19">
      <c r="A172" s="858">
        <f t="shared" si="40"/>
        <v>158</v>
      </c>
      <c r="B172" s="1051">
        <v>39908</v>
      </c>
      <c r="C172" s="88" t="s">
        <v>180</v>
      </c>
      <c r="D172" s="321">
        <f>'[3]Gross Plant'!$AF106</f>
        <v>828509.36</v>
      </c>
      <c r="E172" s="428">
        <v>0</v>
      </c>
      <c r="F172" s="428">
        <f t="shared" si="41"/>
        <v>828509.36</v>
      </c>
      <c r="G172" s="464">
        <f t="shared" si="42"/>
        <v>1</v>
      </c>
      <c r="H172" s="465">
        <f t="shared" si="43"/>
        <v>0.5025136071712456</v>
      </c>
      <c r="I172" s="428">
        <f t="shared" si="44"/>
        <v>416337.22706874012</v>
      </c>
      <c r="K172" s="321">
        <f>'[3]Gross Plant'!$D106</f>
        <v>828509.36</v>
      </c>
      <c r="L172" s="464">
        <f t="shared" si="45"/>
        <v>1</v>
      </c>
      <c r="M172" s="465">
        <f t="shared" si="46"/>
        <v>0.5025136071712456</v>
      </c>
      <c r="N172" s="428">
        <f t="shared" si="47"/>
        <v>416337.22706874012</v>
      </c>
      <c r="S172" s="422"/>
    </row>
    <row r="173" spans="1:19">
      <c r="A173" s="858">
        <f t="shared" si="40"/>
        <v>159</v>
      </c>
      <c r="B173" s="1047"/>
      <c r="C173" s="88"/>
      <c r="D173" s="618"/>
      <c r="E173" s="618"/>
      <c r="F173" s="618"/>
      <c r="I173" s="618"/>
      <c r="K173" s="618"/>
      <c r="N173" s="618"/>
    </row>
    <row r="174" spans="1:19">
      <c r="A174" s="858">
        <f t="shared" si="40"/>
        <v>160</v>
      </c>
      <c r="B174" s="1047"/>
      <c r="C174" s="88" t="s">
        <v>4</v>
      </c>
      <c r="D174" s="359">
        <f>SUM(D152:D173)</f>
        <v>2327390.73</v>
      </c>
      <c r="E174" s="345">
        <f>SUM(E152:E173)</f>
        <v>0</v>
      </c>
      <c r="F174" s="359">
        <f>SUM(F152:F173)</f>
        <v>2327390.73</v>
      </c>
      <c r="I174" s="359">
        <f>SUM(I152:I173)</f>
        <v>1169545.5110292186</v>
      </c>
      <c r="K174" s="359">
        <f>SUM(K152:K173)</f>
        <v>2310764.3823076924</v>
      </c>
      <c r="N174" s="359">
        <f>SUM(N152:N173)</f>
        <v>1161190.5450762736</v>
      </c>
    </row>
    <row r="175" spans="1:19">
      <c r="A175" s="858">
        <f t="shared" si="40"/>
        <v>161</v>
      </c>
      <c r="B175" s="1047"/>
      <c r="C175" s="88"/>
    </row>
    <row r="176" spans="1:19" ht="15.75" thickBot="1">
      <c r="A176" s="858">
        <f t="shared" si="40"/>
        <v>162</v>
      </c>
      <c r="B176" s="1047"/>
      <c r="C176" s="232" t="s">
        <v>1337</v>
      </c>
      <c r="D176" s="1016">
        <f>D124+D149+D174</f>
        <v>3622251.6799999997</v>
      </c>
      <c r="E176" s="328">
        <f>E124+E149+E174</f>
        <v>0</v>
      </c>
      <c r="F176" s="1016">
        <f>F124+F149+F174</f>
        <v>3622251.6799999997</v>
      </c>
      <c r="I176" s="1016">
        <f>I124+I149+I174</f>
        <v>1820230.7577989046</v>
      </c>
      <c r="K176" s="1016">
        <f>K124+K149+K174</f>
        <v>3605625.3323076926</v>
      </c>
      <c r="N176" s="1016">
        <f>N124+N149+N174</f>
        <v>1811875.7918459596</v>
      </c>
    </row>
    <row r="177" spans="1:19" ht="15.75" thickTop="1">
      <c r="A177" s="858">
        <f t="shared" si="40"/>
        <v>163</v>
      </c>
      <c r="B177" s="1047"/>
      <c r="C177" s="88"/>
      <c r="D177" s="321"/>
      <c r="E177" s="327"/>
      <c r="F177" s="327"/>
      <c r="I177" s="327"/>
    </row>
    <row r="178" spans="1:19">
      <c r="A178" s="858">
        <f t="shared" si="40"/>
        <v>164</v>
      </c>
      <c r="B178" s="1047"/>
      <c r="C178" s="81" t="s">
        <v>756</v>
      </c>
      <c r="D178" s="321">
        <f>'[3]Gross Plant'!$AF$212</f>
        <v>-10502.07</v>
      </c>
      <c r="E178" s="327">
        <v>0</v>
      </c>
      <c r="F178" s="327">
        <f>D178+E178</f>
        <v>-10502.07</v>
      </c>
      <c r="G178" s="464">
        <f>$G$16</f>
        <v>1</v>
      </c>
      <c r="H178" s="465">
        <f>$H$121</f>
        <v>0.5025136071712456</v>
      </c>
      <c r="I178" s="327">
        <f>F178*G178*H178</f>
        <v>-5277.4330784649228</v>
      </c>
      <c r="K178" s="321">
        <f>'[3]Gross Plant'!$D$212</f>
        <v>-10502.070000000003</v>
      </c>
      <c r="L178" s="464">
        <f>G178</f>
        <v>1</v>
      </c>
      <c r="M178" s="465">
        <f>H178</f>
        <v>0.5025136071712456</v>
      </c>
      <c r="N178" s="327">
        <f>K178*L178*M178</f>
        <v>-5277.4330784649246</v>
      </c>
    </row>
    <row r="179" spans="1:19">
      <c r="A179" s="858">
        <f t="shared" si="40"/>
        <v>165</v>
      </c>
      <c r="B179" s="1047"/>
    </row>
    <row r="180" spans="1:19" ht="15.75">
      <c r="A180" s="858">
        <f t="shared" si="40"/>
        <v>166</v>
      </c>
      <c r="B180" s="1050" t="s">
        <v>8</v>
      </c>
    </row>
    <row r="181" spans="1:19">
      <c r="A181" s="858">
        <f t="shared" si="40"/>
        <v>167</v>
      </c>
      <c r="B181" s="1047"/>
    </row>
    <row r="182" spans="1:19">
      <c r="A182" s="858">
        <f t="shared" si="40"/>
        <v>168</v>
      </c>
      <c r="B182" s="1047"/>
      <c r="C182" s="619" t="s">
        <v>305</v>
      </c>
    </row>
    <row r="183" spans="1:19">
      <c r="A183" s="858">
        <f t="shared" si="40"/>
        <v>169</v>
      </c>
      <c r="B183" s="1053">
        <v>39000</v>
      </c>
      <c r="C183" s="232" t="s">
        <v>863</v>
      </c>
      <c r="D183" s="321">
        <f>'[3]Gross Plant'!$AF7</f>
        <v>1411508.0726851968</v>
      </c>
      <c r="E183" s="345">
        <v>0</v>
      </c>
      <c r="F183" s="345">
        <f t="shared" ref="F183" si="51">D183+E183</f>
        <v>1411508.0726851968</v>
      </c>
      <c r="G183" s="465">
        <f>Allocation!$C$14</f>
        <v>0.10349999999999999</v>
      </c>
      <c r="H183" s="465">
        <f>Allocation!$D$14</f>
        <v>0.5025136071712456</v>
      </c>
      <c r="I183" s="345">
        <f t="shared" ref="I183:I220" si="52">F183*G183*H183</f>
        <v>73412.758361684391</v>
      </c>
      <c r="K183" s="321">
        <f>'[3]Gross Plant'!$D7</f>
        <v>1411473.2213790265</v>
      </c>
      <c r="L183" s="465">
        <f t="shared" ref="L183:L210" si="53">G183</f>
        <v>0.10349999999999999</v>
      </c>
      <c r="M183" s="465">
        <f t="shared" ref="M183:M195" si="54">H183</f>
        <v>0.5025136071712456</v>
      </c>
      <c r="N183" s="345">
        <f t="shared" ref="N183" si="55">K183*L183*M183</f>
        <v>73410.945739732051</v>
      </c>
      <c r="P183" s="660"/>
      <c r="S183" s="422"/>
    </row>
    <row r="184" spans="1:19">
      <c r="A184" s="858">
        <f t="shared" si="40"/>
        <v>170</v>
      </c>
      <c r="B184" s="1053">
        <v>39005</v>
      </c>
      <c r="C184" s="232" t="s">
        <v>1206</v>
      </c>
      <c r="D184" s="321">
        <f>'[3]Gross Plant'!$AF8</f>
        <v>9133014.5899999999</v>
      </c>
      <c r="E184" s="621">
        <v>0</v>
      </c>
      <c r="F184" s="428">
        <f>D184+E184</f>
        <v>9133014.5899999999</v>
      </c>
      <c r="G184" s="465">
        <v>1</v>
      </c>
      <c r="H184" s="465">
        <f>Allocation!$E$20</f>
        <v>1.550753E-2</v>
      </c>
      <c r="I184" s="428">
        <f>F184*G184*H184</f>
        <v>141630.49774486269</v>
      </c>
      <c r="K184" s="321">
        <f>'[3]Gross Plant'!$D8</f>
        <v>9133014.5900000017</v>
      </c>
      <c r="L184" s="465">
        <f>G184</f>
        <v>1</v>
      </c>
      <c r="M184" s="465">
        <f t="shared" si="54"/>
        <v>1.550753E-2</v>
      </c>
      <c r="N184" s="428">
        <f>K184*L184*M184</f>
        <v>141630.49774486272</v>
      </c>
      <c r="P184" s="660"/>
      <c r="S184" s="422"/>
    </row>
    <row r="185" spans="1:19">
      <c r="A185" s="858">
        <f t="shared" si="40"/>
        <v>171</v>
      </c>
      <c r="B185" s="1053">
        <v>39009</v>
      </c>
      <c r="C185" s="232" t="s">
        <v>1045</v>
      </c>
      <c r="D185" s="321">
        <f>'[3]Gross Plant'!$AF9</f>
        <v>9981070.070771154</v>
      </c>
      <c r="E185" s="621">
        <v>0</v>
      </c>
      <c r="F185" s="428">
        <f t="shared" ref="F185:F220" si="56">D185+E185</f>
        <v>9981070.070771154</v>
      </c>
      <c r="G185" s="465">
        <f t="shared" ref="G185:G204" si="57">$G$183</f>
        <v>0.10349999999999999</v>
      </c>
      <c r="H185" s="465">
        <f>$H$183</f>
        <v>0.5025136071712456</v>
      </c>
      <c r="I185" s="428">
        <f t="shared" si="52"/>
        <v>519117.03480563982</v>
      </c>
      <c r="K185" s="321">
        <f>'[3]Gross Plant'!$D9</f>
        <v>9784879.1724686306</v>
      </c>
      <c r="L185" s="465">
        <f t="shared" si="53"/>
        <v>0.10349999999999999</v>
      </c>
      <c r="M185" s="465">
        <f t="shared" si="54"/>
        <v>0.5025136071712456</v>
      </c>
      <c r="N185" s="428">
        <f t="shared" ref="N185:N220" si="58">K185*L185*M185</f>
        <v>508913.11511962238</v>
      </c>
      <c r="P185" s="660"/>
      <c r="S185" s="422"/>
    </row>
    <row r="186" spans="1:19">
      <c r="A186" s="858">
        <f t="shared" si="40"/>
        <v>172</v>
      </c>
      <c r="B186" s="1053">
        <v>39020</v>
      </c>
      <c r="C186" s="232" t="s">
        <v>1534</v>
      </c>
      <c r="D186" s="321">
        <f>'[3]Gross Plant'!$AF10</f>
        <v>0</v>
      </c>
      <c r="E186" s="621">
        <v>0</v>
      </c>
      <c r="F186" s="428">
        <f t="shared" si="56"/>
        <v>0</v>
      </c>
      <c r="G186" s="465">
        <v>1</v>
      </c>
      <c r="H186" s="465">
        <f>Allocation!E22</f>
        <v>6.437198999999999E-2</v>
      </c>
      <c r="I186" s="428">
        <f t="shared" si="52"/>
        <v>0</v>
      </c>
      <c r="K186" s="321">
        <f>'[3]Gross Plant'!$D10</f>
        <v>0</v>
      </c>
      <c r="L186" s="465">
        <v>1</v>
      </c>
      <c r="M186" s="465">
        <f t="shared" si="54"/>
        <v>6.437198999999999E-2</v>
      </c>
      <c r="N186" s="428">
        <f t="shared" si="58"/>
        <v>0</v>
      </c>
      <c r="P186" s="660"/>
      <c r="S186" s="422"/>
    </row>
    <row r="187" spans="1:19">
      <c r="A187" s="858">
        <f t="shared" si="40"/>
        <v>173</v>
      </c>
      <c r="B187" s="1053">
        <v>39029</v>
      </c>
      <c r="C187" s="232" t="s">
        <v>1535</v>
      </c>
      <c r="D187" s="321">
        <f>'[3]Gross Plant'!$AF11</f>
        <v>0</v>
      </c>
      <c r="E187" s="621">
        <v>0</v>
      </c>
      <c r="F187" s="428">
        <f t="shared" si="56"/>
        <v>0</v>
      </c>
      <c r="G187" s="465">
        <v>1</v>
      </c>
      <c r="H187" s="465">
        <f>H186</f>
        <v>6.437198999999999E-2</v>
      </c>
      <c r="I187" s="428">
        <f t="shared" si="52"/>
        <v>0</v>
      </c>
      <c r="K187" s="321">
        <f>'[3]Gross Plant'!$D11</f>
        <v>0</v>
      </c>
      <c r="L187" s="465">
        <v>1</v>
      </c>
      <c r="M187" s="465">
        <f t="shared" si="54"/>
        <v>6.437198999999999E-2</v>
      </c>
      <c r="N187" s="428">
        <f t="shared" si="58"/>
        <v>0</v>
      </c>
      <c r="P187" s="660"/>
      <c r="S187" s="422"/>
    </row>
    <row r="188" spans="1:19">
      <c r="A188" s="858">
        <f t="shared" si="40"/>
        <v>174</v>
      </c>
      <c r="B188" s="1053">
        <v>39100</v>
      </c>
      <c r="C188" s="232" t="s">
        <v>786</v>
      </c>
      <c r="D188" s="321">
        <f>'[3]Gross Plant'!$AF12</f>
        <v>5149733.3547435291</v>
      </c>
      <c r="E188" s="621">
        <v>0</v>
      </c>
      <c r="F188" s="428">
        <f t="shared" si="56"/>
        <v>5149733.3547435291</v>
      </c>
      <c r="G188" s="465">
        <f t="shared" si="57"/>
        <v>0.10349999999999999</v>
      </c>
      <c r="H188" s="465">
        <f>$H$183</f>
        <v>0.5025136071712456</v>
      </c>
      <c r="I188" s="428">
        <f t="shared" si="52"/>
        <v>267838.4472004429</v>
      </c>
      <c r="K188" s="321">
        <f>'[3]Gross Plant'!$D12</f>
        <v>5126892.7352932561</v>
      </c>
      <c r="L188" s="465">
        <f t="shared" si="53"/>
        <v>0.10349999999999999</v>
      </c>
      <c r="M188" s="465">
        <f t="shared" si="54"/>
        <v>0.5025136071712456</v>
      </c>
      <c r="N188" s="428">
        <f t="shared" si="58"/>
        <v>266650.50296619971</v>
      </c>
      <c r="P188" s="660"/>
      <c r="S188" s="422"/>
    </row>
    <row r="189" spans="1:19">
      <c r="A189" s="858">
        <f t="shared" si="40"/>
        <v>175</v>
      </c>
      <c r="B189" s="1053">
        <v>39102</v>
      </c>
      <c r="C189" s="232" t="s">
        <v>532</v>
      </c>
      <c r="D189" s="321">
        <f>'[3]Gross Plant'!$AF13</f>
        <v>0</v>
      </c>
      <c r="E189" s="621">
        <v>0</v>
      </c>
      <c r="F189" s="428">
        <f t="shared" si="56"/>
        <v>0</v>
      </c>
      <c r="G189" s="465">
        <f t="shared" si="57"/>
        <v>0.10349999999999999</v>
      </c>
      <c r="H189" s="465">
        <f>$H$183</f>
        <v>0.5025136071712456</v>
      </c>
      <c r="I189" s="428">
        <f t="shared" si="52"/>
        <v>0</v>
      </c>
      <c r="K189" s="321">
        <f>'[3]Gross Plant'!$D13</f>
        <v>0</v>
      </c>
      <c r="L189" s="465">
        <f t="shared" si="53"/>
        <v>0.10349999999999999</v>
      </c>
      <c r="M189" s="465">
        <f t="shared" si="54"/>
        <v>0.5025136071712456</v>
      </c>
      <c r="N189" s="428">
        <f t="shared" si="58"/>
        <v>0</v>
      </c>
      <c r="P189" s="660"/>
      <c r="S189" s="422"/>
    </row>
    <row r="190" spans="1:19">
      <c r="A190" s="858">
        <f t="shared" si="40"/>
        <v>176</v>
      </c>
      <c r="B190" s="1053">
        <v>39103</v>
      </c>
      <c r="C190" s="232" t="s">
        <v>787</v>
      </c>
      <c r="D190" s="321">
        <f>'[3]Gross Plant'!$AF14</f>
        <v>0</v>
      </c>
      <c r="E190" s="621">
        <v>0</v>
      </c>
      <c r="F190" s="428">
        <f t="shared" si="56"/>
        <v>0</v>
      </c>
      <c r="G190" s="465">
        <f t="shared" si="57"/>
        <v>0.10349999999999999</v>
      </c>
      <c r="H190" s="465">
        <f>$H$183</f>
        <v>0.5025136071712456</v>
      </c>
      <c r="I190" s="428">
        <f t="shared" si="52"/>
        <v>0</v>
      </c>
      <c r="K190" s="321">
        <f>'[3]Gross Plant'!$D14</f>
        <v>0</v>
      </c>
      <c r="L190" s="465">
        <f t="shared" si="53"/>
        <v>0.10349999999999999</v>
      </c>
      <c r="M190" s="465">
        <f t="shared" si="54"/>
        <v>0.5025136071712456</v>
      </c>
      <c r="N190" s="428">
        <f t="shared" si="58"/>
        <v>0</v>
      </c>
      <c r="P190" s="660"/>
      <c r="S190" s="422"/>
    </row>
    <row r="191" spans="1:19">
      <c r="A191" s="858">
        <f t="shared" si="40"/>
        <v>177</v>
      </c>
      <c r="B191" s="1053">
        <v>39104</v>
      </c>
      <c r="C191" s="232" t="s">
        <v>1207</v>
      </c>
      <c r="D191" s="321">
        <f>'[3]Gross Plant'!$AF15</f>
        <v>63740.85</v>
      </c>
      <c r="E191" s="621">
        <v>0</v>
      </c>
      <c r="F191" s="428">
        <f t="shared" si="56"/>
        <v>63740.85</v>
      </c>
      <c r="G191" s="465">
        <v>1</v>
      </c>
      <c r="H191" s="465">
        <f>$H$184</f>
        <v>1.550753E-2</v>
      </c>
      <c r="I191" s="428">
        <f t="shared" si="52"/>
        <v>988.46314360049996</v>
      </c>
      <c r="K191" s="321">
        <f>'[3]Gross Plant'!$D15</f>
        <v>63740.849999999984</v>
      </c>
      <c r="L191" s="465">
        <f>G191</f>
        <v>1</v>
      </c>
      <c r="M191" s="465">
        <f t="shared" si="54"/>
        <v>1.550753E-2</v>
      </c>
      <c r="N191" s="428">
        <f t="shared" si="58"/>
        <v>988.46314360049973</v>
      </c>
      <c r="P191" s="660"/>
      <c r="S191" s="422"/>
    </row>
    <row r="192" spans="1:19">
      <c r="A192" s="858">
        <f t="shared" si="40"/>
        <v>178</v>
      </c>
      <c r="B192" s="1053">
        <v>39120</v>
      </c>
      <c r="C192" s="232" t="s">
        <v>1536</v>
      </c>
      <c r="D192" s="321">
        <f>'[3]Gross Plant'!$AF16</f>
        <v>263337.89</v>
      </c>
      <c r="E192" s="621">
        <v>0</v>
      </c>
      <c r="F192" s="428">
        <f t="shared" si="56"/>
        <v>263337.89</v>
      </c>
      <c r="G192" s="465">
        <v>1</v>
      </c>
      <c r="H192" s="465">
        <f>H187</f>
        <v>6.437198999999999E-2</v>
      </c>
      <c r="I192" s="428">
        <f t="shared" si="52"/>
        <v>16951.584021701099</v>
      </c>
      <c r="K192" s="321">
        <f>'[3]Gross Plant'!$D16</f>
        <v>263337.89000000007</v>
      </c>
      <c r="L192" s="465">
        <v>1</v>
      </c>
      <c r="M192" s="465">
        <f t="shared" si="54"/>
        <v>6.437198999999999E-2</v>
      </c>
      <c r="N192" s="428">
        <f t="shared" si="58"/>
        <v>16951.584021701103</v>
      </c>
      <c r="P192" s="660"/>
      <c r="S192" s="422"/>
    </row>
    <row r="193" spans="1:19">
      <c r="A193" s="858">
        <f t="shared" si="40"/>
        <v>179</v>
      </c>
      <c r="B193" s="1053">
        <v>39200</v>
      </c>
      <c r="C193" s="232" t="s">
        <v>1085</v>
      </c>
      <c r="D193" s="321">
        <f>'[3]Gross Plant'!$AF17</f>
        <v>7125.41</v>
      </c>
      <c r="E193" s="621">
        <v>0</v>
      </c>
      <c r="F193" s="428">
        <f t="shared" si="56"/>
        <v>7125.41</v>
      </c>
      <c r="G193" s="465">
        <f t="shared" si="57"/>
        <v>0.10349999999999999</v>
      </c>
      <c r="H193" s="465">
        <f t="shared" ref="H193:H215" si="59">$H$183</f>
        <v>0.5025136071712456</v>
      </c>
      <c r="I193" s="428">
        <f t="shared" si="52"/>
        <v>370.59370235326571</v>
      </c>
      <c r="K193" s="321">
        <f>'[3]Gross Plant'!$D17</f>
        <v>7125.4100000000026</v>
      </c>
      <c r="L193" s="465">
        <f t="shared" si="53"/>
        <v>0.10349999999999999</v>
      </c>
      <c r="M193" s="465">
        <f t="shared" si="54"/>
        <v>0.5025136071712456</v>
      </c>
      <c r="N193" s="428">
        <f t="shared" si="58"/>
        <v>370.59370235326583</v>
      </c>
      <c r="P193" s="660"/>
      <c r="S193" s="422"/>
    </row>
    <row r="194" spans="1:19">
      <c r="A194" s="858">
        <f t="shared" si="40"/>
        <v>180</v>
      </c>
      <c r="B194" s="1053">
        <v>39300</v>
      </c>
      <c r="C194" s="232" t="s">
        <v>655</v>
      </c>
      <c r="D194" s="321">
        <f>'[3]Gross Plant'!$AF18</f>
        <v>0</v>
      </c>
      <c r="E194" s="621">
        <v>0</v>
      </c>
      <c r="F194" s="428">
        <f t="shared" si="56"/>
        <v>0</v>
      </c>
      <c r="G194" s="465">
        <f t="shared" si="57"/>
        <v>0.10349999999999999</v>
      </c>
      <c r="H194" s="465">
        <f t="shared" si="59"/>
        <v>0.5025136071712456</v>
      </c>
      <c r="I194" s="428">
        <f t="shared" si="52"/>
        <v>0</v>
      </c>
      <c r="K194" s="321">
        <f>'[3]Gross Plant'!$D18</f>
        <v>0</v>
      </c>
      <c r="L194" s="465">
        <f t="shared" si="53"/>
        <v>0.10349999999999999</v>
      </c>
      <c r="M194" s="465">
        <f t="shared" si="54"/>
        <v>0.5025136071712456</v>
      </c>
      <c r="N194" s="428">
        <f t="shared" si="58"/>
        <v>0</v>
      </c>
      <c r="P194" s="660"/>
      <c r="S194" s="422"/>
    </row>
    <row r="195" spans="1:19">
      <c r="A195" s="858">
        <f t="shared" si="40"/>
        <v>181</v>
      </c>
      <c r="B195" s="1053">
        <v>39400</v>
      </c>
      <c r="C195" s="232" t="s">
        <v>1044</v>
      </c>
      <c r="D195" s="321">
        <f>'[3]Gross Plant'!$AF19</f>
        <v>138022.84980381257</v>
      </c>
      <c r="E195" s="621">
        <v>0</v>
      </c>
      <c r="F195" s="428">
        <f t="shared" si="56"/>
        <v>138022.84980381257</v>
      </c>
      <c r="G195" s="465">
        <f t="shared" si="57"/>
        <v>0.10349999999999999</v>
      </c>
      <c r="H195" s="465">
        <f t="shared" si="59"/>
        <v>0.5025136071712456</v>
      </c>
      <c r="I195" s="428">
        <f t="shared" si="52"/>
        <v>7178.5902731412807</v>
      </c>
      <c r="K195" s="321">
        <f>'[3]Gross Plant'!$D19</f>
        <v>121415.95157857971</v>
      </c>
      <c r="L195" s="465">
        <f t="shared" si="53"/>
        <v>0.10349999999999999</v>
      </c>
      <c r="M195" s="465">
        <f t="shared" si="54"/>
        <v>0.5025136071712456</v>
      </c>
      <c r="N195" s="428">
        <f t="shared" si="58"/>
        <v>6314.8628668737229</v>
      </c>
      <c r="P195" s="660"/>
      <c r="S195" s="422"/>
    </row>
    <row r="196" spans="1:19">
      <c r="A196" s="858">
        <f t="shared" si="40"/>
        <v>182</v>
      </c>
      <c r="B196" s="1053">
        <v>39420</v>
      </c>
      <c r="C196" s="232" t="s">
        <v>1537</v>
      </c>
      <c r="D196" s="321">
        <f>'[3]Gross Plant'!$AF20</f>
        <v>536386.80548380211</v>
      </c>
      <c r="E196" s="621">
        <v>0</v>
      </c>
      <c r="F196" s="428">
        <f t="shared" si="56"/>
        <v>536386.80548380211</v>
      </c>
      <c r="G196" s="465">
        <v>1</v>
      </c>
      <c r="H196" s="465">
        <f>H192</f>
        <v>6.437198999999999E-2</v>
      </c>
      <c r="I196" s="428">
        <f t="shared" si="52"/>
        <v>34528.286078735247</v>
      </c>
      <c r="K196" s="321">
        <f>'[3]Gross Plant'!$D20</f>
        <v>392536.13587012351</v>
      </c>
      <c r="L196" s="465">
        <v>1</v>
      </c>
      <c r="M196" s="465">
        <f t="shared" ref="M196:M220" si="60">H196</f>
        <v>6.437198999999999E-2</v>
      </c>
      <c r="N196" s="428">
        <f t="shared" si="58"/>
        <v>25268.332212870228</v>
      </c>
      <c r="P196" s="660"/>
      <c r="S196" s="422"/>
    </row>
    <row r="197" spans="1:19">
      <c r="A197" s="858">
        <f t="shared" si="40"/>
        <v>183</v>
      </c>
      <c r="B197" s="1053">
        <v>39500</v>
      </c>
      <c r="C197" s="232" t="s">
        <v>1208</v>
      </c>
      <c r="D197" s="321">
        <f>'[3]Gross Plant'!$AF21</f>
        <v>0</v>
      </c>
      <c r="E197" s="621">
        <v>0</v>
      </c>
      <c r="F197" s="428">
        <f t="shared" si="56"/>
        <v>0</v>
      </c>
      <c r="G197" s="465">
        <f t="shared" si="57"/>
        <v>0.10349999999999999</v>
      </c>
      <c r="H197" s="465">
        <f t="shared" si="59"/>
        <v>0.5025136071712456</v>
      </c>
      <c r="I197" s="428">
        <f t="shared" si="52"/>
        <v>0</v>
      </c>
      <c r="K197" s="321">
        <f>'[3]Gross Plant'!$D21</f>
        <v>0</v>
      </c>
      <c r="L197" s="465">
        <f t="shared" si="53"/>
        <v>0.10349999999999999</v>
      </c>
      <c r="M197" s="465">
        <f t="shared" si="60"/>
        <v>0.5025136071712456</v>
      </c>
      <c r="N197" s="428">
        <f t="shared" si="58"/>
        <v>0</v>
      </c>
      <c r="P197" s="660"/>
      <c r="S197" s="422"/>
    </row>
    <row r="198" spans="1:19">
      <c r="A198" s="858">
        <f t="shared" si="40"/>
        <v>184</v>
      </c>
      <c r="B198" s="1053">
        <v>39700</v>
      </c>
      <c r="C198" s="232" t="s">
        <v>445</v>
      </c>
      <c r="D198" s="321">
        <f>'[3]Gross Plant'!$AF22</f>
        <v>1788308.12</v>
      </c>
      <c r="E198" s="621">
        <v>0</v>
      </c>
      <c r="F198" s="428">
        <f t="shared" si="56"/>
        <v>1788308.12</v>
      </c>
      <c r="G198" s="465">
        <f t="shared" si="57"/>
        <v>0.10349999999999999</v>
      </c>
      <c r="H198" s="465">
        <f t="shared" si="59"/>
        <v>0.5025136071712456</v>
      </c>
      <c r="I198" s="428">
        <f t="shared" si="52"/>
        <v>93010.188485884777</v>
      </c>
      <c r="K198" s="321">
        <f>'[3]Gross Plant'!$D22</f>
        <v>1788308.1200000008</v>
      </c>
      <c r="L198" s="465">
        <f t="shared" si="53"/>
        <v>0.10349999999999999</v>
      </c>
      <c r="M198" s="465">
        <f t="shared" si="60"/>
        <v>0.5025136071712456</v>
      </c>
      <c r="N198" s="428">
        <f t="shared" si="58"/>
        <v>93010.188485884806</v>
      </c>
      <c r="P198" s="660"/>
      <c r="S198" s="422"/>
    </row>
    <row r="199" spans="1:19">
      <c r="A199" s="858">
        <f t="shared" si="40"/>
        <v>185</v>
      </c>
      <c r="B199" s="1053">
        <v>39720</v>
      </c>
      <c r="C199" s="232" t="s">
        <v>1538</v>
      </c>
      <c r="D199" s="321">
        <f>'[3]Gross Plant'!$AF23</f>
        <v>8824.34</v>
      </c>
      <c r="E199" s="621">
        <v>0</v>
      </c>
      <c r="F199" s="428">
        <f t="shared" si="56"/>
        <v>8824.34</v>
      </c>
      <c r="G199" s="465">
        <v>1</v>
      </c>
      <c r="H199" s="465">
        <f>H196</f>
        <v>6.437198999999999E-2</v>
      </c>
      <c r="I199" s="428">
        <f t="shared" si="52"/>
        <v>568.04032623659987</v>
      </c>
      <c r="K199" s="321">
        <f>'[3]Gross Plant'!$D23</f>
        <v>8824.3399999999983</v>
      </c>
      <c r="L199" s="465">
        <v>1</v>
      </c>
      <c r="M199" s="465">
        <f t="shared" si="60"/>
        <v>6.437198999999999E-2</v>
      </c>
      <c r="N199" s="428">
        <f t="shared" si="58"/>
        <v>568.04032623659975</v>
      </c>
      <c r="P199" s="660"/>
      <c r="S199" s="422"/>
    </row>
    <row r="200" spans="1:19">
      <c r="A200" s="858">
        <f t="shared" si="40"/>
        <v>186</v>
      </c>
      <c r="B200" s="1053">
        <v>39800</v>
      </c>
      <c r="C200" s="232" t="s">
        <v>656</v>
      </c>
      <c r="D200" s="321">
        <f>'[3]Gross Plant'!$AF24</f>
        <v>136509.51999999999</v>
      </c>
      <c r="E200" s="621">
        <v>0</v>
      </c>
      <c r="F200" s="428">
        <f t="shared" si="56"/>
        <v>136509.51999999999</v>
      </c>
      <c r="G200" s="465">
        <f t="shared" si="57"/>
        <v>0.10349999999999999</v>
      </c>
      <c r="H200" s="465">
        <f t="shared" si="59"/>
        <v>0.5025136071712456</v>
      </c>
      <c r="I200" s="428">
        <f t="shared" si="52"/>
        <v>7099.8817504209819</v>
      </c>
      <c r="K200" s="321">
        <f>'[3]Gross Plant'!$D24</f>
        <v>136509.51999999999</v>
      </c>
      <c r="L200" s="465">
        <f t="shared" si="53"/>
        <v>0.10349999999999999</v>
      </c>
      <c r="M200" s="465">
        <f t="shared" si="60"/>
        <v>0.5025136071712456</v>
      </c>
      <c r="N200" s="428">
        <f t="shared" si="58"/>
        <v>7099.8817504209819</v>
      </c>
      <c r="P200" s="660"/>
      <c r="S200" s="422"/>
    </row>
    <row r="201" spans="1:19">
      <c r="A201" s="858">
        <f t="shared" si="40"/>
        <v>187</v>
      </c>
      <c r="B201" s="1053">
        <v>39820</v>
      </c>
      <c r="C201" s="232" t="s">
        <v>1539</v>
      </c>
      <c r="D201" s="321">
        <f>'[3]Gross Plant'!$AF25</f>
        <v>7388.39</v>
      </c>
      <c r="E201" s="621">
        <v>0</v>
      </c>
      <c r="F201" s="428">
        <f t="shared" si="56"/>
        <v>7388.39</v>
      </c>
      <c r="G201" s="465">
        <v>1</v>
      </c>
      <c r="H201" s="465">
        <f>H199</f>
        <v>6.437198999999999E-2</v>
      </c>
      <c r="I201" s="428">
        <f t="shared" si="52"/>
        <v>475.60536719609996</v>
      </c>
      <c r="K201" s="321">
        <f>'[3]Gross Plant'!$D25</f>
        <v>7388.39</v>
      </c>
      <c r="L201" s="465">
        <v>1</v>
      </c>
      <c r="M201" s="465">
        <f t="shared" si="60"/>
        <v>6.437198999999999E-2</v>
      </c>
      <c r="N201" s="428">
        <f t="shared" si="58"/>
        <v>475.60536719609996</v>
      </c>
      <c r="P201" s="660"/>
      <c r="S201" s="422"/>
    </row>
    <row r="202" spans="1:19">
      <c r="A202" s="858">
        <f t="shared" si="40"/>
        <v>188</v>
      </c>
      <c r="B202" s="1053">
        <v>39900</v>
      </c>
      <c r="C202" s="232" t="s">
        <v>1162</v>
      </c>
      <c r="D202" s="321">
        <f>'[3]Gross Plant'!$AF26</f>
        <v>162267.97</v>
      </c>
      <c r="E202" s="621">
        <v>0</v>
      </c>
      <c r="F202" s="428">
        <f t="shared" si="56"/>
        <v>162267.97</v>
      </c>
      <c r="G202" s="465">
        <f t="shared" si="57"/>
        <v>0.10349999999999999</v>
      </c>
      <c r="H202" s="465">
        <f t="shared" si="59"/>
        <v>0.5025136071712456</v>
      </c>
      <c r="I202" s="428">
        <f t="shared" si="52"/>
        <v>8439.58281357124</v>
      </c>
      <c r="K202" s="321">
        <f>'[3]Gross Plant'!$D26</f>
        <v>162267.97</v>
      </c>
      <c r="L202" s="465">
        <f t="shared" si="53"/>
        <v>0.10349999999999999</v>
      </c>
      <c r="M202" s="465">
        <f t="shared" si="60"/>
        <v>0.5025136071712456</v>
      </c>
      <c r="N202" s="428">
        <f t="shared" si="58"/>
        <v>8439.58281357124</v>
      </c>
      <c r="P202" s="660"/>
      <c r="S202" s="422"/>
    </row>
    <row r="203" spans="1:19">
      <c r="A203" s="858">
        <f t="shared" si="40"/>
        <v>189</v>
      </c>
      <c r="B203" s="1053">
        <v>39901</v>
      </c>
      <c r="C203" s="232" t="s">
        <v>479</v>
      </c>
      <c r="D203" s="321">
        <f>'[3]Gross Plant'!$AF27</f>
        <v>36506045.984288201</v>
      </c>
      <c r="E203" s="621">
        <v>0</v>
      </c>
      <c r="F203" s="428">
        <f t="shared" si="56"/>
        <v>36506045.984288201</v>
      </c>
      <c r="G203" s="465">
        <f t="shared" si="57"/>
        <v>0.10349999999999999</v>
      </c>
      <c r="H203" s="465">
        <f t="shared" si="59"/>
        <v>0.5025136071712456</v>
      </c>
      <c r="I203" s="428">
        <f t="shared" si="52"/>
        <v>1898685.232091337</v>
      </c>
      <c r="K203" s="321">
        <f>'[3]Gross Plant'!$D27</f>
        <v>35932078.376975782</v>
      </c>
      <c r="L203" s="465">
        <f t="shared" si="53"/>
        <v>0.10349999999999999</v>
      </c>
      <c r="M203" s="465">
        <f t="shared" si="60"/>
        <v>0.5025136071712456</v>
      </c>
      <c r="N203" s="428">
        <f t="shared" si="58"/>
        <v>1868833.0859517106</v>
      </c>
      <c r="P203" s="660"/>
      <c r="S203" s="422"/>
    </row>
    <row r="204" spans="1:19">
      <c r="A204" s="858">
        <f t="shared" si="40"/>
        <v>190</v>
      </c>
      <c r="B204" s="1053">
        <v>39902</v>
      </c>
      <c r="C204" s="232" t="s">
        <v>968</v>
      </c>
      <c r="D204" s="321">
        <f>'[3]Gross Plant'!$AF28</f>
        <v>19005572.419999998</v>
      </c>
      <c r="E204" s="621">
        <v>0</v>
      </c>
      <c r="F204" s="428">
        <f t="shared" si="56"/>
        <v>19005572.419999998</v>
      </c>
      <c r="G204" s="465">
        <f t="shared" si="57"/>
        <v>0.10349999999999999</v>
      </c>
      <c r="H204" s="465">
        <f t="shared" si="59"/>
        <v>0.5025136071712456</v>
      </c>
      <c r="I204" s="428">
        <f t="shared" si="52"/>
        <v>988482.83094880369</v>
      </c>
      <c r="K204" s="321">
        <f>'[3]Gross Plant'!$D28</f>
        <v>19005572.419999994</v>
      </c>
      <c r="L204" s="465">
        <f t="shared" si="53"/>
        <v>0.10349999999999999</v>
      </c>
      <c r="M204" s="465">
        <f t="shared" si="60"/>
        <v>0.5025136071712456</v>
      </c>
      <c r="N204" s="428">
        <f t="shared" si="58"/>
        <v>988482.83094880346</v>
      </c>
      <c r="P204" s="660"/>
      <c r="S204" s="422"/>
    </row>
    <row r="205" spans="1:19">
      <c r="A205" s="858">
        <f t="shared" si="40"/>
        <v>191</v>
      </c>
      <c r="B205" s="1053">
        <v>39903</v>
      </c>
      <c r="C205" s="232" t="s">
        <v>1011</v>
      </c>
      <c r="D205" s="321">
        <f>'[3]Gross Plant'!$AF29</f>
        <v>3548953.23</v>
      </c>
      <c r="E205" s="621">
        <v>0</v>
      </c>
      <c r="F205" s="428">
        <f t="shared" si="56"/>
        <v>3548953.23</v>
      </c>
      <c r="G205" s="465">
        <f t="shared" ref="G205:G215" si="61">$G$183</f>
        <v>0.10349999999999999</v>
      </c>
      <c r="H205" s="465">
        <f t="shared" si="59"/>
        <v>0.5025136071712456</v>
      </c>
      <c r="I205" s="428">
        <f t="shared" si="52"/>
        <v>184581.61944144702</v>
      </c>
      <c r="K205" s="321">
        <f>'[3]Gross Plant'!$D29</f>
        <v>3548953.2299999991</v>
      </c>
      <c r="L205" s="465">
        <f t="shared" si="53"/>
        <v>0.10349999999999999</v>
      </c>
      <c r="M205" s="465">
        <f t="shared" si="60"/>
        <v>0.5025136071712456</v>
      </c>
      <c r="N205" s="428">
        <f t="shared" si="58"/>
        <v>184581.61944144696</v>
      </c>
      <c r="P205" s="660"/>
      <c r="S205" s="422"/>
    </row>
    <row r="206" spans="1:19">
      <c r="A206" s="858">
        <f t="shared" si="40"/>
        <v>192</v>
      </c>
      <c r="B206" s="1053">
        <v>39904</v>
      </c>
      <c r="C206" s="232" t="s">
        <v>1187</v>
      </c>
      <c r="D206" s="321">
        <f>'[3]Gross Plant'!$AF30</f>
        <v>0</v>
      </c>
      <c r="E206" s="621">
        <v>0</v>
      </c>
      <c r="F206" s="428">
        <f t="shared" si="56"/>
        <v>0</v>
      </c>
      <c r="G206" s="465">
        <f t="shared" si="61"/>
        <v>0.10349999999999999</v>
      </c>
      <c r="H206" s="465">
        <f t="shared" si="59"/>
        <v>0.5025136071712456</v>
      </c>
      <c r="I206" s="428">
        <f t="shared" si="52"/>
        <v>0</v>
      </c>
      <c r="K206" s="321">
        <f>'[3]Gross Plant'!$D30</f>
        <v>0</v>
      </c>
      <c r="L206" s="465">
        <f t="shared" si="53"/>
        <v>0.10349999999999999</v>
      </c>
      <c r="M206" s="465">
        <f t="shared" si="60"/>
        <v>0.5025136071712456</v>
      </c>
      <c r="N206" s="428">
        <f t="shared" si="58"/>
        <v>0</v>
      </c>
      <c r="P206" s="660"/>
      <c r="S206" s="422"/>
    </row>
    <row r="207" spans="1:19">
      <c r="A207" s="858">
        <f t="shared" si="40"/>
        <v>193</v>
      </c>
      <c r="B207" s="1053">
        <v>39905</v>
      </c>
      <c r="C207" s="232" t="s">
        <v>502</v>
      </c>
      <c r="D207" s="321">
        <f>'[3]Gross Plant'!$AF31</f>
        <v>0</v>
      </c>
      <c r="E207" s="621">
        <v>0</v>
      </c>
      <c r="F207" s="428">
        <f t="shared" si="56"/>
        <v>0</v>
      </c>
      <c r="G207" s="465">
        <f t="shared" si="61"/>
        <v>0.10349999999999999</v>
      </c>
      <c r="H207" s="465">
        <f t="shared" si="59"/>
        <v>0.5025136071712456</v>
      </c>
      <c r="I207" s="428">
        <f t="shared" si="52"/>
        <v>0</v>
      </c>
      <c r="K207" s="321">
        <f>'[3]Gross Plant'!$D31</f>
        <v>0</v>
      </c>
      <c r="L207" s="465">
        <f t="shared" si="53"/>
        <v>0.10349999999999999</v>
      </c>
      <c r="M207" s="465">
        <f t="shared" si="60"/>
        <v>0.5025136071712456</v>
      </c>
      <c r="N207" s="428">
        <f t="shared" si="58"/>
        <v>0</v>
      </c>
      <c r="P207" s="660"/>
      <c r="S207" s="422"/>
    </row>
    <row r="208" spans="1:19">
      <c r="A208" s="858">
        <f t="shared" si="40"/>
        <v>194</v>
      </c>
      <c r="B208" s="1053">
        <v>39906</v>
      </c>
      <c r="C208" s="232" t="s">
        <v>456</v>
      </c>
      <c r="D208" s="321">
        <f>'[3]Gross Plant'!$AF32</f>
        <v>1911063.9687941358</v>
      </c>
      <c r="E208" s="621">
        <v>0</v>
      </c>
      <c r="F208" s="428">
        <f t="shared" si="56"/>
        <v>1911063.9687941358</v>
      </c>
      <c r="G208" s="465">
        <f t="shared" si="61"/>
        <v>0.10349999999999999</v>
      </c>
      <c r="H208" s="465">
        <f t="shared" si="59"/>
        <v>0.5025136071712456</v>
      </c>
      <c r="I208" s="428">
        <f t="shared" si="52"/>
        <v>99394.739619101878</v>
      </c>
      <c r="K208" s="321">
        <f>'[3]Gross Plant'!$D32</f>
        <v>1879606.2532307121</v>
      </c>
      <c r="L208" s="465">
        <f t="shared" si="53"/>
        <v>0.10349999999999999</v>
      </c>
      <c r="M208" s="465">
        <f t="shared" si="60"/>
        <v>0.5025136071712456</v>
      </c>
      <c r="N208" s="428">
        <f t="shared" si="58"/>
        <v>97758.618851563559</v>
      </c>
      <c r="P208" s="660"/>
      <c r="S208" s="422"/>
    </row>
    <row r="209" spans="1:19">
      <c r="A209" s="858">
        <f t="shared" si="40"/>
        <v>195</v>
      </c>
      <c r="B209" s="1053">
        <v>39907</v>
      </c>
      <c r="C209" s="232" t="s">
        <v>510</v>
      </c>
      <c r="D209" s="321">
        <f>'[3]Gross Plant'!$AF33</f>
        <v>1470383.1587847839</v>
      </c>
      <c r="E209" s="621">
        <v>0</v>
      </c>
      <c r="F209" s="428">
        <f t="shared" si="56"/>
        <v>1470383.1587847839</v>
      </c>
      <c r="G209" s="465">
        <f t="shared" si="61"/>
        <v>0.10349999999999999</v>
      </c>
      <c r="H209" s="465">
        <f t="shared" si="59"/>
        <v>0.5025136071712456</v>
      </c>
      <c r="I209" s="428">
        <f t="shared" si="52"/>
        <v>76474.860912135977</v>
      </c>
      <c r="K209" s="321">
        <f>'[3]Gross Plant'!$D33</f>
        <v>1471233.2827713727</v>
      </c>
      <c r="L209" s="465">
        <f t="shared" si="53"/>
        <v>0.10349999999999999</v>
      </c>
      <c r="M209" s="465">
        <f t="shared" si="60"/>
        <v>0.5025136071712456</v>
      </c>
      <c r="N209" s="428">
        <f t="shared" si="58"/>
        <v>76519.075995288993</v>
      </c>
      <c r="P209" s="660"/>
      <c r="S209" s="422"/>
    </row>
    <row r="210" spans="1:19">
      <c r="A210" s="858">
        <f t="shared" si="40"/>
        <v>196</v>
      </c>
      <c r="B210" s="1053">
        <v>39908</v>
      </c>
      <c r="C210" s="232" t="s">
        <v>180</v>
      </c>
      <c r="D210" s="321">
        <f>'[3]Gross Plant'!$AF34</f>
        <v>78490635.955212444</v>
      </c>
      <c r="E210" s="621">
        <v>0</v>
      </c>
      <c r="F210" s="428">
        <f t="shared" si="56"/>
        <v>78490635.955212444</v>
      </c>
      <c r="G210" s="465">
        <f t="shared" si="61"/>
        <v>0.10349999999999999</v>
      </c>
      <c r="H210" s="465">
        <f t="shared" si="59"/>
        <v>0.5025136071712456</v>
      </c>
      <c r="I210" s="428">
        <f t="shared" si="52"/>
        <v>4082310.4044124531</v>
      </c>
      <c r="K210" s="321">
        <f>'[3]Gross Plant'!$D34</f>
        <v>73682455.560015619</v>
      </c>
      <c r="L210" s="465">
        <f t="shared" si="53"/>
        <v>0.10349999999999999</v>
      </c>
      <c r="M210" s="465">
        <f t="shared" si="60"/>
        <v>0.5025136071712456</v>
      </c>
      <c r="N210" s="428">
        <f t="shared" si="58"/>
        <v>3832236.1807202892</v>
      </c>
      <c r="P210" s="660"/>
      <c r="S210" s="422"/>
    </row>
    <row r="211" spans="1:19">
      <c r="A211" s="858">
        <f t="shared" si="40"/>
        <v>197</v>
      </c>
      <c r="B211" s="1053">
        <v>39909</v>
      </c>
      <c r="C211" s="232" t="s">
        <v>346</v>
      </c>
      <c r="D211" s="321">
        <f>'[3]Gross Plant'!$AF35</f>
        <v>39251.620000000003</v>
      </c>
      <c r="E211" s="621">
        <v>0</v>
      </c>
      <c r="F211" s="428">
        <f t="shared" si="56"/>
        <v>39251.620000000003</v>
      </c>
      <c r="G211" s="465">
        <f t="shared" si="61"/>
        <v>0.10349999999999999</v>
      </c>
      <c r="H211" s="465">
        <f t="shared" si="59"/>
        <v>0.5025136071712456</v>
      </c>
      <c r="I211" s="428">
        <f t="shared" si="52"/>
        <v>2041.4829713888034</v>
      </c>
      <c r="K211" s="321">
        <f>'[3]Gross Plant'!$D35</f>
        <v>39251.620000000003</v>
      </c>
      <c r="L211" s="465">
        <f t="shared" ref="L211:L215" si="62">G211</f>
        <v>0.10349999999999999</v>
      </c>
      <c r="M211" s="465">
        <f t="shared" si="60"/>
        <v>0.5025136071712456</v>
      </c>
      <c r="N211" s="428">
        <f t="shared" si="58"/>
        <v>2041.4829713888034</v>
      </c>
      <c r="P211" s="660"/>
      <c r="S211" s="422"/>
    </row>
    <row r="212" spans="1:19">
      <c r="A212" s="858">
        <f t="shared" si="40"/>
        <v>198</v>
      </c>
      <c r="B212" s="1053">
        <v>39921</v>
      </c>
      <c r="C212" s="232" t="s">
        <v>1540</v>
      </c>
      <c r="D212" s="321">
        <f>'[3]Gross Plant'!$AF36</f>
        <v>1628899.91</v>
      </c>
      <c r="E212" s="621">
        <v>0</v>
      </c>
      <c r="F212" s="428">
        <f t="shared" si="56"/>
        <v>1628899.91</v>
      </c>
      <c r="G212" s="465">
        <v>1</v>
      </c>
      <c r="H212" s="465">
        <f>$H$201</f>
        <v>6.437198999999999E-2</v>
      </c>
      <c r="I212" s="428">
        <f t="shared" si="52"/>
        <v>104855.52871752088</v>
      </c>
      <c r="K212" s="321">
        <f>'[3]Gross Plant'!$D36</f>
        <v>1628899.91</v>
      </c>
      <c r="L212" s="465">
        <v>1</v>
      </c>
      <c r="M212" s="465">
        <f t="shared" si="60"/>
        <v>6.437198999999999E-2</v>
      </c>
      <c r="N212" s="428">
        <f t="shared" si="58"/>
        <v>104855.52871752088</v>
      </c>
      <c r="P212" s="660"/>
      <c r="S212" s="422"/>
    </row>
    <row r="213" spans="1:19">
      <c r="A213" s="858">
        <f t="shared" si="40"/>
        <v>199</v>
      </c>
      <c r="B213" s="1053">
        <v>39922</v>
      </c>
      <c r="C213" s="232" t="s">
        <v>1541</v>
      </c>
      <c r="D213" s="321">
        <f>'[3]Gross Plant'!$AF37</f>
        <v>961255.64</v>
      </c>
      <c r="E213" s="621">
        <v>0</v>
      </c>
      <c r="F213" s="428">
        <f t="shared" si="56"/>
        <v>961255.64</v>
      </c>
      <c r="G213" s="465">
        <v>1</v>
      </c>
      <c r="H213" s="465">
        <f t="shared" ref="H213:H214" si="63">$H$201</f>
        <v>6.437198999999999E-2</v>
      </c>
      <c r="I213" s="428">
        <f t="shared" si="52"/>
        <v>61877.938445523592</v>
      </c>
      <c r="K213" s="321">
        <f>'[3]Gross Plant'!$D37</f>
        <v>961255.64000000013</v>
      </c>
      <c r="L213" s="465">
        <v>1</v>
      </c>
      <c r="M213" s="465">
        <f t="shared" si="60"/>
        <v>6.437198999999999E-2</v>
      </c>
      <c r="N213" s="428">
        <f t="shared" si="58"/>
        <v>61877.9384455236</v>
      </c>
      <c r="P213" s="660"/>
      <c r="S213" s="422"/>
    </row>
    <row r="214" spans="1:19">
      <c r="A214" s="858">
        <f t="shared" si="40"/>
        <v>200</v>
      </c>
      <c r="B214" s="1053">
        <v>39923</v>
      </c>
      <c r="C214" s="232" t="s">
        <v>1542</v>
      </c>
      <c r="D214" s="321">
        <f>'[3]Gross Plant'!$AF38</f>
        <v>60170.36</v>
      </c>
      <c r="E214" s="621">
        <v>0</v>
      </c>
      <c r="F214" s="428">
        <f t="shared" si="56"/>
        <v>60170.36</v>
      </c>
      <c r="G214" s="465">
        <v>1</v>
      </c>
      <c r="H214" s="465">
        <f t="shared" si="63"/>
        <v>6.437198999999999E-2</v>
      </c>
      <c r="I214" s="428">
        <f t="shared" si="52"/>
        <v>3873.2858122163993</v>
      </c>
      <c r="K214" s="321">
        <f>'[3]Gross Plant'!$D38</f>
        <v>60170.359999999993</v>
      </c>
      <c r="L214" s="465">
        <v>1</v>
      </c>
      <c r="M214" s="465">
        <f t="shared" si="60"/>
        <v>6.437198999999999E-2</v>
      </c>
      <c r="N214" s="428">
        <f t="shared" si="58"/>
        <v>3873.2858122163989</v>
      </c>
      <c r="P214" s="660"/>
      <c r="S214" s="422"/>
    </row>
    <row r="215" spans="1:19">
      <c r="A215" s="858">
        <f t="shared" si="40"/>
        <v>201</v>
      </c>
      <c r="B215" s="1053">
        <v>39924</v>
      </c>
      <c r="C215" s="232" t="s">
        <v>1411</v>
      </c>
      <c r="D215" s="321">
        <f>'[3]Gross Plant'!$AF39</f>
        <v>0</v>
      </c>
      <c r="E215" s="621">
        <v>0</v>
      </c>
      <c r="F215" s="428">
        <f t="shared" si="56"/>
        <v>0</v>
      </c>
      <c r="G215" s="465">
        <f t="shared" si="61"/>
        <v>0.10349999999999999</v>
      </c>
      <c r="H215" s="465">
        <f t="shared" si="59"/>
        <v>0.5025136071712456</v>
      </c>
      <c r="I215" s="428">
        <f t="shared" si="52"/>
        <v>0</v>
      </c>
      <c r="K215" s="321">
        <f>'[3]Gross Plant'!$D39</f>
        <v>0</v>
      </c>
      <c r="L215" s="465">
        <f t="shared" si="62"/>
        <v>0.10349999999999999</v>
      </c>
      <c r="M215" s="465">
        <f t="shared" si="60"/>
        <v>0.5025136071712456</v>
      </c>
      <c r="N215" s="428">
        <f t="shared" si="58"/>
        <v>0</v>
      </c>
      <c r="P215" s="660"/>
      <c r="S215" s="422"/>
    </row>
    <row r="216" spans="1:19">
      <c r="A216" s="858">
        <f t="shared" si="40"/>
        <v>202</v>
      </c>
      <c r="B216" s="1053">
        <v>39926</v>
      </c>
      <c r="C216" s="232" t="s">
        <v>1551</v>
      </c>
      <c r="D216" s="321">
        <f>'[3]Gross Plant'!$AF40</f>
        <v>426127.28551092511</v>
      </c>
      <c r="E216" s="621">
        <v>0</v>
      </c>
      <c r="F216" s="428">
        <f t="shared" si="56"/>
        <v>426127.28551092511</v>
      </c>
      <c r="G216" s="465">
        <v>1</v>
      </c>
      <c r="H216" s="465">
        <f>$H$201</f>
        <v>6.437198999999999E-2</v>
      </c>
      <c r="I216" s="428">
        <f t="shared" si="52"/>
        <v>27430.661361636412</v>
      </c>
      <c r="K216" s="321">
        <f>'[3]Gross Plant'!$D40</f>
        <v>396158.23124392692</v>
      </c>
      <c r="L216" s="465">
        <v>1</v>
      </c>
      <c r="M216" s="465">
        <f t="shared" si="60"/>
        <v>6.437198999999999E-2</v>
      </c>
      <c r="N216" s="428">
        <f t="shared" si="58"/>
        <v>25501.493700051746</v>
      </c>
      <c r="P216" s="660"/>
      <c r="S216" s="422"/>
    </row>
    <row r="217" spans="1:19">
      <c r="A217" s="858">
        <f t="shared" si="40"/>
        <v>203</v>
      </c>
      <c r="B217" s="1053">
        <v>39928</v>
      </c>
      <c r="C217" s="232" t="s">
        <v>1552</v>
      </c>
      <c r="D217" s="321">
        <f>'[3]Gross Plant'!$AF41</f>
        <v>19396382.179999996</v>
      </c>
      <c r="E217" s="621">
        <v>0</v>
      </c>
      <c r="F217" s="428">
        <f t="shared" si="56"/>
        <v>19396382.179999996</v>
      </c>
      <c r="G217" s="465">
        <v>1</v>
      </c>
      <c r="H217" s="465">
        <f t="shared" ref="H217" si="64">$H$201</f>
        <v>6.437198999999999E-2</v>
      </c>
      <c r="I217" s="428">
        <f t="shared" si="52"/>
        <v>1248583.7197271378</v>
      </c>
      <c r="K217" s="321">
        <f>'[3]Gross Plant'!$D41</f>
        <v>19396382.18</v>
      </c>
      <c r="L217" s="465">
        <v>1</v>
      </c>
      <c r="M217" s="465">
        <f t="shared" si="60"/>
        <v>6.437198999999999E-2</v>
      </c>
      <c r="N217" s="428">
        <f t="shared" si="58"/>
        <v>1248583.7197271381</v>
      </c>
      <c r="P217" s="660"/>
      <c r="S217" s="422"/>
    </row>
    <row r="218" spans="1:19">
      <c r="A218" s="858">
        <f t="shared" si="40"/>
        <v>204</v>
      </c>
      <c r="B218" s="1053">
        <v>39931</v>
      </c>
      <c r="C218" s="232" t="s">
        <v>1553</v>
      </c>
      <c r="D218" s="321">
        <f>'[3]Gross Plant'!$AF42</f>
        <v>305486.17974761716</v>
      </c>
      <c r="E218" s="621">
        <v>0</v>
      </c>
      <c r="F218" s="428">
        <f t="shared" si="56"/>
        <v>305486.17974761716</v>
      </c>
      <c r="G218" s="465">
        <v>1</v>
      </c>
      <c r="H218" s="465">
        <f>Allocation!$E$23</f>
        <v>0</v>
      </c>
      <c r="I218" s="428">
        <f t="shared" si="52"/>
        <v>0</v>
      </c>
      <c r="K218" s="321">
        <f>'[3]Gross Plant'!$D42</f>
        <v>303061.46135404526</v>
      </c>
      <c r="L218" s="465">
        <v>1</v>
      </c>
      <c r="M218" s="465">
        <f t="shared" si="60"/>
        <v>0</v>
      </c>
      <c r="N218" s="428">
        <f t="shared" si="58"/>
        <v>0</v>
      </c>
      <c r="P218" s="660"/>
      <c r="S218" s="422"/>
    </row>
    <row r="219" spans="1:19">
      <c r="A219" s="858">
        <f t="shared" si="40"/>
        <v>205</v>
      </c>
      <c r="B219" s="1053">
        <v>39932</v>
      </c>
      <c r="C219" s="232" t="s">
        <v>1554</v>
      </c>
      <c r="D219" s="321">
        <f>'[3]Gross Plant'!$AF43</f>
        <v>356087.68238222011</v>
      </c>
      <c r="E219" s="621">
        <v>0</v>
      </c>
      <c r="F219" s="428">
        <f t="shared" si="56"/>
        <v>356087.68238222011</v>
      </c>
      <c r="G219" s="465">
        <v>1</v>
      </c>
      <c r="H219" s="465">
        <f>Allocation!$E$23</f>
        <v>0</v>
      </c>
      <c r="I219" s="428">
        <f t="shared" si="52"/>
        <v>0</v>
      </c>
      <c r="K219" s="321">
        <f>'[3]Gross Plant'!$D43</f>
        <v>353032.12878796458</v>
      </c>
      <c r="L219" s="465">
        <v>1</v>
      </c>
      <c r="M219" s="465">
        <f t="shared" si="60"/>
        <v>0</v>
      </c>
      <c r="N219" s="428">
        <f t="shared" si="58"/>
        <v>0</v>
      </c>
      <c r="P219" s="660"/>
      <c r="S219" s="422"/>
    </row>
    <row r="220" spans="1:19">
      <c r="A220" s="858">
        <f t="shared" si="40"/>
        <v>206</v>
      </c>
      <c r="B220" s="1053">
        <v>39938</v>
      </c>
      <c r="C220" s="232" t="s">
        <v>1555</v>
      </c>
      <c r="D220" s="321">
        <f>'[3]Gross Plant'!$AF44</f>
        <v>18166787.221792232</v>
      </c>
      <c r="E220" s="621">
        <v>0</v>
      </c>
      <c r="F220" s="428">
        <f t="shared" si="56"/>
        <v>18166787.221792232</v>
      </c>
      <c r="G220" s="465">
        <v>1</v>
      </c>
      <c r="H220" s="465">
        <f>Allocation!$E$23</f>
        <v>0</v>
      </c>
      <c r="I220" s="428">
        <f t="shared" si="52"/>
        <v>0</v>
      </c>
      <c r="K220" s="321">
        <f>'[3]Gross Plant'!$D44</f>
        <v>17975135.079030987</v>
      </c>
      <c r="L220" s="465">
        <v>1</v>
      </c>
      <c r="M220" s="465">
        <f t="shared" si="60"/>
        <v>0</v>
      </c>
      <c r="N220" s="428">
        <f t="shared" si="58"/>
        <v>0</v>
      </c>
      <c r="P220" s="660"/>
      <c r="S220" s="422"/>
    </row>
    <row r="221" spans="1:19">
      <c r="A221" s="858">
        <f t="shared" si="40"/>
        <v>207</v>
      </c>
      <c r="B221" s="790"/>
      <c r="C221" s="834"/>
      <c r="D221" s="618"/>
      <c r="E221" s="618"/>
      <c r="F221" s="618"/>
      <c r="I221" s="618"/>
      <c r="K221" s="618"/>
      <c r="N221" s="618"/>
    </row>
    <row r="222" spans="1:19" ht="15.75" thickBot="1">
      <c r="A222" s="858">
        <f t="shared" si="40"/>
        <v>208</v>
      </c>
      <c r="B222" s="1054"/>
      <c r="C222" s="232" t="s">
        <v>1339</v>
      </c>
      <c r="D222" s="510">
        <f>SUM(D183:D220)</f>
        <v>211060341.03000006</v>
      </c>
      <c r="E222" s="510">
        <f>SUM(E183:E220)</f>
        <v>0</v>
      </c>
      <c r="F222" s="510">
        <f>SUM(F183:F220)</f>
        <v>211060341.03000006</v>
      </c>
      <c r="G222" s="1032"/>
      <c r="H222" s="1032"/>
      <c r="I222" s="510">
        <f>SUM(I183:I220)</f>
        <v>9950201.8585361745</v>
      </c>
      <c r="J222" s="809"/>
      <c r="K222" s="510">
        <f>SUM(K183:K220)</f>
        <v>205040960.03000006</v>
      </c>
      <c r="L222" s="1032"/>
      <c r="M222" s="1032"/>
      <c r="N222" s="510">
        <f>SUM(N183:N220)</f>
        <v>9645237.0575440675</v>
      </c>
    </row>
    <row r="223" spans="1:19" ht="15.75" thickTop="1">
      <c r="A223" s="858">
        <f t="shared" si="40"/>
        <v>209</v>
      </c>
      <c r="B223" s="1047"/>
      <c r="C223" s="88"/>
      <c r="D223" s="321"/>
      <c r="E223" s="327"/>
      <c r="F223" s="327"/>
      <c r="I223" s="327"/>
    </row>
    <row r="224" spans="1:19">
      <c r="A224" s="858">
        <f t="shared" si="40"/>
        <v>210</v>
      </c>
      <c r="B224" s="1047"/>
      <c r="C224" s="81" t="s">
        <v>756</v>
      </c>
      <c r="D224" s="321">
        <f>'[3]Gross Plant'!$AF204</f>
        <v>8866626.7499999981</v>
      </c>
      <c r="E224" s="327">
        <v>0</v>
      </c>
      <c r="F224" s="327">
        <f>D224+E224</f>
        <v>8866626.7499999981</v>
      </c>
      <c r="G224" s="465">
        <f>$G$183</f>
        <v>0.10349999999999999</v>
      </c>
      <c r="H224" s="465">
        <f>$H$183</f>
        <v>0.5025136071712456</v>
      </c>
      <c r="I224" s="327">
        <f>F224*G224*H224</f>
        <v>461154.66122889816</v>
      </c>
      <c r="K224" s="321">
        <f>'[3]Gross Plant'!$D$204</f>
        <v>8866626.7499999981</v>
      </c>
      <c r="L224" s="465">
        <f>G224</f>
        <v>0.10349999999999999</v>
      </c>
      <c r="M224" s="465">
        <f>H224</f>
        <v>0.5025136071712456</v>
      </c>
      <c r="N224" s="327">
        <f>K224*L224*M224</f>
        <v>461154.66122889816</v>
      </c>
    </row>
    <row r="225" spans="1:19">
      <c r="A225" s="858">
        <f t="shared" si="40"/>
        <v>211</v>
      </c>
      <c r="B225" s="1047"/>
    </row>
    <row r="226" spans="1:19" ht="15.75">
      <c r="A226" s="858">
        <f t="shared" si="40"/>
        <v>212</v>
      </c>
      <c r="B226" s="1050" t="s">
        <v>9</v>
      </c>
    </row>
    <row r="227" spans="1:19">
      <c r="A227" s="858">
        <f t="shared" si="40"/>
        <v>213</v>
      </c>
      <c r="B227" s="1047"/>
    </row>
    <row r="228" spans="1:19">
      <c r="A228" s="858">
        <f t="shared" si="40"/>
        <v>214</v>
      </c>
      <c r="B228" s="1054"/>
      <c r="C228" s="619" t="s">
        <v>305</v>
      </c>
    </row>
    <row r="229" spans="1:19">
      <c r="A229" s="858">
        <f t="shared" si="40"/>
        <v>215</v>
      </c>
      <c r="B229" s="1053">
        <v>38900</v>
      </c>
      <c r="C229" s="232" t="s">
        <v>296</v>
      </c>
      <c r="D229" s="321">
        <f>'[3]Gross Plant'!$AF50</f>
        <v>2874239.86</v>
      </c>
      <c r="E229" s="345">
        <v>0</v>
      </c>
      <c r="F229" s="345">
        <f t="shared" ref="F229:F257" si="65">D229+E229</f>
        <v>2874239.86</v>
      </c>
      <c r="G229" s="465">
        <f>Allocation!$C$15</f>
        <v>0.10929999999999999</v>
      </c>
      <c r="H229" s="465">
        <f>Allocation!$D$15</f>
        <v>0.51883860656465508</v>
      </c>
      <c r="I229" s="345">
        <f t="shared" ref="I229:I232" si="66">F229*G229*H229</f>
        <v>162995.43980572233</v>
      </c>
      <c r="K229" s="321">
        <f>'[3]Gross Plant'!$D50</f>
        <v>2874239.86</v>
      </c>
      <c r="L229" s="465">
        <f t="shared" ref="L229:L252" si="67">G229</f>
        <v>0.10929999999999999</v>
      </c>
      <c r="M229" s="465">
        <f t="shared" ref="M229:M252" si="68">H229</f>
        <v>0.51883860656465508</v>
      </c>
      <c r="N229" s="345">
        <f t="shared" ref="N229:N257" si="69">K229*L229*M229</f>
        <v>162995.43980572233</v>
      </c>
      <c r="P229" s="660"/>
      <c r="S229" s="422"/>
    </row>
    <row r="230" spans="1:19">
      <c r="A230" s="858">
        <f t="shared" si="40"/>
        <v>216</v>
      </c>
      <c r="B230" s="1053">
        <v>38910</v>
      </c>
      <c r="C230" s="232" t="s">
        <v>1209</v>
      </c>
      <c r="D230" s="321">
        <f>'[3]Gross Plant'!$AF51</f>
        <v>1887122.88</v>
      </c>
      <c r="E230" s="428">
        <v>0</v>
      </c>
      <c r="F230" s="622">
        <f>D230+E230</f>
        <v>1887122.88</v>
      </c>
      <c r="G230" s="465">
        <v>1</v>
      </c>
      <c r="H230" s="465">
        <f>Allocation!$E$21</f>
        <v>2.3324339999999999E-2</v>
      </c>
      <c r="I230" s="428">
        <f>F230*G230*H230</f>
        <v>44015.895674899199</v>
      </c>
      <c r="K230" s="321">
        <f>'[3]Gross Plant'!$D51</f>
        <v>1887122.8799999992</v>
      </c>
      <c r="L230" s="465">
        <f>G230</f>
        <v>1</v>
      </c>
      <c r="M230" s="465">
        <f>H230</f>
        <v>2.3324339999999999E-2</v>
      </c>
      <c r="N230" s="428">
        <f>K230*L230*M230</f>
        <v>44015.895674899177</v>
      </c>
      <c r="P230" s="660"/>
      <c r="S230" s="422"/>
    </row>
    <row r="231" spans="1:19">
      <c r="A231" s="858">
        <f t="shared" si="40"/>
        <v>217</v>
      </c>
      <c r="B231" s="1053">
        <v>39000</v>
      </c>
      <c r="C231" s="232" t="s">
        <v>863</v>
      </c>
      <c r="D231" s="321">
        <f>'[3]Gross Plant'!$AF52</f>
        <v>12620665.26</v>
      </c>
      <c r="E231" s="428">
        <v>0</v>
      </c>
      <c r="F231" s="622">
        <f t="shared" si="65"/>
        <v>12620665.26</v>
      </c>
      <c r="G231" s="465">
        <f>$G$229</f>
        <v>0.10929999999999999</v>
      </c>
      <c r="H231" s="465">
        <f>$H$229</f>
        <v>0.51883860656465508</v>
      </c>
      <c r="I231" s="428">
        <f t="shared" si="66"/>
        <v>715706.05965171626</v>
      </c>
      <c r="K231" s="321">
        <f>'[3]Gross Plant'!$D52</f>
        <v>12620665.26</v>
      </c>
      <c r="L231" s="465">
        <f t="shared" si="67"/>
        <v>0.10929999999999999</v>
      </c>
      <c r="M231" s="465">
        <f t="shared" si="68"/>
        <v>0.51883860656465508</v>
      </c>
      <c r="N231" s="428">
        <f t="shared" si="69"/>
        <v>715706.05965171626</v>
      </c>
      <c r="P231" s="660"/>
      <c r="S231" s="422"/>
    </row>
    <row r="232" spans="1:19">
      <c r="A232" s="858">
        <f t="shared" si="40"/>
        <v>218</v>
      </c>
      <c r="B232" s="1053">
        <v>39009</v>
      </c>
      <c r="C232" s="232" t="s">
        <v>1045</v>
      </c>
      <c r="D232" s="321">
        <f>'[3]Gross Plant'!$AF53</f>
        <v>2820613.55</v>
      </c>
      <c r="E232" s="428">
        <v>0</v>
      </c>
      <c r="F232" s="622">
        <f t="shared" si="65"/>
        <v>2820613.55</v>
      </c>
      <c r="G232" s="465">
        <f>$G$229</f>
        <v>0.10929999999999999</v>
      </c>
      <c r="H232" s="465">
        <f>$H$229</f>
        <v>0.51883860656465508</v>
      </c>
      <c r="I232" s="428">
        <f t="shared" si="66"/>
        <v>159954.34219057477</v>
      </c>
      <c r="K232" s="321">
        <f>'[3]Gross Plant'!$D53</f>
        <v>2820613.55</v>
      </c>
      <c r="L232" s="465">
        <f t="shared" si="67"/>
        <v>0.10929999999999999</v>
      </c>
      <c r="M232" s="465">
        <f t="shared" si="68"/>
        <v>0.51883860656465508</v>
      </c>
      <c r="N232" s="428">
        <f t="shared" si="69"/>
        <v>159954.34219057477</v>
      </c>
      <c r="P232" s="660"/>
      <c r="S232" s="422"/>
    </row>
    <row r="233" spans="1:19">
      <c r="A233" s="858">
        <f t="shared" ref="A233:A265" si="70">A232+1</f>
        <v>219</v>
      </c>
      <c r="B233" s="1053">
        <v>39010</v>
      </c>
      <c r="C233" s="232" t="s">
        <v>1210</v>
      </c>
      <c r="D233" s="321">
        <f>'[3]Gross Plant'!$AF54</f>
        <v>24615279.027610719</v>
      </c>
      <c r="E233" s="428">
        <v>0</v>
      </c>
      <c r="F233" s="622">
        <f>D233+E233</f>
        <v>24615279.027610719</v>
      </c>
      <c r="G233" s="465">
        <v>1</v>
      </c>
      <c r="H233" s="465">
        <f>$H$230</f>
        <v>2.3324339999999999E-2</v>
      </c>
      <c r="I233" s="428">
        <f>F233*G233*H233</f>
        <v>574135.13723486173</v>
      </c>
      <c r="K233" s="321">
        <f>'[3]Gross Plant'!$D54</f>
        <v>20859932.702454388</v>
      </c>
      <c r="L233" s="465">
        <f>G233</f>
        <v>1</v>
      </c>
      <c r="M233" s="465">
        <f>H233</f>
        <v>2.3324339999999999E-2</v>
      </c>
      <c r="N233" s="428">
        <f>K233*L233*M233</f>
        <v>486544.16272916493</v>
      </c>
      <c r="P233" s="660"/>
      <c r="S233" s="422"/>
    </row>
    <row r="234" spans="1:19">
      <c r="A234" s="858">
        <f t="shared" si="70"/>
        <v>220</v>
      </c>
      <c r="B234" s="1053">
        <v>39100</v>
      </c>
      <c r="C234" s="232" t="s">
        <v>786</v>
      </c>
      <c r="D234" s="321">
        <f>'[3]Gross Plant'!$AF55</f>
        <v>2468502.5878986544</v>
      </c>
      <c r="E234" s="428">
        <v>0</v>
      </c>
      <c r="F234" s="622">
        <f t="shared" si="65"/>
        <v>2468502.5878986544</v>
      </c>
      <c r="G234" s="465">
        <f>$G$229</f>
        <v>0.10929999999999999</v>
      </c>
      <c r="H234" s="465">
        <f>$H$229</f>
        <v>0.51883860656465508</v>
      </c>
      <c r="I234" s="428">
        <f t="shared" ref="I234:I257" si="71">F234*G234*H234</f>
        <v>139986.4606206195</v>
      </c>
      <c r="K234" s="321">
        <f>'[3]Gross Plant'!$D55</f>
        <v>2438351.7380636302</v>
      </c>
      <c r="L234" s="465">
        <f t="shared" si="67"/>
        <v>0.10929999999999999</v>
      </c>
      <c r="M234" s="465">
        <f t="shared" si="68"/>
        <v>0.51883860656465508</v>
      </c>
      <c r="N234" s="428">
        <f t="shared" si="69"/>
        <v>138276.63427739425</v>
      </c>
      <c r="P234" s="660"/>
      <c r="S234" s="422"/>
    </row>
    <row r="235" spans="1:19">
      <c r="A235" s="858">
        <f t="shared" si="70"/>
        <v>221</v>
      </c>
      <c r="B235" s="1053">
        <v>39101</v>
      </c>
      <c r="C235" s="232" t="s">
        <v>1533</v>
      </c>
      <c r="D235" s="321">
        <f>'[3]Gross Plant'!$AF56</f>
        <v>0</v>
      </c>
      <c r="E235" s="428">
        <v>0</v>
      </c>
      <c r="F235" s="622">
        <f t="shared" si="65"/>
        <v>0</v>
      </c>
      <c r="G235" s="465">
        <f>Allocation!$C$15</f>
        <v>0.10929999999999999</v>
      </c>
      <c r="H235" s="465">
        <f>Allocation!$D$15</f>
        <v>0.51883860656465508</v>
      </c>
      <c r="I235" s="428">
        <f t="shared" si="71"/>
        <v>0</v>
      </c>
      <c r="K235" s="321">
        <f>'[3]Gross Plant'!$D56</f>
        <v>0</v>
      </c>
      <c r="L235" s="465">
        <f>Allocation!$C$15</f>
        <v>0.10929999999999999</v>
      </c>
      <c r="M235" s="465">
        <f>Allocation!$D$15</f>
        <v>0.51883860656465508</v>
      </c>
      <c r="N235" s="428">
        <f t="shared" si="69"/>
        <v>0</v>
      </c>
      <c r="P235" s="660"/>
      <c r="S235" s="422"/>
    </row>
    <row r="236" spans="1:19">
      <c r="A236" s="858">
        <f t="shared" si="70"/>
        <v>222</v>
      </c>
      <c r="B236" s="1053">
        <v>39102</v>
      </c>
      <c r="C236" s="232" t="s">
        <v>1543</v>
      </c>
      <c r="D236" s="321">
        <f>'[3]Gross Plant'!$AF57</f>
        <v>0</v>
      </c>
      <c r="E236" s="428">
        <v>0</v>
      </c>
      <c r="F236" s="622">
        <f t="shared" si="65"/>
        <v>0</v>
      </c>
      <c r="G236" s="465">
        <f>Allocation!$C$15</f>
        <v>0.10929999999999999</v>
      </c>
      <c r="H236" s="465">
        <f>Allocation!$D$15</f>
        <v>0.51883860656465508</v>
      </c>
      <c r="I236" s="428">
        <f t="shared" si="71"/>
        <v>0</v>
      </c>
      <c r="K236" s="321">
        <f>'[3]Gross Plant'!$D57</f>
        <v>0</v>
      </c>
      <c r="L236" s="465">
        <f>Allocation!$C$15</f>
        <v>0.10929999999999999</v>
      </c>
      <c r="M236" s="465">
        <f>Allocation!$D$15</f>
        <v>0.51883860656465508</v>
      </c>
      <c r="N236" s="428">
        <f t="shared" si="69"/>
        <v>0</v>
      </c>
      <c r="P236" s="660"/>
      <c r="S236" s="422"/>
    </row>
    <row r="237" spans="1:19">
      <c r="A237" s="858">
        <f t="shared" si="70"/>
        <v>223</v>
      </c>
      <c r="B237" s="1053">
        <v>39103</v>
      </c>
      <c r="C237" s="232" t="s">
        <v>1341</v>
      </c>
      <c r="D237" s="321">
        <f>'[3]Gross Plant'!$AF58</f>
        <v>0</v>
      </c>
      <c r="E237" s="428">
        <v>0</v>
      </c>
      <c r="F237" s="622">
        <f t="shared" si="65"/>
        <v>0</v>
      </c>
      <c r="G237" s="465">
        <f>$G$229</f>
        <v>0.10929999999999999</v>
      </c>
      <c r="H237" s="465">
        <f>$H$229</f>
        <v>0.51883860656465508</v>
      </c>
      <c r="I237" s="428">
        <f t="shared" si="71"/>
        <v>0</v>
      </c>
      <c r="K237" s="321">
        <f>'[3]Gross Plant'!$D58</f>
        <v>0</v>
      </c>
      <c r="L237" s="465">
        <f t="shared" ref="L237:L241" si="72">G237</f>
        <v>0.10929999999999999</v>
      </c>
      <c r="M237" s="465">
        <f t="shared" ref="M237:M241" si="73">H237</f>
        <v>0.51883860656465508</v>
      </c>
      <c r="N237" s="428">
        <f t="shared" si="69"/>
        <v>0</v>
      </c>
      <c r="P237" s="660"/>
      <c r="S237" s="422"/>
    </row>
    <row r="238" spans="1:19">
      <c r="A238" s="858">
        <f t="shared" si="70"/>
        <v>224</v>
      </c>
      <c r="B238" s="1053">
        <v>39110</v>
      </c>
      <c r="C238" s="232" t="s">
        <v>1544</v>
      </c>
      <c r="D238" s="321">
        <f>'[3]Gross Plant'!$AF59</f>
        <v>2747979.3174940771</v>
      </c>
      <c r="E238" s="428">
        <v>0</v>
      </c>
      <c r="F238" s="622">
        <f t="shared" si="65"/>
        <v>2747979.3174940771</v>
      </c>
      <c r="G238" s="465">
        <v>1</v>
      </c>
      <c r="H238" s="465">
        <f>Allocation!$E$21</f>
        <v>2.3324339999999999E-2</v>
      </c>
      <c r="I238" s="428">
        <f t="shared" si="71"/>
        <v>64094.803914199802</v>
      </c>
      <c r="K238" s="321">
        <f>'[3]Gross Plant'!$D59</f>
        <v>2006914.2984162667</v>
      </c>
      <c r="L238" s="465">
        <f t="shared" si="72"/>
        <v>1</v>
      </c>
      <c r="M238" s="465">
        <f t="shared" si="73"/>
        <v>2.3324339999999999E-2</v>
      </c>
      <c r="N238" s="428">
        <f t="shared" si="69"/>
        <v>46809.951447122461</v>
      </c>
      <c r="P238" s="660"/>
      <c r="S238" s="422"/>
    </row>
    <row r="239" spans="1:19">
      <c r="A239" s="858">
        <f t="shared" si="70"/>
        <v>225</v>
      </c>
      <c r="B239" s="1053">
        <v>39210</v>
      </c>
      <c r="C239" s="232" t="s">
        <v>1545</v>
      </c>
      <c r="D239" s="321">
        <f>'[3]Gross Plant'!$AF60</f>
        <v>96290.22</v>
      </c>
      <c r="E239" s="428">
        <v>0</v>
      </c>
      <c r="F239" s="622">
        <f t="shared" si="65"/>
        <v>96290.22</v>
      </c>
      <c r="G239" s="465">
        <v>1</v>
      </c>
      <c r="H239" s="465">
        <f>Allocation!$E$21</f>
        <v>2.3324339999999999E-2</v>
      </c>
      <c r="I239" s="428">
        <f t="shared" si="71"/>
        <v>2245.9058299548001</v>
      </c>
      <c r="K239" s="321">
        <f>'[3]Gross Plant'!$D60</f>
        <v>96290.219999999987</v>
      </c>
      <c r="L239" s="465">
        <f t="shared" si="72"/>
        <v>1</v>
      </c>
      <c r="M239" s="465">
        <f t="shared" si="73"/>
        <v>2.3324339999999999E-2</v>
      </c>
      <c r="N239" s="428">
        <f t="shared" si="69"/>
        <v>2245.9058299547996</v>
      </c>
      <c r="P239" s="660"/>
      <c r="S239" s="422"/>
    </row>
    <row r="240" spans="1:19">
      <c r="A240" s="858">
        <f t="shared" si="70"/>
        <v>226</v>
      </c>
      <c r="B240" s="1053">
        <v>39410</v>
      </c>
      <c r="C240" s="232" t="s">
        <v>1546</v>
      </c>
      <c r="D240" s="321">
        <f>'[3]Gross Plant'!$AF61</f>
        <v>347774.5</v>
      </c>
      <c r="E240" s="428">
        <v>0</v>
      </c>
      <c r="F240" s="622">
        <f t="shared" si="65"/>
        <v>347774.5</v>
      </c>
      <c r="G240" s="465">
        <v>1</v>
      </c>
      <c r="H240" s="465">
        <f>Allocation!$E$21</f>
        <v>2.3324339999999999E-2</v>
      </c>
      <c r="I240" s="428">
        <f t="shared" si="71"/>
        <v>8111.6106813299994</v>
      </c>
      <c r="K240" s="321">
        <f>'[3]Gross Plant'!$D61</f>
        <v>347774.5</v>
      </c>
      <c r="L240" s="465">
        <f t="shared" si="72"/>
        <v>1</v>
      </c>
      <c r="M240" s="465">
        <f t="shared" si="73"/>
        <v>2.3324339999999999E-2</v>
      </c>
      <c r="N240" s="428">
        <f t="shared" si="69"/>
        <v>8111.6106813299994</v>
      </c>
      <c r="P240" s="660"/>
      <c r="S240" s="422"/>
    </row>
    <row r="241" spans="1:19">
      <c r="A241" s="858">
        <f t="shared" si="70"/>
        <v>227</v>
      </c>
      <c r="B241" s="1053">
        <v>39510</v>
      </c>
      <c r="C241" s="232" t="s">
        <v>1547</v>
      </c>
      <c r="D241" s="321">
        <f>'[3]Gross Plant'!$AF62</f>
        <v>23632.07</v>
      </c>
      <c r="E241" s="428">
        <v>0</v>
      </c>
      <c r="F241" s="622">
        <f t="shared" si="65"/>
        <v>23632.07</v>
      </c>
      <c r="G241" s="465">
        <v>1</v>
      </c>
      <c r="H241" s="465">
        <f>Allocation!$E$21</f>
        <v>2.3324339999999999E-2</v>
      </c>
      <c r="I241" s="428">
        <f t="shared" si="71"/>
        <v>551.20243558380002</v>
      </c>
      <c r="K241" s="321">
        <f>'[3]Gross Plant'!$D62</f>
        <v>23632.070000000003</v>
      </c>
      <c r="L241" s="465">
        <f t="shared" si="72"/>
        <v>1</v>
      </c>
      <c r="M241" s="465">
        <f t="shared" si="73"/>
        <v>2.3324339999999999E-2</v>
      </c>
      <c r="N241" s="428">
        <f t="shared" si="69"/>
        <v>551.20243558380002</v>
      </c>
      <c r="P241" s="660"/>
      <c r="S241" s="422"/>
    </row>
    <row r="242" spans="1:19">
      <c r="A242" s="858">
        <f t="shared" si="70"/>
        <v>228</v>
      </c>
      <c r="B242" s="1053">
        <v>39700</v>
      </c>
      <c r="C242" s="232" t="s">
        <v>445</v>
      </c>
      <c r="D242" s="321">
        <f>'[3]Gross Plant'!$AF63</f>
        <v>1913117.11</v>
      </c>
      <c r="E242" s="428">
        <v>0</v>
      </c>
      <c r="F242" s="622">
        <f t="shared" si="65"/>
        <v>1913117.11</v>
      </c>
      <c r="G242" s="465">
        <f>$G$229</f>
        <v>0.10929999999999999</v>
      </c>
      <c r="H242" s="465">
        <f>$H$229</f>
        <v>0.51883860656465508</v>
      </c>
      <c r="I242" s="428">
        <f t="shared" si="71"/>
        <v>108491.07239933081</v>
      </c>
      <c r="K242" s="321">
        <f>'[3]Gross Plant'!$D63</f>
        <v>1913117.1099999996</v>
      </c>
      <c r="L242" s="465">
        <f t="shared" si="67"/>
        <v>0.10929999999999999</v>
      </c>
      <c r="M242" s="465">
        <f t="shared" si="68"/>
        <v>0.51883860656465508</v>
      </c>
      <c r="N242" s="428">
        <f t="shared" si="69"/>
        <v>108491.07239933079</v>
      </c>
      <c r="P242" s="660"/>
      <c r="S242" s="422"/>
    </row>
    <row r="243" spans="1:19">
      <c r="A243" s="858">
        <f t="shared" si="70"/>
        <v>229</v>
      </c>
      <c r="B243" s="1053">
        <v>39710</v>
      </c>
      <c r="C243" s="232" t="s">
        <v>1211</v>
      </c>
      <c r="D243" s="321">
        <f>'[3]Gross Plant'!$AF64</f>
        <v>294319.45</v>
      </c>
      <c r="E243" s="428">
        <v>0</v>
      </c>
      <c r="F243" s="622">
        <f t="shared" si="65"/>
        <v>294319.45</v>
      </c>
      <c r="G243" s="465">
        <v>1</v>
      </c>
      <c r="H243" s="465">
        <f>$H$230</f>
        <v>2.3324339999999999E-2</v>
      </c>
      <c r="I243" s="428">
        <f t="shared" si="71"/>
        <v>6864.8069204129997</v>
      </c>
      <c r="K243" s="321">
        <f>'[3]Gross Plant'!$D64</f>
        <v>294319.45000000007</v>
      </c>
      <c r="L243" s="465">
        <f>G243</f>
        <v>1</v>
      </c>
      <c r="M243" s="465">
        <f>H243</f>
        <v>2.3324339999999999E-2</v>
      </c>
      <c r="N243" s="428">
        <f t="shared" si="69"/>
        <v>6864.8069204130015</v>
      </c>
      <c r="P243" s="660"/>
      <c r="S243" s="422"/>
    </row>
    <row r="244" spans="1:19">
      <c r="A244" s="858">
        <f t="shared" si="70"/>
        <v>230</v>
      </c>
      <c r="B244" s="1053">
        <v>39800</v>
      </c>
      <c r="C244" s="232" t="s">
        <v>656</v>
      </c>
      <c r="D244" s="321">
        <f>'[3]Gross Plant'!$AF65</f>
        <v>70015.66</v>
      </c>
      <c r="E244" s="428">
        <v>0</v>
      </c>
      <c r="F244" s="622">
        <f t="shared" si="65"/>
        <v>70015.66</v>
      </c>
      <c r="G244" s="465">
        <f t="shared" ref="G244:G252" si="74">$G$229</f>
        <v>0.10929999999999999</v>
      </c>
      <c r="H244" s="465">
        <f t="shared" ref="H244:H252" si="75">$H$229</f>
        <v>0.51883860656465508</v>
      </c>
      <c r="I244" s="428">
        <f t="shared" si="71"/>
        <v>3970.522242701039</v>
      </c>
      <c r="K244" s="321">
        <f>'[3]Gross Plant'!$D65</f>
        <v>70015.660000000018</v>
      </c>
      <c r="L244" s="465">
        <f t="shared" si="67"/>
        <v>0.10929999999999999</v>
      </c>
      <c r="M244" s="465">
        <f t="shared" si="68"/>
        <v>0.51883860656465508</v>
      </c>
      <c r="N244" s="428">
        <f t="shared" si="69"/>
        <v>3970.5222427010399</v>
      </c>
      <c r="P244" s="660"/>
      <c r="S244" s="422"/>
    </row>
    <row r="245" spans="1:19">
      <c r="A245" s="858">
        <f t="shared" si="70"/>
        <v>231</v>
      </c>
      <c r="B245" s="1053">
        <v>39810</v>
      </c>
      <c r="C245" s="232" t="s">
        <v>1548</v>
      </c>
      <c r="D245" s="321">
        <f>'[3]Gross Plant'!$AF66</f>
        <v>509282.85</v>
      </c>
      <c r="E245" s="428">
        <v>0</v>
      </c>
      <c r="F245" s="622">
        <f t="shared" si="65"/>
        <v>509282.85</v>
      </c>
      <c r="G245" s="465">
        <v>1</v>
      </c>
      <c r="H245" s="465">
        <f>Allocation!$E$21</f>
        <v>2.3324339999999999E-2</v>
      </c>
      <c r="I245" s="428">
        <f t="shared" si="71"/>
        <v>11878.686349569</v>
      </c>
      <c r="K245" s="321">
        <f>'[3]Gross Plant'!$D66</f>
        <v>509282.84999999992</v>
      </c>
      <c r="L245" s="465">
        <f t="shared" si="67"/>
        <v>1</v>
      </c>
      <c r="M245" s="465">
        <f t="shared" si="68"/>
        <v>2.3324339999999999E-2</v>
      </c>
      <c r="N245" s="428">
        <f t="shared" si="69"/>
        <v>11878.686349568998</v>
      </c>
      <c r="P245" s="660"/>
      <c r="S245" s="422"/>
    </row>
    <row r="246" spans="1:19">
      <c r="A246" s="858">
        <f t="shared" si="70"/>
        <v>232</v>
      </c>
      <c r="B246" s="1053">
        <v>39900</v>
      </c>
      <c r="C246" s="232" t="s">
        <v>1162</v>
      </c>
      <c r="D246" s="321">
        <f>'[3]Gross Plant'!$AF67</f>
        <v>629166.46</v>
      </c>
      <c r="E246" s="428">
        <v>0</v>
      </c>
      <c r="F246" s="622">
        <f t="shared" si="65"/>
        <v>629166.46</v>
      </c>
      <c r="G246" s="465">
        <f t="shared" si="74"/>
        <v>0.10929999999999999</v>
      </c>
      <c r="H246" s="465">
        <f t="shared" si="75"/>
        <v>0.51883860656465508</v>
      </c>
      <c r="I246" s="428">
        <f t="shared" si="71"/>
        <v>35679.438339815315</v>
      </c>
      <c r="K246" s="321">
        <f>'[3]Gross Plant'!$D67</f>
        <v>629166.46</v>
      </c>
      <c r="L246" s="465">
        <f t="shared" si="67"/>
        <v>0.10929999999999999</v>
      </c>
      <c r="M246" s="465">
        <f t="shared" si="68"/>
        <v>0.51883860656465508</v>
      </c>
      <c r="N246" s="428">
        <f t="shared" si="69"/>
        <v>35679.438339815315</v>
      </c>
      <c r="P246" s="660"/>
      <c r="S246" s="422"/>
    </row>
    <row r="247" spans="1:19">
      <c r="A247" s="858">
        <f t="shared" si="70"/>
        <v>233</v>
      </c>
      <c r="B247" s="1053">
        <v>39901</v>
      </c>
      <c r="C247" s="232" t="s">
        <v>479</v>
      </c>
      <c r="D247" s="321">
        <f>'[3]Gross Plant'!$AF68</f>
        <v>9312629.8658036739</v>
      </c>
      <c r="E247" s="428">
        <v>0</v>
      </c>
      <c r="F247" s="622">
        <f t="shared" si="65"/>
        <v>9312629.8658036739</v>
      </c>
      <c r="G247" s="465">
        <f t="shared" si="74"/>
        <v>0.10929999999999999</v>
      </c>
      <c r="H247" s="465">
        <f t="shared" si="75"/>
        <v>0.51883860656465508</v>
      </c>
      <c r="I247" s="428">
        <f t="shared" si="71"/>
        <v>528110.48300073843</v>
      </c>
      <c r="K247" s="321">
        <f>'[3]Gross Plant'!$D68</f>
        <v>9312040.3817340173</v>
      </c>
      <c r="L247" s="465">
        <f t="shared" si="67"/>
        <v>0.10929999999999999</v>
      </c>
      <c r="M247" s="465">
        <f t="shared" si="68"/>
        <v>0.51883860656465508</v>
      </c>
      <c r="N247" s="428">
        <f t="shared" si="69"/>
        <v>528077.05391344149</v>
      </c>
      <c r="P247" s="660"/>
      <c r="S247" s="422"/>
    </row>
    <row r="248" spans="1:19">
      <c r="A248" s="858">
        <f t="shared" si="70"/>
        <v>234</v>
      </c>
      <c r="B248" s="1053">
        <v>39902</v>
      </c>
      <c r="C248" s="232" t="s">
        <v>968</v>
      </c>
      <c r="D248" s="321">
        <f>'[3]Gross Plant'!$AF69</f>
        <v>1891144.7000000002</v>
      </c>
      <c r="E248" s="428">
        <v>0</v>
      </c>
      <c r="F248" s="622">
        <f t="shared" si="65"/>
        <v>1891144.7000000002</v>
      </c>
      <c r="G248" s="465">
        <f t="shared" si="74"/>
        <v>0.10929999999999999</v>
      </c>
      <c r="H248" s="465">
        <f t="shared" si="75"/>
        <v>0.51883860656465508</v>
      </c>
      <c r="I248" s="428">
        <f t="shared" si="71"/>
        <v>107245.03768894251</v>
      </c>
      <c r="K248" s="321">
        <f>'[3]Gross Plant'!$D69</f>
        <v>1891144.6999999995</v>
      </c>
      <c r="L248" s="465">
        <f t="shared" si="67"/>
        <v>0.10929999999999999</v>
      </c>
      <c r="M248" s="465">
        <f t="shared" si="68"/>
        <v>0.51883860656465508</v>
      </c>
      <c r="N248" s="428">
        <f t="shared" si="69"/>
        <v>107245.03768894247</v>
      </c>
      <c r="P248" s="660"/>
      <c r="S248" s="422"/>
    </row>
    <row r="249" spans="1:19">
      <c r="A249" s="858">
        <f t="shared" si="70"/>
        <v>235</v>
      </c>
      <c r="B249" s="1053">
        <v>39903</v>
      </c>
      <c r="C249" s="232" t="s">
        <v>1011</v>
      </c>
      <c r="D249" s="321">
        <f>'[3]Gross Plant'!$AF70</f>
        <v>629225.62</v>
      </c>
      <c r="E249" s="428">
        <v>0</v>
      </c>
      <c r="F249" s="622">
        <f t="shared" si="65"/>
        <v>629225.62</v>
      </c>
      <c r="G249" s="465">
        <f t="shared" si="74"/>
        <v>0.10929999999999999</v>
      </c>
      <c r="H249" s="465">
        <f t="shared" si="75"/>
        <v>0.51883860656465508</v>
      </c>
      <c r="I249" s="428">
        <f t="shared" si="71"/>
        <v>35682.793247787013</v>
      </c>
      <c r="K249" s="321">
        <f>'[3]Gross Plant'!$D70</f>
        <v>629225.62</v>
      </c>
      <c r="L249" s="465">
        <f t="shared" si="67"/>
        <v>0.10929999999999999</v>
      </c>
      <c r="M249" s="465">
        <f t="shared" si="68"/>
        <v>0.51883860656465508</v>
      </c>
      <c r="N249" s="428">
        <f t="shared" si="69"/>
        <v>35682.793247787013</v>
      </c>
      <c r="P249" s="660"/>
      <c r="S249" s="422"/>
    </row>
    <row r="250" spans="1:19">
      <c r="A250" s="858">
        <f t="shared" si="70"/>
        <v>236</v>
      </c>
      <c r="B250" s="1053">
        <v>39906</v>
      </c>
      <c r="C250" s="232" t="s">
        <v>456</v>
      </c>
      <c r="D250" s="321">
        <f>'[3]Gross Plant'!$AF71</f>
        <v>954590.21881777409</v>
      </c>
      <c r="E250" s="428">
        <v>0</v>
      </c>
      <c r="F250" s="622">
        <f t="shared" si="65"/>
        <v>954590.21881777409</v>
      </c>
      <c r="G250" s="465">
        <f t="shared" si="74"/>
        <v>0.10929999999999999</v>
      </c>
      <c r="H250" s="465">
        <f t="shared" si="75"/>
        <v>0.51883860656465508</v>
      </c>
      <c r="I250" s="428">
        <f t="shared" si="71"/>
        <v>54133.913705602768</v>
      </c>
      <c r="K250" s="321">
        <f>'[3]Gross Plant'!$D71</f>
        <v>926170.69767124567</v>
      </c>
      <c r="L250" s="465">
        <f t="shared" si="67"/>
        <v>0.10929999999999999</v>
      </c>
      <c r="M250" s="465">
        <f t="shared" si="68"/>
        <v>0.51883860656465508</v>
      </c>
      <c r="N250" s="428">
        <f t="shared" si="69"/>
        <v>52522.269384329455</v>
      </c>
      <c r="P250" s="660"/>
      <c r="S250" s="422"/>
    </row>
    <row r="251" spans="1:19">
      <c r="A251" s="858">
        <f t="shared" si="70"/>
        <v>237</v>
      </c>
      <c r="B251" s="1053">
        <v>39907</v>
      </c>
      <c r="C251" s="232" t="s">
        <v>510</v>
      </c>
      <c r="D251" s="321">
        <f>'[3]Gross Plant'!$AF72</f>
        <v>190246.97</v>
      </c>
      <c r="E251" s="428">
        <v>0</v>
      </c>
      <c r="F251" s="622">
        <f t="shared" si="65"/>
        <v>190246.97</v>
      </c>
      <c r="G251" s="465">
        <f t="shared" si="74"/>
        <v>0.10929999999999999</v>
      </c>
      <c r="H251" s="465">
        <f t="shared" si="75"/>
        <v>0.51883860656465508</v>
      </c>
      <c r="I251" s="428">
        <f t="shared" si="71"/>
        <v>10788.726779001689</v>
      </c>
      <c r="K251" s="321">
        <f>'[3]Gross Plant'!$D72</f>
        <v>190246.97000000003</v>
      </c>
      <c r="L251" s="465">
        <f t="shared" si="67"/>
        <v>0.10929999999999999</v>
      </c>
      <c r="M251" s="465">
        <f t="shared" si="68"/>
        <v>0.51883860656465508</v>
      </c>
      <c r="N251" s="428">
        <f t="shared" si="69"/>
        <v>10788.72677900169</v>
      </c>
      <c r="P251" s="660"/>
      <c r="S251" s="422"/>
    </row>
    <row r="252" spans="1:19">
      <c r="A252" s="858">
        <f t="shared" si="70"/>
        <v>238</v>
      </c>
      <c r="B252" s="1053">
        <v>39908</v>
      </c>
      <c r="C252" s="232" t="s">
        <v>180</v>
      </c>
      <c r="D252" s="321">
        <f>'[3]Gross Plant'!$AF73</f>
        <v>90725191.515431374</v>
      </c>
      <c r="E252" s="428">
        <v>0</v>
      </c>
      <c r="F252" s="622">
        <f t="shared" si="65"/>
        <v>90725191.515431374</v>
      </c>
      <c r="G252" s="465">
        <f t="shared" si="74"/>
        <v>0.10929999999999999</v>
      </c>
      <c r="H252" s="465">
        <f t="shared" si="75"/>
        <v>0.51883860656465508</v>
      </c>
      <c r="I252" s="428">
        <f t="shared" si="71"/>
        <v>5144940.3017172422</v>
      </c>
      <c r="K252" s="321">
        <f>'[3]Gross Plant'!$D73</f>
        <v>90020744.762595102</v>
      </c>
      <c r="L252" s="465">
        <f t="shared" si="67"/>
        <v>0.10929999999999999</v>
      </c>
      <c r="M252" s="465">
        <f t="shared" si="68"/>
        <v>0.51883860656465508</v>
      </c>
      <c r="N252" s="428">
        <f t="shared" si="69"/>
        <v>5104991.7887569275</v>
      </c>
      <c r="P252" s="660"/>
      <c r="S252" s="422"/>
    </row>
    <row r="253" spans="1:19">
      <c r="A253" s="858">
        <f t="shared" si="70"/>
        <v>239</v>
      </c>
      <c r="B253" s="1053">
        <v>39910</v>
      </c>
      <c r="C253" s="232" t="s">
        <v>1212</v>
      </c>
      <c r="D253" s="321">
        <f>'[3]Gross Plant'!$AF74</f>
        <v>320517.96818500827</v>
      </c>
      <c r="E253" s="428">
        <v>0</v>
      </c>
      <c r="F253" s="622">
        <f t="shared" si="65"/>
        <v>320517.96818500827</v>
      </c>
      <c r="G253" s="465">
        <v>1</v>
      </c>
      <c r="H253" s="465">
        <f>$H$230</f>
        <v>2.3324339999999999E-2</v>
      </c>
      <c r="I253" s="428">
        <f t="shared" si="71"/>
        <v>7475.8700660563154</v>
      </c>
      <c r="K253" s="321">
        <f>'[3]Gross Plant'!$D74</f>
        <v>260294.75824396341</v>
      </c>
      <c r="L253" s="465">
        <f t="shared" ref="L253:M255" si="76">G253</f>
        <v>1</v>
      </c>
      <c r="M253" s="465">
        <f t="shared" si="76"/>
        <v>2.3324339999999999E-2</v>
      </c>
      <c r="N253" s="428">
        <f t="shared" si="69"/>
        <v>6071.2034415000053</v>
      </c>
      <c r="P253" s="660"/>
      <c r="S253" s="422"/>
    </row>
    <row r="254" spans="1:19">
      <c r="A254" s="858">
        <f t="shared" si="70"/>
        <v>240</v>
      </c>
      <c r="B254" s="1053">
        <v>39916</v>
      </c>
      <c r="C254" s="80" t="s">
        <v>1213</v>
      </c>
      <c r="D254" s="321">
        <f>'[3]Gross Plant'!$AF75</f>
        <v>312289.64031858783</v>
      </c>
      <c r="E254" s="428">
        <v>0</v>
      </c>
      <c r="F254" s="622">
        <f t="shared" si="65"/>
        <v>312289.64031858783</v>
      </c>
      <c r="G254" s="465">
        <v>1</v>
      </c>
      <c r="H254" s="465">
        <f>$H$230</f>
        <v>2.3324339999999999E-2</v>
      </c>
      <c r="I254" s="428">
        <f t="shared" si="71"/>
        <v>7283.9497492684504</v>
      </c>
      <c r="K254" s="321">
        <f>'[3]Gross Plant'!$D75</f>
        <v>290739.59266415105</v>
      </c>
      <c r="L254" s="465">
        <f t="shared" si="76"/>
        <v>1</v>
      </c>
      <c r="M254" s="465">
        <f t="shared" si="76"/>
        <v>2.3324339999999999E-2</v>
      </c>
      <c r="N254" s="428">
        <f t="shared" si="69"/>
        <v>6781.3091107601649</v>
      </c>
      <c r="P254" s="660"/>
      <c r="S254" s="422"/>
    </row>
    <row r="255" spans="1:19">
      <c r="A255" s="858">
        <f t="shared" si="70"/>
        <v>241</v>
      </c>
      <c r="B255" s="1053">
        <v>39917</v>
      </c>
      <c r="C255" s="80" t="s">
        <v>1214</v>
      </c>
      <c r="D255" s="321">
        <f>'[3]Gross Plant'!$AF76</f>
        <v>130748.76844009206</v>
      </c>
      <c r="E255" s="428">
        <v>0</v>
      </c>
      <c r="F255" s="622">
        <f t="shared" si="65"/>
        <v>130748.76844009206</v>
      </c>
      <c r="G255" s="465">
        <v>1</v>
      </c>
      <c r="H255" s="465">
        <f>$H$230</f>
        <v>2.3324339999999999E-2</v>
      </c>
      <c r="I255" s="428">
        <f t="shared" si="71"/>
        <v>3049.6287296779765</v>
      </c>
      <c r="K255" s="321">
        <f>'[3]Gross Plant'!$D76</f>
        <v>122539.97815722387</v>
      </c>
      <c r="L255" s="465">
        <f t="shared" si="76"/>
        <v>1</v>
      </c>
      <c r="M255" s="465">
        <f t="shared" si="76"/>
        <v>2.3324339999999999E-2</v>
      </c>
      <c r="N255" s="428">
        <f t="shared" si="69"/>
        <v>2858.1641141316627</v>
      </c>
      <c r="P255" s="660"/>
      <c r="S255" s="422"/>
    </row>
    <row r="256" spans="1:19">
      <c r="A256" s="858">
        <f t="shared" si="70"/>
        <v>242</v>
      </c>
      <c r="B256" s="1053">
        <v>39918</v>
      </c>
      <c r="C256" s="80" t="s">
        <v>1549</v>
      </c>
      <c r="D256" s="321">
        <f>'[3]Gross Plant'!$AF77</f>
        <v>20560.16</v>
      </c>
      <c r="E256" s="428">
        <v>0</v>
      </c>
      <c r="F256" s="622">
        <f t="shared" si="65"/>
        <v>20560.16</v>
      </c>
      <c r="G256" s="465">
        <v>1</v>
      </c>
      <c r="H256" s="465">
        <f>Allocation!$E$21</f>
        <v>2.3324339999999999E-2</v>
      </c>
      <c r="I256" s="428">
        <f t="shared" si="71"/>
        <v>479.55216229439998</v>
      </c>
      <c r="K256" s="321">
        <f>'[3]Gross Plant'!$D77</f>
        <v>20560.16</v>
      </c>
      <c r="L256" s="465">
        <f t="shared" ref="L256" si="77">G256</f>
        <v>1</v>
      </c>
      <c r="M256" s="465">
        <f t="shared" ref="M256" si="78">H256</f>
        <v>2.3324339999999999E-2</v>
      </c>
      <c r="N256" s="428">
        <f t="shared" si="69"/>
        <v>479.55216229439998</v>
      </c>
      <c r="P256" s="660"/>
      <c r="S256" s="422"/>
    </row>
    <row r="257" spans="1:19">
      <c r="A257" s="858">
        <f t="shared" si="70"/>
        <v>243</v>
      </c>
      <c r="B257" s="1053">
        <v>39924</v>
      </c>
      <c r="C257" s="80" t="s">
        <v>1550</v>
      </c>
      <c r="D257" s="321">
        <f>'[3]Gross Plant'!$AF78</f>
        <v>0</v>
      </c>
      <c r="E257" s="428">
        <v>0</v>
      </c>
      <c r="F257" s="622">
        <f t="shared" si="65"/>
        <v>0</v>
      </c>
      <c r="G257" s="465">
        <f>Allocation!$C$15</f>
        <v>0.10929999999999999</v>
      </c>
      <c r="H257" s="465">
        <f>Allocation!$D$15</f>
        <v>0.51883860656465508</v>
      </c>
      <c r="I257" s="428">
        <f t="shared" si="71"/>
        <v>0</v>
      </c>
      <c r="K257" s="321">
        <f>'[3]Gross Plant'!$D78</f>
        <v>0</v>
      </c>
      <c r="L257" s="465">
        <f>Allocation!$C$15</f>
        <v>0.10929999999999999</v>
      </c>
      <c r="M257" s="465">
        <f>Allocation!$D$15</f>
        <v>0.51883860656465508</v>
      </c>
      <c r="N257" s="428">
        <f t="shared" si="69"/>
        <v>0</v>
      </c>
      <c r="P257" s="660"/>
      <c r="S257" s="422"/>
    </row>
    <row r="258" spans="1:19">
      <c r="A258" s="858">
        <f t="shared" si="70"/>
        <v>244</v>
      </c>
      <c r="B258" s="81"/>
      <c r="C258" s="232"/>
      <c r="D258" s="618"/>
      <c r="E258" s="618"/>
      <c r="F258" s="618"/>
      <c r="I258" s="618"/>
      <c r="K258" s="618"/>
      <c r="N258" s="618"/>
    </row>
    <row r="259" spans="1:19" ht="15.75" thickBot="1">
      <c r="A259" s="858">
        <f t="shared" si="70"/>
        <v>245</v>
      </c>
      <c r="B259" s="81"/>
      <c r="C259" s="232" t="s">
        <v>1340</v>
      </c>
      <c r="D259" s="510">
        <f>SUM(D229:D257)</f>
        <v>158405146.22999999</v>
      </c>
      <c r="E259" s="510">
        <f>SUM(E229:E257)</f>
        <v>0</v>
      </c>
      <c r="F259" s="510">
        <f>SUM(F229:F257)</f>
        <v>158405146.22999999</v>
      </c>
      <c r="G259" s="1032"/>
      <c r="H259" s="1032"/>
      <c r="I259" s="510">
        <f>SUM(I229:I257)</f>
        <v>7937871.6411379026</v>
      </c>
      <c r="J259" s="809"/>
      <c r="K259" s="510">
        <f>SUM(K229:K257)</f>
        <v>153055146.22999999</v>
      </c>
      <c r="L259" s="1032"/>
      <c r="M259" s="1032"/>
      <c r="N259" s="510">
        <f>SUM(N229:N257)</f>
        <v>7787593.6295744069</v>
      </c>
    </row>
    <row r="260" spans="1:19" ht="15.75" thickTop="1">
      <c r="A260" s="858">
        <f t="shared" si="70"/>
        <v>246</v>
      </c>
      <c r="B260" s="81"/>
      <c r="C260" s="88"/>
      <c r="D260" s="327"/>
      <c r="E260" s="327"/>
      <c r="F260" s="327"/>
      <c r="I260" s="327"/>
      <c r="K260" s="327"/>
      <c r="N260" s="327"/>
    </row>
    <row r="261" spans="1:19">
      <c r="A261" s="858">
        <f t="shared" si="70"/>
        <v>247</v>
      </c>
      <c r="B261" s="81"/>
      <c r="C261" s="81" t="s">
        <v>756</v>
      </c>
      <c r="D261" s="321">
        <f>'[3]Gross Plant'!$AF$208</f>
        <v>3382555.21</v>
      </c>
      <c r="E261" s="327">
        <v>0</v>
      </c>
      <c r="F261" s="327">
        <f>D261+E261</f>
        <v>3382555.21</v>
      </c>
      <c r="G261" s="465">
        <f>$G$229</f>
        <v>0.10929999999999999</v>
      </c>
      <c r="H261" s="465">
        <f>$H$229</f>
        <v>0.51883860656465508</v>
      </c>
      <c r="I261" s="327">
        <f>F261*G261*H261</f>
        <v>191821.52533403647</v>
      </c>
      <c r="K261" s="321">
        <f>'[3]Gross Plant'!$D$208</f>
        <v>3382555.2100000004</v>
      </c>
      <c r="L261" s="465">
        <f>G261</f>
        <v>0.10929999999999999</v>
      </c>
      <c r="M261" s="465">
        <f>H261</f>
        <v>0.51883860656465508</v>
      </c>
      <c r="N261" s="327">
        <f>K261*L261*M261</f>
        <v>191821.52533403647</v>
      </c>
    </row>
    <row r="262" spans="1:19">
      <c r="A262" s="858">
        <f t="shared" si="70"/>
        <v>248</v>
      </c>
    </row>
    <row r="263" spans="1:19" ht="15.75" thickBot="1">
      <c r="A263" s="858">
        <f t="shared" si="70"/>
        <v>249</v>
      </c>
      <c r="C263" s="88" t="s">
        <v>755</v>
      </c>
      <c r="D263" s="466">
        <f>D259+D222+D176+D114</f>
        <v>1032511027.5829306</v>
      </c>
      <c r="E263" s="466">
        <f>E259+E222+E176+E114</f>
        <v>0</v>
      </c>
      <c r="F263" s="466">
        <f>F259+F222+F176+F114</f>
        <v>1032511027.5829306</v>
      </c>
      <c r="I263" s="466">
        <f>I259+I222+I176+I114</f>
        <v>679131592.9004035</v>
      </c>
      <c r="K263" s="466">
        <f>K259+K222+K176+K114</f>
        <v>999904154.46902418</v>
      </c>
      <c r="N263" s="466">
        <f>N259+N222+N176+N114</f>
        <v>657447129.35568082</v>
      </c>
      <c r="P263" s="670"/>
    </row>
    <row r="264" spans="1:19" ht="15.75" thickTop="1">
      <c r="A264" s="858">
        <f t="shared" si="70"/>
        <v>250</v>
      </c>
    </row>
    <row r="265" spans="1:19" ht="30.75" thickBot="1">
      <c r="A265" s="858">
        <f t="shared" si="70"/>
        <v>251</v>
      </c>
      <c r="C265" s="614" t="s">
        <v>5</v>
      </c>
      <c r="D265" s="466">
        <f>D261+D224+D178+D116</f>
        <v>39084184.399999991</v>
      </c>
      <c r="E265" s="1055"/>
      <c r="F265" s="466">
        <f>F261+F224+F178+F116</f>
        <v>39084184.399999991</v>
      </c>
      <c r="I265" s="466">
        <f>I261+I224+I178+I116</f>
        <v>27493203.263484463</v>
      </c>
      <c r="K265" s="466">
        <f>K261+K224+K178+K116</f>
        <v>39084184.399999991</v>
      </c>
      <c r="N265" s="466">
        <f>N261+N224+N178+N116</f>
        <v>27493203.263484463</v>
      </c>
    </row>
    <row r="266" spans="1:19" ht="15.75" thickTop="1">
      <c r="A266" s="858">
        <f t="shared" ref="A266:A270" si="79">A265+1</f>
        <v>252</v>
      </c>
    </row>
    <row r="267" spans="1:19">
      <c r="A267" s="858">
        <f t="shared" si="79"/>
        <v>253</v>
      </c>
    </row>
    <row r="268" spans="1:19">
      <c r="A268" s="858">
        <f t="shared" si="79"/>
        <v>254</v>
      </c>
    </row>
    <row r="269" spans="1:19">
      <c r="A269" s="858">
        <f t="shared" si="79"/>
        <v>255</v>
      </c>
      <c r="C269" s="80" t="s">
        <v>523</v>
      </c>
    </row>
    <row r="270" spans="1:19">
      <c r="A270" s="858">
        <f t="shared" si="79"/>
        <v>256</v>
      </c>
      <c r="C270" s="80" t="s">
        <v>1602</v>
      </c>
    </row>
  </sheetData>
  <mergeCells count="4">
    <mergeCell ref="A1:N1"/>
    <mergeCell ref="A2:N2"/>
    <mergeCell ref="A3:N3"/>
    <mergeCell ref="A4:N4"/>
  </mergeCells>
  <phoneticPr fontId="22" type="noConversion"/>
  <pageMargins left="0.52" right="0.34" top="0.96" bottom="1" header="0.5" footer="0.42"/>
  <pageSetup scale="53" orientation="landscape" r:id="rId1"/>
  <headerFooter alignWithMargins="0">
    <oddFooter>&amp;RSchedule &amp;A
Page &amp;P of &amp;N</oddFooter>
  </headerFooter>
  <rowBreaks count="6" manualBreakCount="6">
    <brk id="47" max="13" man="1"/>
    <brk id="83" max="13" man="1"/>
    <brk id="116" max="13" man="1"/>
    <brk id="149" max="13" man="1"/>
    <brk id="178" max="13" man="1"/>
    <brk id="224" max="1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J138"/>
  <sheetViews>
    <sheetView view="pageBreakPreview" zoomScale="80" zoomScaleNormal="90" zoomScaleSheetLayoutView="80" workbookViewId="0">
      <pane xSplit="6" ySplit="13" topLeftCell="G62" activePane="bottomRight" state="frozen"/>
      <selection activeCell="F37" sqref="F37"/>
      <selection pane="topRight" activeCell="F37" sqref="F37"/>
      <selection pane="bottomLeft" activeCell="F37" sqref="F37"/>
      <selection pane="bottomRight" activeCell="G82" sqref="G82"/>
    </sheetView>
  </sheetViews>
  <sheetFormatPr defaultColWidth="6.44140625" defaultRowHeight="15"/>
  <cols>
    <col min="1" max="1" width="4.33203125" style="81" customWidth="1"/>
    <col min="2" max="2" width="11.44140625" style="81" customWidth="1"/>
    <col min="3" max="4" width="6.44140625" style="81"/>
    <col min="5" max="5" width="7.109375" style="81" customWidth="1"/>
    <col min="6" max="6" width="7.33203125" style="81" customWidth="1"/>
    <col min="7" max="7" width="12.77734375" style="81" customWidth="1"/>
    <col min="8" max="8" width="13.6640625" style="81" customWidth="1"/>
    <col min="9" max="10" width="9.88671875" style="81" customWidth="1"/>
    <col min="11" max="11" width="9.44140625" style="81" customWidth="1"/>
    <col min="12" max="12" width="9.77734375" style="81" customWidth="1"/>
    <col min="13" max="13" width="9.44140625" style="81" bestFit="1" customWidth="1"/>
    <col min="14" max="14" width="9.88671875" style="81" customWidth="1"/>
    <col min="15" max="15" width="9.5546875" style="81" customWidth="1"/>
    <col min="16" max="18" width="9.77734375" style="81" customWidth="1"/>
    <col min="19" max="19" width="9.44140625" style="81" customWidth="1"/>
    <col min="20" max="20" width="7.21875" style="81" customWidth="1"/>
    <col min="21" max="22" width="6.44140625" style="81"/>
    <col min="23" max="23" width="9.33203125" style="81" customWidth="1"/>
    <col min="24" max="24" width="6.44140625" style="81"/>
    <col min="25" max="25" width="10.6640625" style="81" customWidth="1"/>
    <col min="26" max="16384" width="6.44140625" style="81"/>
  </cols>
  <sheetData>
    <row r="1" spans="1:36" ht="15.75">
      <c r="A1" s="1190" t="str">
        <f>'Table of Contents'!A1:C1</f>
        <v>Atmos Energy Corporation, Kentucky/Mid-States Division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1190"/>
      <c r="Q1" s="1190"/>
      <c r="R1" s="1190"/>
      <c r="S1" s="1018"/>
    </row>
    <row r="2" spans="1:36">
      <c r="A2" s="1190" t="str">
        <f>'Table of Contents'!A2:C2</f>
        <v>Kentucky Jurisdiction Case No. 2017-00349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019"/>
    </row>
    <row r="3" spans="1:36">
      <c r="A3" s="1190" t="s">
        <v>25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020"/>
    </row>
    <row r="4" spans="1:36">
      <c r="A4" s="1190" t="str">
        <f>'Table of Contents'!A3:C3</f>
        <v>Base Period: Twelve Months Ended December 31, 2017</v>
      </c>
      <c r="B4" s="1190"/>
      <c r="C4" s="1190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</row>
    <row r="5" spans="1:36">
      <c r="A5" s="1190" t="str">
        <f>'Table of Contents'!A4:C4</f>
        <v>Forecasted Test Period: Twelve Months Ended March 31, 2019</v>
      </c>
      <c r="B5" s="1190"/>
      <c r="C5" s="1190"/>
      <c r="D5" s="1190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</row>
    <row r="6" spans="1:36">
      <c r="A6" s="1190" t="s">
        <v>1243</v>
      </c>
      <c r="B6" s="1190"/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  <c r="Q6" s="1190"/>
      <c r="R6" s="1190"/>
      <c r="S6" s="670"/>
    </row>
    <row r="7" spans="1:36">
      <c r="A7" s="852"/>
      <c r="N7" s="88"/>
    </row>
    <row r="8" spans="1:36">
      <c r="A8" s="88" t="s">
        <v>199</v>
      </c>
      <c r="N8" s="88"/>
      <c r="O8" s="88"/>
      <c r="Q8" s="88"/>
      <c r="R8" s="170" t="s">
        <v>1439</v>
      </c>
    </row>
    <row r="9" spans="1:36">
      <c r="A9" s="694" t="s">
        <v>1057</v>
      </c>
      <c r="N9" s="88"/>
      <c r="O9" s="88"/>
      <c r="Q9" s="88"/>
      <c r="R9" s="983" t="s">
        <v>47</v>
      </c>
    </row>
    <row r="10" spans="1:36">
      <c r="A10" s="431" t="s">
        <v>369</v>
      </c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390"/>
      <c r="P10" s="151"/>
      <c r="Q10" s="431"/>
      <c r="R10" s="1021" t="s">
        <v>1681</v>
      </c>
    </row>
    <row r="11" spans="1:36">
      <c r="T11" s="690"/>
    </row>
    <row r="12" spans="1:36">
      <c r="A12" s="88" t="s">
        <v>94</v>
      </c>
      <c r="G12" s="852" t="s">
        <v>44</v>
      </c>
      <c r="H12" s="852" t="s">
        <v>45</v>
      </c>
      <c r="I12" s="151"/>
      <c r="J12" s="151"/>
      <c r="K12" s="151"/>
      <c r="L12" s="151"/>
      <c r="M12" s="433" t="s">
        <v>625</v>
      </c>
      <c r="N12" s="433"/>
      <c r="O12" s="151"/>
      <c r="P12" s="151"/>
      <c r="Q12" s="151"/>
      <c r="R12" s="151"/>
    </row>
    <row r="13" spans="1:36">
      <c r="A13" s="431" t="s">
        <v>100</v>
      </c>
      <c r="B13" s="151"/>
      <c r="C13" s="433" t="s">
        <v>993</v>
      </c>
      <c r="D13" s="151"/>
      <c r="E13" s="151"/>
      <c r="F13" s="151"/>
      <c r="G13" s="433" t="s">
        <v>543</v>
      </c>
      <c r="H13" s="433" t="s">
        <v>543</v>
      </c>
      <c r="I13" s="689">
        <v>2016</v>
      </c>
      <c r="J13" s="689">
        <v>2015</v>
      </c>
      <c r="K13" s="689">
        <v>2014</v>
      </c>
      <c r="L13" s="689">
        <v>2013</v>
      </c>
      <c r="M13" s="689">
        <v>2012</v>
      </c>
      <c r="N13" s="689">
        <v>2011</v>
      </c>
      <c r="O13" s="689">
        <v>2010</v>
      </c>
      <c r="P13" s="689">
        <v>2009</v>
      </c>
      <c r="Q13" s="689">
        <v>2008</v>
      </c>
      <c r="R13" s="689">
        <v>2007</v>
      </c>
    </row>
    <row r="14" spans="1:36">
      <c r="K14" s="81" t="s">
        <v>327</v>
      </c>
    </row>
    <row r="15" spans="1:36" ht="15.75">
      <c r="A15" s="852">
        <v>1</v>
      </c>
      <c r="B15" s="619" t="s">
        <v>1164</v>
      </c>
      <c r="C15" s="99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18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</row>
    <row r="16" spans="1:36" ht="15.75">
      <c r="A16" s="852">
        <f>A15+1</f>
        <v>2</v>
      </c>
      <c r="B16" s="88" t="s">
        <v>312</v>
      </c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18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</row>
    <row r="17" spans="1:36" ht="15.75">
      <c r="A17" s="852">
        <f t="shared" ref="A17:A80" si="0">A16+1</f>
        <v>3</v>
      </c>
      <c r="B17" s="88" t="s">
        <v>179</v>
      </c>
      <c r="G17" s="108">
        <f>('B.2 F'!I19+'B.2 F'!I124)/1000</f>
        <v>778.86765676968594</v>
      </c>
      <c r="H17" s="108">
        <f>('B.2 B'!I19+'B.2 B'!I124)/1000</f>
        <v>778.86765676968594</v>
      </c>
      <c r="I17" s="108">
        <f>[32]K!I17</f>
        <v>128</v>
      </c>
      <c r="J17" s="108">
        <f>[32]K!J17</f>
        <v>128</v>
      </c>
      <c r="K17" s="108">
        <f>[32]K!K17</f>
        <v>128</v>
      </c>
      <c r="L17" s="108">
        <f>[32]K!L17</f>
        <v>128</v>
      </c>
      <c r="M17" s="108">
        <f>[32]K!M17</f>
        <v>128</v>
      </c>
      <c r="N17" s="108">
        <f>[32]K!N17</f>
        <v>128</v>
      </c>
      <c r="O17" s="108">
        <f>[32]K!O17</f>
        <v>128</v>
      </c>
      <c r="P17" s="108">
        <f>[32]K!P17</f>
        <v>128</v>
      </c>
      <c r="Q17" s="108">
        <f>[32]K!Q17</f>
        <v>128</v>
      </c>
      <c r="R17" s="108">
        <f>[32]K!R17</f>
        <v>128</v>
      </c>
      <c r="S17" s="1018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</row>
    <row r="18" spans="1:36">
      <c r="A18" s="852">
        <f t="shared" si="0"/>
        <v>4</v>
      </c>
      <c r="B18" s="88" t="s">
        <v>26</v>
      </c>
      <c r="G18" s="108">
        <f>('B.2 F'!I26)/1000</f>
        <v>0</v>
      </c>
      <c r="H18" s="108">
        <f>('B.2 B'!I26)/1000</f>
        <v>0</v>
      </c>
      <c r="I18" s="108">
        <f>[32]K!I18</f>
        <v>0</v>
      </c>
      <c r="J18" s="108">
        <f>[32]K!J18</f>
        <v>0</v>
      </c>
      <c r="K18" s="108">
        <f>[32]K!K18</f>
        <v>636</v>
      </c>
      <c r="L18" s="108">
        <f>[32]K!L18</f>
        <v>901</v>
      </c>
      <c r="M18" s="108">
        <f>[32]K!M18</f>
        <v>901</v>
      </c>
      <c r="N18" s="108">
        <f>[32]K!N18</f>
        <v>901</v>
      </c>
      <c r="O18" s="108">
        <f>[32]K!O18</f>
        <v>901</v>
      </c>
      <c r="P18" s="108">
        <f>[32]K!P18</f>
        <v>901</v>
      </c>
      <c r="Q18" s="108">
        <f>[32]K!Q18</f>
        <v>901</v>
      </c>
      <c r="R18" s="108">
        <f>[32]K!R18</f>
        <v>901</v>
      </c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</row>
    <row r="19" spans="1:36">
      <c r="A19" s="852">
        <f t="shared" si="0"/>
        <v>5</v>
      </c>
      <c r="B19" s="88" t="s">
        <v>27</v>
      </c>
      <c r="G19" s="108">
        <f>('B.2 F'!I47)/1000</f>
        <v>14279.673914722802</v>
      </c>
      <c r="H19" s="108">
        <f>('B.2 B'!I47)/1000</f>
        <v>14141.695432716124</v>
      </c>
      <c r="I19" s="108">
        <f>[32]K!I19</f>
        <v>12454</v>
      </c>
      <c r="J19" s="108">
        <f>[32]K!J19</f>
        <v>11560</v>
      </c>
      <c r="K19" s="108">
        <f>[32]K!K19</f>
        <v>10792</v>
      </c>
      <c r="L19" s="108">
        <f>[32]K!L19</f>
        <v>9630</v>
      </c>
      <c r="M19" s="108">
        <f>[32]K!M19</f>
        <v>10104</v>
      </c>
      <c r="N19" s="108">
        <f>[32]K!N19</f>
        <v>9388</v>
      </c>
      <c r="O19" s="108">
        <f>[32]K!O19</f>
        <v>7731</v>
      </c>
      <c r="P19" s="108">
        <f>[32]K!P19</f>
        <v>7540</v>
      </c>
      <c r="Q19" s="108">
        <f>[32]K!Q19</f>
        <v>6950</v>
      </c>
      <c r="R19" s="108">
        <f>[32]K!R19</f>
        <v>6878</v>
      </c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</row>
    <row r="20" spans="1:36">
      <c r="A20" s="852">
        <f t="shared" si="0"/>
        <v>6</v>
      </c>
      <c r="B20" s="88" t="s">
        <v>28</v>
      </c>
      <c r="G20" s="108">
        <f>('B.2 F'!I59)/1000</f>
        <v>31807.960000000003</v>
      </c>
      <c r="H20" s="108">
        <f>('B.2 B'!I59)/1000</f>
        <v>31807.960000000003</v>
      </c>
      <c r="I20" s="108">
        <f>[32]K!I20</f>
        <v>31814</v>
      </c>
      <c r="J20" s="108">
        <f>[32]K!J20</f>
        <v>31808</v>
      </c>
      <c r="K20" s="108">
        <f>[32]K!K20</f>
        <v>31877</v>
      </c>
      <c r="L20" s="108">
        <f>[32]K!L20</f>
        <v>32962</v>
      </c>
      <c r="M20" s="108">
        <f>[32]K!M20</f>
        <v>32836</v>
      </c>
      <c r="N20" s="108">
        <f>[32]K!N20</f>
        <v>33144</v>
      </c>
      <c r="O20" s="108">
        <f>[32]K!O20</f>
        <v>31189</v>
      </c>
      <c r="P20" s="108">
        <f>[32]K!P20</f>
        <v>31202</v>
      </c>
      <c r="Q20" s="108">
        <f>[32]K!Q20</f>
        <v>28807</v>
      </c>
      <c r="R20" s="108">
        <f>[32]K!R20</f>
        <v>28746</v>
      </c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</row>
    <row r="21" spans="1:36">
      <c r="A21" s="852">
        <f t="shared" si="0"/>
        <v>7</v>
      </c>
      <c r="B21" s="88" t="s">
        <v>504</v>
      </c>
      <c r="G21" s="108">
        <f>('B.2 F'!I83+'B.2 F'!I149)/1000</f>
        <v>588244.25114979537</v>
      </c>
      <c r="H21" s="108">
        <f>('B.2 B'!I83+'B.2 B'!I149)/1000</f>
        <v>522189.74230903795</v>
      </c>
      <c r="I21" s="108">
        <f>[32]K!I21</f>
        <v>472849</v>
      </c>
      <c r="J21" s="108">
        <f>[32]K!J21</f>
        <v>413302</v>
      </c>
      <c r="K21" s="108">
        <f>[32]K!K21</f>
        <v>381623</v>
      </c>
      <c r="L21" s="108">
        <f>[32]K!L21</f>
        <v>340200</v>
      </c>
      <c r="M21" s="108">
        <f>[32]K!M21</f>
        <v>323036</v>
      </c>
      <c r="N21" s="108">
        <f>[32]K!N21</f>
        <v>296493</v>
      </c>
      <c r="O21" s="108">
        <f>[32]K!O21</f>
        <v>283474</v>
      </c>
      <c r="P21" s="108">
        <f>[32]K!P21</f>
        <v>271463</v>
      </c>
      <c r="Q21" s="108">
        <f>[32]K!Q21</f>
        <v>260621</v>
      </c>
      <c r="R21" s="108">
        <f>[32]K!R21</f>
        <v>251843</v>
      </c>
    </row>
    <row r="22" spans="1:36">
      <c r="A22" s="852">
        <f t="shared" si="0"/>
        <v>8</v>
      </c>
      <c r="B22" s="88" t="s">
        <v>964</v>
      </c>
      <c r="G22" s="108">
        <f>('B.2 F'!I112+'B.2 F'!I174+'B.2 F'!I222+'B.2 F'!I259)/1000</f>
        <v>44020.840179115614</v>
      </c>
      <c r="H22" s="108">
        <f>('B.2 B'!I112+'B.2 B'!I174+'B.2 B'!I222+'B.2 B'!I259)/1000</f>
        <v>40685.676173441512</v>
      </c>
      <c r="I22" s="108">
        <f>[32]K!I22</f>
        <v>21271</v>
      </c>
      <c r="J22" s="108">
        <f>[32]K!J22</f>
        <v>18126</v>
      </c>
      <c r="K22" s="108">
        <f>[32]K!K22</f>
        <v>16683</v>
      </c>
      <c r="L22" s="108">
        <f>[32]K!L22</f>
        <v>15589</v>
      </c>
      <c r="M22" s="108">
        <f>[32]K!M22</f>
        <v>15238</v>
      </c>
      <c r="N22" s="108">
        <f>[32]K!N22</f>
        <v>16000</v>
      </c>
      <c r="O22" s="108">
        <f>[32]K!O22</f>
        <v>15103</v>
      </c>
      <c r="P22" s="108">
        <f>[32]K!P22</f>
        <v>14696</v>
      </c>
      <c r="Q22" s="108">
        <f>[32]K!Q22</f>
        <v>15422</v>
      </c>
      <c r="R22" s="108">
        <f>[32]K!R22</f>
        <v>15165</v>
      </c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</row>
    <row r="23" spans="1:36">
      <c r="A23" s="852">
        <f t="shared" si="0"/>
        <v>9</v>
      </c>
      <c r="B23" s="88" t="s">
        <v>386</v>
      </c>
      <c r="G23" s="108"/>
      <c r="H23" s="108"/>
      <c r="I23" s="108">
        <f>[32]K!I23</f>
        <v>3279</v>
      </c>
      <c r="J23" s="108">
        <f>[32]K!J23</f>
        <v>3279</v>
      </c>
      <c r="K23" s="108">
        <f>[32]K!K23</f>
        <v>3279</v>
      </c>
      <c r="L23" s="108">
        <f>[32]K!L23</f>
        <v>3279</v>
      </c>
      <c r="M23" s="108">
        <f>[32]K!M23</f>
        <v>3279</v>
      </c>
      <c r="N23" s="108">
        <f>[32]K!N23</f>
        <v>3279</v>
      </c>
      <c r="O23" s="108">
        <f>[32]K!O23</f>
        <v>3337</v>
      </c>
      <c r="P23" s="108">
        <f>[32]K!P23</f>
        <v>3337</v>
      </c>
      <c r="Q23" s="108">
        <f>[32]K!Q23</f>
        <v>3337</v>
      </c>
      <c r="R23" s="108">
        <f>[32]K!R23</f>
        <v>3337</v>
      </c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</row>
    <row r="24" spans="1:36">
      <c r="A24" s="852">
        <f t="shared" si="0"/>
        <v>10</v>
      </c>
      <c r="B24" s="88" t="s">
        <v>327</v>
      </c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</row>
    <row r="25" spans="1:36">
      <c r="A25" s="852">
        <f t="shared" si="0"/>
        <v>11</v>
      </c>
      <c r="B25" s="88" t="s">
        <v>166</v>
      </c>
      <c r="G25" s="108">
        <f t="shared" ref="G25:R25" si="1">SUM(G17:G24)</f>
        <v>679131.59290040354</v>
      </c>
      <c r="H25" s="108">
        <f t="shared" si="1"/>
        <v>609603.94157196523</v>
      </c>
      <c r="I25" s="108">
        <f t="shared" si="1"/>
        <v>541795</v>
      </c>
      <c r="J25" s="108">
        <f t="shared" si="1"/>
        <v>478203</v>
      </c>
      <c r="K25" s="108">
        <f t="shared" si="1"/>
        <v>445018</v>
      </c>
      <c r="L25" s="108">
        <f t="shared" si="1"/>
        <v>402689</v>
      </c>
      <c r="M25" s="108">
        <f t="shared" si="1"/>
        <v>385522</v>
      </c>
      <c r="N25" s="108">
        <f t="shared" si="1"/>
        <v>359333</v>
      </c>
      <c r="O25" s="108">
        <f t="shared" si="1"/>
        <v>341863</v>
      </c>
      <c r="P25" s="108">
        <f t="shared" si="1"/>
        <v>329267</v>
      </c>
      <c r="Q25" s="108">
        <f t="shared" si="1"/>
        <v>316166</v>
      </c>
      <c r="R25" s="108">
        <f t="shared" si="1"/>
        <v>306998</v>
      </c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</row>
    <row r="26" spans="1:36">
      <c r="A26" s="852">
        <f t="shared" si="0"/>
        <v>12</v>
      </c>
      <c r="B26" s="88" t="s">
        <v>387</v>
      </c>
      <c r="G26" s="109">
        <f>-'B.1 F '!D17/1000</f>
        <v>199948.56440244839</v>
      </c>
      <c r="H26" s="425">
        <f>-'B.1 B'!D17/1000</f>
        <v>191190.4908893806</v>
      </c>
      <c r="I26" s="108">
        <f>[32]K!I26</f>
        <v>167228</v>
      </c>
      <c r="J26" s="108">
        <f>[32]K!J26</f>
        <v>165298</v>
      </c>
      <c r="K26" s="108">
        <f>[32]K!K26</f>
        <v>160839</v>
      </c>
      <c r="L26" s="108">
        <f>[32]K!L26</f>
        <v>158300</v>
      </c>
      <c r="M26" s="108">
        <f>[32]K!M26</f>
        <v>151849</v>
      </c>
      <c r="N26" s="108">
        <f>[32]K!N26</f>
        <v>150795</v>
      </c>
      <c r="O26" s="108">
        <f>[32]K!O26</f>
        <v>147462</v>
      </c>
      <c r="P26" s="108">
        <f>[32]K!P26</f>
        <v>144016</v>
      </c>
      <c r="Q26" s="108">
        <f>[32]K!Q26</f>
        <v>139212</v>
      </c>
      <c r="R26" s="108">
        <f>[32]K!R26</f>
        <v>134463</v>
      </c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</row>
    <row r="27" spans="1:36">
      <c r="A27" s="852">
        <f t="shared" si="0"/>
        <v>13</v>
      </c>
      <c r="B27" s="88" t="s">
        <v>388</v>
      </c>
      <c r="G27" s="108">
        <f t="shared" ref="G27:R27" si="2">G25-G26</f>
        <v>479183.02849795518</v>
      </c>
      <c r="H27" s="683">
        <f t="shared" si="2"/>
        <v>418413.45068258466</v>
      </c>
      <c r="I27" s="1022">
        <f t="shared" si="2"/>
        <v>374567</v>
      </c>
      <c r="J27" s="1022">
        <f t="shared" si="2"/>
        <v>312905</v>
      </c>
      <c r="K27" s="1022">
        <f t="shared" si="2"/>
        <v>284179</v>
      </c>
      <c r="L27" s="1022">
        <f t="shared" si="2"/>
        <v>244389</v>
      </c>
      <c r="M27" s="1022">
        <f t="shared" si="2"/>
        <v>233673</v>
      </c>
      <c r="N27" s="1022">
        <f t="shared" si="2"/>
        <v>208538</v>
      </c>
      <c r="O27" s="1022">
        <f t="shared" si="2"/>
        <v>194401</v>
      </c>
      <c r="P27" s="1022">
        <f t="shared" si="2"/>
        <v>185251</v>
      </c>
      <c r="Q27" s="1022">
        <f t="shared" si="2"/>
        <v>176954</v>
      </c>
      <c r="R27" s="1022">
        <f t="shared" si="2"/>
        <v>172535</v>
      </c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</row>
    <row r="28" spans="1:36">
      <c r="A28" s="852">
        <f t="shared" si="0"/>
        <v>14</v>
      </c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36">
      <c r="A29" s="852">
        <f t="shared" si="0"/>
        <v>15</v>
      </c>
      <c r="B29" s="88" t="s">
        <v>790</v>
      </c>
      <c r="G29" s="108">
        <f>'B.1 F '!D16/1000</f>
        <v>27493.203263484462</v>
      </c>
      <c r="H29" s="108">
        <f>'B.1 B'!D16/1000</f>
        <v>27493.203263484462</v>
      </c>
      <c r="I29" s="108">
        <f>[32]K!I29</f>
        <v>10146.378000000001</v>
      </c>
      <c r="J29" s="108">
        <f>[32]K!J29</f>
        <v>26310.035</v>
      </c>
      <c r="K29" s="108">
        <f>[32]K!K29</f>
        <v>12708</v>
      </c>
      <c r="L29" s="108">
        <f>[32]K!L29</f>
        <v>16578</v>
      </c>
      <c r="M29" s="108">
        <f>[32]K!M29</f>
        <v>6006</v>
      </c>
      <c r="N29" s="108">
        <f>[32]K!N29</f>
        <v>3306</v>
      </c>
      <c r="O29" s="108">
        <f>[32]K!O29</f>
        <v>7197</v>
      </c>
      <c r="P29" s="108">
        <f>[32]K!P29</f>
        <v>4851</v>
      </c>
      <c r="Q29" s="108">
        <f>[32]K!Q29</f>
        <v>5215</v>
      </c>
      <c r="R29" s="108">
        <f>[32]K!R29</f>
        <v>1897</v>
      </c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</row>
    <row r="30" spans="1:36">
      <c r="A30" s="852">
        <f t="shared" si="0"/>
        <v>16</v>
      </c>
      <c r="B30" s="88" t="s">
        <v>327</v>
      </c>
      <c r="G30" s="109"/>
      <c r="H30" s="109"/>
      <c r="I30" s="109"/>
      <c r="J30" s="109"/>
      <c r="K30" s="1023"/>
      <c r="L30" s="109"/>
      <c r="M30" s="109"/>
      <c r="N30" s="109"/>
      <c r="O30" s="109"/>
      <c r="P30" s="109"/>
      <c r="Q30" s="109"/>
      <c r="R30" s="109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</row>
    <row r="31" spans="1:36">
      <c r="A31" s="852">
        <f t="shared" si="0"/>
        <v>17</v>
      </c>
      <c r="B31" s="88" t="s">
        <v>1188</v>
      </c>
      <c r="G31" s="108">
        <f t="shared" ref="G31:R31" si="3">SUM(G29:G30)</f>
        <v>27493.203263484462</v>
      </c>
      <c r="H31" s="108">
        <f t="shared" si="3"/>
        <v>27493.203263484462</v>
      </c>
      <c r="I31" s="108">
        <f t="shared" si="3"/>
        <v>10146.378000000001</v>
      </c>
      <c r="J31" s="108">
        <f t="shared" si="3"/>
        <v>26310.035</v>
      </c>
      <c r="K31" s="108">
        <f t="shared" si="3"/>
        <v>12708</v>
      </c>
      <c r="L31" s="108">
        <f t="shared" si="3"/>
        <v>16578</v>
      </c>
      <c r="M31" s="108">
        <f t="shared" si="3"/>
        <v>6006</v>
      </c>
      <c r="N31" s="108">
        <f t="shared" si="3"/>
        <v>3306</v>
      </c>
      <c r="O31" s="108">
        <f t="shared" si="3"/>
        <v>7197</v>
      </c>
      <c r="P31" s="108">
        <f t="shared" si="3"/>
        <v>4851</v>
      </c>
      <c r="Q31" s="108">
        <f t="shared" si="3"/>
        <v>5215</v>
      </c>
      <c r="R31" s="108">
        <f t="shared" si="3"/>
        <v>1897</v>
      </c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</row>
    <row r="32" spans="1:36">
      <c r="A32" s="852">
        <f t="shared" si="0"/>
        <v>18</v>
      </c>
      <c r="G32" s="108"/>
      <c r="H32" s="108"/>
      <c r="I32" s="108"/>
      <c r="J32" s="108"/>
      <c r="K32" s="108"/>
      <c r="L32" s="108"/>
      <c r="M32" s="108"/>
      <c r="N32" s="108"/>
      <c r="O32" s="103"/>
      <c r="P32" s="108"/>
      <c r="Q32" s="108"/>
      <c r="R32" s="108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</row>
    <row r="33" spans="1:36">
      <c r="A33" s="852">
        <f t="shared" si="0"/>
        <v>19</v>
      </c>
      <c r="B33" s="88" t="s">
        <v>97</v>
      </c>
      <c r="G33" s="113">
        <f t="shared" ref="G33:R33" si="4">G27+G31</f>
        <v>506676.23176143965</v>
      </c>
      <c r="H33" s="113">
        <f t="shared" si="4"/>
        <v>445906.65394606913</v>
      </c>
      <c r="I33" s="113">
        <f t="shared" si="4"/>
        <v>384713.37800000003</v>
      </c>
      <c r="J33" s="113">
        <f t="shared" si="4"/>
        <v>339215.03499999997</v>
      </c>
      <c r="K33" s="113">
        <f t="shared" si="4"/>
        <v>296887</v>
      </c>
      <c r="L33" s="113">
        <f t="shared" si="4"/>
        <v>260967</v>
      </c>
      <c r="M33" s="113">
        <f t="shared" si="4"/>
        <v>239679</v>
      </c>
      <c r="N33" s="113">
        <f t="shared" si="4"/>
        <v>211844</v>
      </c>
      <c r="O33" s="113">
        <f t="shared" si="4"/>
        <v>201598</v>
      </c>
      <c r="P33" s="113">
        <f t="shared" si="4"/>
        <v>190102</v>
      </c>
      <c r="Q33" s="113">
        <f t="shared" si="4"/>
        <v>182169</v>
      </c>
      <c r="R33" s="113">
        <f t="shared" si="4"/>
        <v>174432</v>
      </c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</row>
    <row r="34" spans="1:36">
      <c r="A34" s="852">
        <f t="shared" si="0"/>
        <v>20</v>
      </c>
      <c r="G34" s="108"/>
      <c r="H34" s="103"/>
      <c r="I34" s="108"/>
      <c r="J34" s="108"/>
      <c r="K34" s="108"/>
      <c r="L34" s="103"/>
      <c r="M34" s="108"/>
      <c r="N34" s="108"/>
      <c r="O34" s="108"/>
      <c r="P34" s="108"/>
      <c r="Q34" s="108"/>
      <c r="R34" s="108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</row>
    <row r="35" spans="1:36">
      <c r="A35" s="852">
        <f t="shared" si="0"/>
        <v>21</v>
      </c>
      <c r="B35" s="88" t="s">
        <v>389</v>
      </c>
      <c r="G35" s="114">
        <v>0</v>
      </c>
      <c r="H35" s="114">
        <v>0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</row>
    <row r="36" spans="1:36">
      <c r="A36" s="852">
        <f t="shared" si="0"/>
        <v>22</v>
      </c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</row>
    <row r="37" spans="1:36">
      <c r="A37" s="852">
        <f t="shared" si="0"/>
        <v>23</v>
      </c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</row>
    <row r="38" spans="1:36">
      <c r="A38" s="852">
        <f t="shared" si="0"/>
        <v>24</v>
      </c>
      <c r="B38" s="655" t="s">
        <v>1244</v>
      </c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73"/>
      <c r="T38" s="73"/>
      <c r="U38" s="73"/>
      <c r="AA38" s="110"/>
    </row>
    <row r="39" spans="1:36">
      <c r="A39" s="852">
        <f t="shared" si="0"/>
        <v>25</v>
      </c>
      <c r="B39" s="619" t="s">
        <v>1077</v>
      </c>
      <c r="C39" s="993"/>
      <c r="D39" s="99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73"/>
      <c r="T39" s="73"/>
      <c r="U39" s="73"/>
      <c r="X39" s="110"/>
      <c r="AA39" s="110"/>
      <c r="AC39" s="110"/>
      <c r="AD39" s="110"/>
      <c r="AE39" s="110"/>
      <c r="AF39" s="110"/>
      <c r="AG39" s="110"/>
      <c r="AH39" s="110"/>
    </row>
    <row r="40" spans="1:36" ht="15.75">
      <c r="A40" s="852">
        <f t="shared" si="0"/>
        <v>26</v>
      </c>
      <c r="B40" s="88" t="s">
        <v>1078</v>
      </c>
      <c r="G40" s="131">
        <f>'J-1 F'!G20</f>
        <v>242504.31246159747</v>
      </c>
      <c r="H40" s="131">
        <f>'J-1 Base'!G19</f>
        <v>242504.31246159747</v>
      </c>
      <c r="I40" s="131">
        <f>[32]K!I40</f>
        <v>829811</v>
      </c>
      <c r="J40" s="131">
        <f>[32]K!J40</f>
        <v>457927</v>
      </c>
      <c r="K40" s="131">
        <f>[32]K!K40</f>
        <v>196695</v>
      </c>
      <c r="L40" s="131">
        <f>[32]K!L40</f>
        <v>367984</v>
      </c>
      <c r="M40" s="131">
        <f>[32]K!M40</f>
        <v>570929</v>
      </c>
      <c r="N40" s="131">
        <f>[32]K!N40</f>
        <v>206396</v>
      </c>
      <c r="O40" s="131">
        <f>[32]K!O40</f>
        <v>126100</v>
      </c>
      <c r="P40" s="131">
        <f>[32]K!P40</f>
        <v>72550</v>
      </c>
      <c r="Q40" s="131">
        <f>[32]K!Q40</f>
        <v>350542</v>
      </c>
      <c r="R40" s="131">
        <f>[32]K!R40</f>
        <v>150599</v>
      </c>
      <c r="S40" s="1018"/>
      <c r="X40" s="110"/>
      <c r="Z40" s="110"/>
      <c r="AA40" s="110"/>
      <c r="AC40" s="110"/>
      <c r="AD40" s="110"/>
      <c r="AE40" s="110"/>
      <c r="AF40" s="110"/>
      <c r="AG40" s="110"/>
      <c r="AH40" s="110"/>
    </row>
    <row r="41" spans="1:36" ht="15.75">
      <c r="A41" s="852">
        <f t="shared" si="0"/>
        <v>27</v>
      </c>
      <c r="B41" s="88" t="s">
        <v>1079</v>
      </c>
      <c r="G41" s="131">
        <f>'J-1 F'!G22</f>
        <v>3066734.19575</v>
      </c>
      <c r="H41" s="131">
        <f>'J-1 Base'!G21</f>
        <v>3066734.19575</v>
      </c>
      <c r="I41" s="131">
        <f>[32]K!I41</f>
        <v>2438779</v>
      </c>
      <c r="J41" s="131">
        <f>[32]K!J41</f>
        <v>2437515</v>
      </c>
      <c r="K41" s="131">
        <f>[32]K!K41</f>
        <v>2455986</v>
      </c>
      <c r="L41" s="131">
        <f>[32]K!L41</f>
        <v>2455671</v>
      </c>
      <c r="M41" s="131">
        <f>[32]K!M41</f>
        <v>1956305</v>
      </c>
      <c r="N41" s="131">
        <f>[32]K!N41</f>
        <v>2206117</v>
      </c>
      <c r="O41" s="131">
        <f>[32]K!O41</f>
        <v>1809551</v>
      </c>
      <c r="P41" s="131">
        <f>[32]K!P41</f>
        <v>2169400</v>
      </c>
      <c r="Q41" s="131">
        <f>[32]K!Q41</f>
        <v>2119792</v>
      </c>
      <c r="R41" s="131">
        <f>[32]K!R41</f>
        <v>2126315</v>
      </c>
      <c r="S41" s="1018"/>
      <c r="AA41" s="110"/>
    </row>
    <row r="42" spans="1:36">
      <c r="A42" s="852">
        <f t="shared" si="0"/>
        <v>28</v>
      </c>
      <c r="B42" s="88" t="s">
        <v>257</v>
      </c>
      <c r="G42" s="684"/>
      <c r="H42" s="684"/>
      <c r="I42" s="131">
        <f>[32]K!I42</f>
        <v>0</v>
      </c>
      <c r="J42" s="131">
        <f>[32]K!J42</f>
        <v>0</v>
      </c>
      <c r="K42" s="131">
        <f>[32]K!K42</f>
        <v>0</v>
      </c>
      <c r="L42" s="131">
        <f>[32]K!L42</f>
        <v>0</v>
      </c>
      <c r="M42" s="131">
        <f>[32]K!M42</f>
        <v>0</v>
      </c>
      <c r="N42" s="131">
        <f>[32]K!N42</f>
        <v>0</v>
      </c>
      <c r="O42" s="131">
        <f>[32]K!O42</f>
        <v>0</v>
      </c>
      <c r="P42" s="131">
        <f>[32]K!P42</f>
        <v>0</v>
      </c>
      <c r="Q42" s="131">
        <f>[32]K!Q42</f>
        <v>0</v>
      </c>
      <c r="R42" s="131">
        <f>[32]K!R42</f>
        <v>0</v>
      </c>
      <c r="X42" s="110"/>
      <c r="AA42" s="110"/>
      <c r="AC42" s="110"/>
      <c r="AD42" s="110"/>
      <c r="AE42" s="110"/>
      <c r="AF42" s="110"/>
      <c r="AG42" s="110"/>
      <c r="AH42" s="110"/>
    </row>
    <row r="43" spans="1:36" ht="15.75">
      <c r="A43" s="852">
        <f t="shared" si="0"/>
        <v>29</v>
      </c>
      <c r="B43" s="88" t="s">
        <v>258</v>
      </c>
      <c r="G43" s="644">
        <f>'J-1 F'!G26</f>
        <v>3668227.0974676916</v>
      </c>
      <c r="H43" s="644">
        <f>'J-1 Base'!G25</f>
        <v>3901710.1031300002</v>
      </c>
      <c r="I43" s="131">
        <f>[32]K!I43</f>
        <v>3463059</v>
      </c>
      <c r="J43" s="131">
        <f>[32]K!J43</f>
        <v>3194797</v>
      </c>
      <c r="K43" s="131">
        <f>[32]K!K43</f>
        <v>3086232</v>
      </c>
      <c r="L43" s="131">
        <f>[32]K!L43</f>
        <v>2580409</v>
      </c>
      <c r="M43" s="131">
        <f>[32]K!M43</f>
        <v>2359243</v>
      </c>
      <c r="N43" s="131">
        <f>[32]K!N43</f>
        <v>2255421</v>
      </c>
      <c r="O43" s="131">
        <f>[32]K!O43</f>
        <v>2178348</v>
      </c>
      <c r="P43" s="131">
        <f>[32]K!P43</f>
        <v>2176761</v>
      </c>
      <c r="Q43" s="131">
        <f>[32]K!Q43</f>
        <v>2052492</v>
      </c>
      <c r="R43" s="131">
        <f>[32]K!R43</f>
        <v>1965754</v>
      </c>
      <c r="S43" s="1018"/>
      <c r="AA43" s="110"/>
    </row>
    <row r="44" spans="1:36">
      <c r="A44" s="852">
        <f t="shared" si="0"/>
        <v>30</v>
      </c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X44" s="110"/>
      <c r="Z44" s="110"/>
      <c r="AA44" s="110"/>
      <c r="AC44" s="110"/>
      <c r="AD44" s="110"/>
      <c r="AE44" s="110"/>
      <c r="AF44" s="110"/>
      <c r="AG44" s="110"/>
      <c r="AH44" s="110"/>
    </row>
    <row r="45" spans="1:36">
      <c r="A45" s="852">
        <f t="shared" si="0"/>
        <v>31</v>
      </c>
      <c r="B45" s="88" t="s">
        <v>97</v>
      </c>
      <c r="G45" s="113">
        <f>'J-1 F'!G28</f>
        <v>6977465.6056792885</v>
      </c>
      <c r="H45" s="113">
        <f>'J-1 Base'!G27</f>
        <v>7210948.6113415975</v>
      </c>
      <c r="I45" s="113">
        <f t="shared" ref="I45:R45" si="5">SUM(I40:I43)</f>
        <v>6731649</v>
      </c>
      <c r="J45" s="113">
        <f t="shared" si="5"/>
        <v>6090239</v>
      </c>
      <c r="K45" s="113">
        <f t="shared" si="5"/>
        <v>5738913</v>
      </c>
      <c r="L45" s="113">
        <f t="shared" si="5"/>
        <v>5404064</v>
      </c>
      <c r="M45" s="113">
        <f t="shared" si="5"/>
        <v>4886477</v>
      </c>
      <c r="N45" s="113">
        <f t="shared" si="5"/>
        <v>4667934</v>
      </c>
      <c r="O45" s="113">
        <f>SUM(O40:O43)</f>
        <v>4113999</v>
      </c>
      <c r="P45" s="113">
        <f t="shared" si="5"/>
        <v>4418711</v>
      </c>
      <c r="Q45" s="113">
        <f t="shared" si="5"/>
        <v>4522826</v>
      </c>
      <c r="R45" s="113">
        <f t="shared" si="5"/>
        <v>4242668</v>
      </c>
      <c r="AA45" s="110"/>
    </row>
    <row r="46" spans="1:36">
      <c r="A46" s="852">
        <f t="shared" si="0"/>
        <v>32</v>
      </c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X46" s="110"/>
      <c r="Z46" s="110"/>
      <c r="AA46" s="110"/>
      <c r="AB46" s="110"/>
      <c r="AC46" s="110"/>
      <c r="AD46" s="110"/>
      <c r="AE46" s="110"/>
      <c r="AF46" s="110"/>
      <c r="AG46" s="110"/>
      <c r="AH46" s="110"/>
    </row>
    <row r="47" spans="1:36">
      <c r="A47" s="852">
        <f t="shared" si="0"/>
        <v>33</v>
      </c>
      <c r="B47" s="619" t="s">
        <v>259</v>
      </c>
      <c r="C47" s="993"/>
      <c r="D47" s="993"/>
      <c r="E47" s="993"/>
      <c r="F47" s="993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AA47" s="110"/>
    </row>
    <row r="48" spans="1:36" ht="15.75">
      <c r="A48" s="852">
        <f t="shared" si="0"/>
        <v>34</v>
      </c>
      <c r="B48" s="88" t="s">
        <v>1197</v>
      </c>
      <c r="G48" s="131">
        <f>+I.1!L19</f>
        <v>170729.2759114207</v>
      </c>
      <c r="H48" s="131">
        <f>+I.1!J19</f>
        <v>156713.24688095582</v>
      </c>
      <c r="I48" s="131">
        <f>[32]K!I48</f>
        <v>147431</v>
      </c>
      <c r="J48" s="131">
        <f>[32]K!J48</f>
        <v>170468</v>
      </c>
      <c r="K48" s="131">
        <f>[32]K!K48</f>
        <v>196882</v>
      </c>
      <c r="L48" s="131">
        <f>[32]K!L48</f>
        <v>162968</v>
      </c>
      <c r="M48" s="131">
        <f>[32]K!M48</f>
        <v>134778</v>
      </c>
      <c r="N48" s="131">
        <f>[32]K!N48</f>
        <v>149662</v>
      </c>
      <c r="O48" s="131">
        <f>[32]K!O48</f>
        <v>156816</v>
      </c>
      <c r="P48" s="131">
        <f>[32]K!P48</f>
        <v>190356</v>
      </c>
      <c r="Q48" s="131">
        <f>[32]K!Q48</f>
        <v>244308.47516</v>
      </c>
      <c r="R48" s="131">
        <f>[32]K!R48</f>
        <v>203286.68382000001</v>
      </c>
      <c r="S48" s="1018"/>
      <c r="AA48" s="110"/>
    </row>
    <row r="49" spans="1:34" ht="15.75">
      <c r="A49" s="852">
        <f t="shared" si="0"/>
        <v>35</v>
      </c>
      <c r="B49" s="88" t="s">
        <v>289</v>
      </c>
      <c r="G49" s="108"/>
      <c r="H49" s="108"/>
      <c r="I49" s="131">
        <f>[32]K!I49</f>
        <v>0</v>
      </c>
      <c r="J49" s="131">
        <f>[32]K!J49</f>
        <v>0</v>
      </c>
      <c r="K49" s="131">
        <f>[32]K!K49</f>
        <v>0</v>
      </c>
      <c r="L49" s="131">
        <f>[32]K!L49</f>
        <v>0</v>
      </c>
      <c r="M49" s="131">
        <f>[32]K!M49</f>
        <v>0</v>
      </c>
      <c r="N49" s="131">
        <f>[32]K!N49</f>
        <v>0</v>
      </c>
      <c r="O49" s="131">
        <f>[32]K!O49</f>
        <v>0</v>
      </c>
      <c r="P49" s="131">
        <f>[32]K!P49</f>
        <v>0</v>
      </c>
      <c r="Q49" s="131">
        <f>[32]K!Q49</f>
        <v>0</v>
      </c>
      <c r="R49" s="131">
        <f>[32]K!R49</f>
        <v>0</v>
      </c>
      <c r="S49" s="1018"/>
      <c r="X49" s="110"/>
      <c r="Z49" s="110"/>
      <c r="AA49" s="110"/>
      <c r="AC49" s="110"/>
      <c r="AD49" s="110"/>
      <c r="AE49" s="110"/>
      <c r="AF49" s="110"/>
      <c r="AG49" s="110"/>
      <c r="AH49" s="110"/>
    </row>
    <row r="50" spans="1:34">
      <c r="A50" s="852">
        <f t="shared" si="0"/>
        <v>36</v>
      </c>
      <c r="B50" s="88" t="s">
        <v>626</v>
      </c>
      <c r="G50" s="131">
        <f>+I.1!L29+I.1!L21</f>
        <v>132951.52286819022</v>
      </c>
      <c r="H50" s="131">
        <f>+I.1!J29+I.1!J21</f>
        <v>116188.01575463181</v>
      </c>
      <c r="I50" s="131">
        <f>[32]K!I50</f>
        <v>113447</v>
      </c>
      <c r="J50" s="131">
        <f>[32]K!J50</f>
        <v>141526</v>
      </c>
      <c r="K50" s="131">
        <f>[32]K!K50</f>
        <v>166452</v>
      </c>
      <c r="L50" s="131">
        <f>[32]K!L50</f>
        <v>139358</v>
      </c>
      <c r="M50" s="131">
        <f>[32]K!M50</f>
        <v>112027</v>
      </c>
      <c r="N50" s="131">
        <f>[32]K!N50</f>
        <v>126219</v>
      </c>
      <c r="O50" s="131">
        <f>[32]K!O50</f>
        <v>136649</v>
      </c>
      <c r="P50" s="131">
        <f>[32]K!P50</f>
        <v>176587</v>
      </c>
      <c r="Q50" s="131">
        <f>[32]K!Q50</f>
        <v>224347.66394</v>
      </c>
      <c r="R50" s="131">
        <f>[32]K!R50</f>
        <v>187733.05102000001</v>
      </c>
      <c r="Z50" s="110"/>
      <c r="AA50" s="110"/>
    </row>
    <row r="51" spans="1:34">
      <c r="A51" s="852">
        <f t="shared" si="0"/>
        <v>37</v>
      </c>
      <c r="B51" s="88" t="s">
        <v>260</v>
      </c>
      <c r="G51" s="131"/>
      <c r="H51" s="131"/>
      <c r="I51" s="131">
        <f>[32]K!I51</f>
        <v>0</v>
      </c>
      <c r="J51" s="131">
        <f>[32]K!J51</f>
        <v>0</v>
      </c>
      <c r="K51" s="131">
        <f>[32]K!K51</f>
        <v>0</v>
      </c>
      <c r="L51" s="131">
        <f>[32]K!L51</f>
        <v>0</v>
      </c>
      <c r="M51" s="131">
        <f>[32]K!M51</f>
        <v>0</v>
      </c>
      <c r="N51" s="131">
        <f>[32]K!N51</f>
        <v>0</v>
      </c>
      <c r="O51" s="131">
        <f>[32]K!O51</f>
        <v>0</v>
      </c>
      <c r="P51" s="131">
        <f>[32]K!P51</f>
        <v>0</v>
      </c>
      <c r="Q51" s="131">
        <f>[32]K!Q51</f>
        <v>0</v>
      </c>
      <c r="R51" s="131">
        <f>[32]K!R51</f>
        <v>0</v>
      </c>
      <c r="X51" s="110"/>
      <c r="Z51" s="110"/>
      <c r="AA51" s="110"/>
      <c r="AC51" s="110"/>
      <c r="AD51" s="110"/>
      <c r="AE51" s="110"/>
      <c r="AF51" s="110"/>
      <c r="AG51" s="110"/>
      <c r="AH51" s="110"/>
    </row>
    <row r="52" spans="1:34">
      <c r="A52" s="852">
        <f t="shared" si="0"/>
        <v>38</v>
      </c>
      <c r="B52" s="88" t="s">
        <v>261</v>
      </c>
      <c r="G52" s="131"/>
      <c r="H52" s="131"/>
      <c r="I52" s="131">
        <f>[32]K!I52</f>
        <v>0</v>
      </c>
      <c r="J52" s="131">
        <f>[32]K!J52</f>
        <v>0</v>
      </c>
      <c r="K52" s="131">
        <f>[32]K!K52</f>
        <v>0</v>
      </c>
      <c r="L52" s="131">
        <f>[32]K!L52</f>
        <v>0</v>
      </c>
      <c r="M52" s="131">
        <f>[32]K!M52</f>
        <v>0</v>
      </c>
      <c r="N52" s="131">
        <f>[32]K!N52</f>
        <v>0</v>
      </c>
      <c r="O52" s="131">
        <f>[32]K!O52</f>
        <v>0</v>
      </c>
      <c r="P52" s="131">
        <f>[32]K!P52</f>
        <v>0</v>
      </c>
      <c r="Q52" s="131">
        <f>[32]K!Q52</f>
        <v>0</v>
      </c>
      <c r="R52" s="131">
        <f>[32]K!R52</f>
        <v>0</v>
      </c>
      <c r="Z52" s="110"/>
      <c r="AA52" s="110"/>
    </row>
    <row r="53" spans="1:34">
      <c r="A53" s="852">
        <f t="shared" si="0"/>
        <v>39</v>
      </c>
      <c r="B53" s="88" t="s">
        <v>262</v>
      </c>
      <c r="G53" s="108">
        <f>+I.1!L43</f>
        <v>7724.7002104296589</v>
      </c>
      <c r="H53" s="108">
        <f>+I.1!J43</f>
        <v>8891.2053178504048</v>
      </c>
      <c r="I53" s="131">
        <f>[32]K!I53</f>
        <v>9516</v>
      </c>
      <c r="J53" s="131">
        <f>[32]K!J53</f>
        <v>9884</v>
      </c>
      <c r="K53" s="131">
        <f>[32]K!K53</f>
        <v>9671</v>
      </c>
      <c r="L53" s="131">
        <f>[32]K!L53</f>
        <v>7060</v>
      </c>
      <c r="M53" s="131">
        <f>[32]K!M53</f>
        <v>8157</v>
      </c>
      <c r="N53" s="131">
        <f>[32]K!N53</f>
        <v>8094</v>
      </c>
      <c r="O53" s="131">
        <f>[32]K!O53</f>
        <v>5654</v>
      </c>
      <c r="P53" s="131">
        <f>[32]K!P53</f>
        <v>2889</v>
      </c>
      <c r="Q53" s="131">
        <f>[32]K!Q53</f>
        <v>6985</v>
      </c>
      <c r="R53" s="131">
        <f>[32]K!R53</f>
        <v>4307</v>
      </c>
      <c r="X53" s="110"/>
      <c r="Z53" s="110"/>
      <c r="AA53" s="110"/>
      <c r="AC53" s="110"/>
      <c r="AD53" s="110"/>
      <c r="AE53" s="110"/>
      <c r="AF53" s="110"/>
      <c r="AG53" s="110"/>
      <c r="AH53" s="110"/>
    </row>
    <row r="54" spans="1:34">
      <c r="A54" s="852">
        <f t="shared" si="0"/>
        <v>40</v>
      </c>
      <c r="B54" s="88" t="s">
        <v>263</v>
      </c>
      <c r="G54" s="644">
        <v>0</v>
      </c>
      <c r="H54" s="644">
        <v>0</v>
      </c>
      <c r="I54" s="131">
        <f>[32]K!I54</f>
        <v>0</v>
      </c>
      <c r="J54" s="131">
        <f>[32]K!J54</f>
        <v>0</v>
      </c>
      <c r="K54" s="131">
        <f>[32]K!K54</f>
        <v>0</v>
      </c>
      <c r="L54" s="131">
        <f>[32]K!L54</f>
        <v>0</v>
      </c>
      <c r="M54" s="131">
        <f>[32]K!M54</f>
        <v>0</v>
      </c>
      <c r="N54" s="131">
        <f>[32]K!N54</f>
        <v>0</v>
      </c>
      <c r="O54" s="131">
        <f>[32]K!O54</f>
        <v>0</v>
      </c>
      <c r="P54" s="131">
        <f>[32]K!P54</f>
        <v>0</v>
      </c>
      <c r="Q54" s="131">
        <f>[32]K!Q54</f>
        <v>0</v>
      </c>
      <c r="R54" s="131">
        <f>[32]K!R54</f>
        <v>0</v>
      </c>
      <c r="Z54" s="110"/>
      <c r="AA54" s="110"/>
    </row>
    <row r="55" spans="1:34">
      <c r="A55" s="852">
        <f t="shared" si="0"/>
        <v>41</v>
      </c>
      <c r="B55" s="88" t="s">
        <v>801</v>
      </c>
      <c r="G55" s="108">
        <f t="shared" ref="G55:R55" si="6">G48-G50-G53-G54</f>
        <v>30053.052832800819</v>
      </c>
      <c r="H55" s="108">
        <f t="shared" si="6"/>
        <v>31634.025808473605</v>
      </c>
      <c r="I55" s="108">
        <f t="shared" si="6"/>
        <v>24468</v>
      </c>
      <c r="J55" s="108">
        <f t="shared" si="6"/>
        <v>19058</v>
      </c>
      <c r="K55" s="108">
        <f t="shared" si="6"/>
        <v>20759</v>
      </c>
      <c r="L55" s="108">
        <f t="shared" si="6"/>
        <v>16550</v>
      </c>
      <c r="M55" s="108">
        <f t="shared" si="6"/>
        <v>14594</v>
      </c>
      <c r="N55" s="108">
        <f t="shared" si="6"/>
        <v>15349</v>
      </c>
      <c r="O55" s="108">
        <f t="shared" si="6"/>
        <v>14513</v>
      </c>
      <c r="P55" s="108">
        <f t="shared" si="6"/>
        <v>10880</v>
      </c>
      <c r="Q55" s="108">
        <f t="shared" si="6"/>
        <v>12975.811220000003</v>
      </c>
      <c r="R55" s="108">
        <f t="shared" si="6"/>
        <v>11246.632799999992</v>
      </c>
      <c r="Z55" s="110"/>
      <c r="AA55" s="110"/>
    </row>
    <row r="56" spans="1:34" ht="15.75">
      <c r="A56" s="852">
        <f t="shared" si="0"/>
        <v>42</v>
      </c>
      <c r="B56" s="88" t="s">
        <v>982</v>
      </c>
      <c r="G56" s="131">
        <v>0</v>
      </c>
      <c r="H56" s="131">
        <v>0</v>
      </c>
      <c r="I56" s="131">
        <f>[32]K!I56</f>
        <v>178.96176999999997</v>
      </c>
      <c r="J56" s="131">
        <f>[32]K!J56</f>
        <v>182.35240999999999</v>
      </c>
      <c r="K56" s="131">
        <f>[32]K!K56</f>
        <v>139</v>
      </c>
      <c r="L56" s="131">
        <f>[32]K!L56</f>
        <v>88</v>
      </c>
      <c r="M56" s="131">
        <f>[32]K!M56</f>
        <v>101</v>
      </c>
      <c r="N56" s="131">
        <f>[32]K!N56</f>
        <v>22</v>
      </c>
      <c r="O56" s="131">
        <f>[32]K!O56</f>
        <v>286</v>
      </c>
      <c r="P56" s="131">
        <f>[32]K!P56</f>
        <v>199</v>
      </c>
      <c r="Q56" s="131">
        <f>[32]K!Q56</f>
        <v>160</v>
      </c>
      <c r="R56" s="131">
        <f>[32]K!R56</f>
        <v>94</v>
      </c>
      <c r="S56" s="1018"/>
      <c r="Z56" s="110"/>
      <c r="AA56" s="110"/>
      <c r="AC56" s="110"/>
      <c r="AD56" s="110"/>
      <c r="AE56" s="110"/>
      <c r="AF56" s="110"/>
      <c r="AG56" s="110"/>
      <c r="AH56" s="110"/>
    </row>
    <row r="57" spans="1:34">
      <c r="A57" s="852">
        <f t="shared" si="0"/>
        <v>43</v>
      </c>
      <c r="B57" s="88" t="s">
        <v>1080</v>
      </c>
      <c r="G57" s="644">
        <f>+I.1!L38</f>
        <v>2087.3508900000002</v>
      </c>
      <c r="H57" s="644">
        <f>+I.1!J38</f>
        <v>2087.3508900000002</v>
      </c>
      <c r="I57" s="131">
        <f>[32]K!I57</f>
        <v>2087.3508899999993</v>
      </c>
      <c r="J57" s="131">
        <f>[32]K!J57</f>
        <v>2063.0607799999993</v>
      </c>
      <c r="K57" s="131">
        <f>[32]K!K57</f>
        <v>2019</v>
      </c>
      <c r="L57" s="131">
        <f>[32]K!L57</f>
        <v>2033</v>
      </c>
      <c r="M57" s="131">
        <f>[32]K!M57</f>
        <v>2046</v>
      </c>
      <c r="N57" s="131">
        <f>[32]K!N57</f>
        <v>2657</v>
      </c>
      <c r="O57" s="131">
        <f>[32]K!O57</f>
        <v>1748</v>
      </c>
      <c r="P57" s="131">
        <f>[32]K!P57</f>
        <v>2278</v>
      </c>
      <c r="Q57" s="131">
        <f>[32]K!Q57</f>
        <v>2529</v>
      </c>
      <c r="R57" s="131">
        <f>[32]K!R57</f>
        <v>1547</v>
      </c>
    </row>
    <row r="58" spans="1:34">
      <c r="A58" s="852">
        <f t="shared" si="0"/>
        <v>44</v>
      </c>
      <c r="B58" s="88" t="s">
        <v>1081</v>
      </c>
      <c r="G58" s="108">
        <f t="shared" ref="G58:R58" si="7">G55+G56+G57</f>
        <v>32140.40372280082</v>
      </c>
      <c r="H58" s="108">
        <f t="shared" si="7"/>
        <v>33721.376698473607</v>
      </c>
      <c r="I58" s="108">
        <f t="shared" si="7"/>
        <v>26734.31266</v>
      </c>
      <c r="J58" s="108">
        <f t="shared" si="7"/>
        <v>21303.413189999999</v>
      </c>
      <c r="K58" s="108">
        <f t="shared" si="7"/>
        <v>22917</v>
      </c>
      <c r="L58" s="108">
        <f t="shared" si="7"/>
        <v>18671</v>
      </c>
      <c r="M58" s="108">
        <f t="shared" si="7"/>
        <v>16741</v>
      </c>
      <c r="N58" s="108">
        <f>N55+N56+N57</f>
        <v>18028</v>
      </c>
      <c r="O58" s="108">
        <f t="shared" si="7"/>
        <v>16547</v>
      </c>
      <c r="P58" s="108">
        <f t="shared" si="7"/>
        <v>13357</v>
      </c>
      <c r="Q58" s="108">
        <f t="shared" si="7"/>
        <v>15664.811220000003</v>
      </c>
      <c r="R58" s="108">
        <f t="shared" si="7"/>
        <v>12887.632799999992</v>
      </c>
    </row>
    <row r="59" spans="1:34">
      <c r="A59" s="852">
        <f t="shared" si="0"/>
        <v>45</v>
      </c>
      <c r="B59" s="88" t="s">
        <v>1082</v>
      </c>
      <c r="G59" s="644">
        <f>+I.1!L41</f>
        <v>9854.6136052209367</v>
      </c>
      <c r="H59" s="644">
        <f>+I.1!J41</f>
        <v>8070.2148141079806</v>
      </c>
      <c r="I59" s="1024">
        <f>[32]K!I59</f>
        <v>7556.4154099999996</v>
      </c>
      <c r="J59" s="1024">
        <f>[32]K!J59</f>
        <v>6925.9951200000005</v>
      </c>
      <c r="K59" s="1024">
        <f>[32]K!K59</f>
        <v>6559</v>
      </c>
      <c r="L59" s="1024">
        <f>[32]K!L59</f>
        <v>6524</v>
      </c>
      <c r="M59" s="1024">
        <f>[32]K!M59</f>
        <v>5612</v>
      </c>
      <c r="N59" s="1024">
        <f>[32]K!N59</f>
        <v>5792</v>
      </c>
      <c r="O59" s="1024">
        <f>[32]K!O59</f>
        <v>6270</v>
      </c>
      <c r="P59" s="1024">
        <f>[32]K!P59</f>
        <v>6633</v>
      </c>
      <c r="Q59" s="1024">
        <f>[32]K!Q59</f>
        <v>6138</v>
      </c>
      <c r="R59" s="1024">
        <f>[32]K!R59</f>
        <v>6155</v>
      </c>
    </row>
    <row r="60" spans="1:34">
      <c r="A60" s="852">
        <f t="shared" si="0"/>
        <v>46</v>
      </c>
      <c r="B60" s="88" t="s">
        <v>1083</v>
      </c>
      <c r="G60" s="108">
        <f t="shared" ref="G60:R60" si="8">G58-G59</f>
        <v>22285.790117579883</v>
      </c>
      <c r="H60" s="108">
        <f t="shared" si="8"/>
        <v>25651.161884365625</v>
      </c>
      <c r="I60" s="108">
        <f t="shared" si="8"/>
        <v>19177.897250000002</v>
      </c>
      <c r="J60" s="108">
        <f t="shared" si="8"/>
        <v>14377.41807</v>
      </c>
      <c r="K60" s="108">
        <f t="shared" si="8"/>
        <v>16358</v>
      </c>
      <c r="L60" s="108">
        <f t="shared" si="8"/>
        <v>12147</v>
      </c>
      <c r="M60" s="108">
        <f t="shared" si="8"/>
        <v>11129</v>
      </c>
      <c r="N60" s="108">
        <f t="shared" si="8"/>
        <v>12236</v>
      </c>
      <c r="O60" s="108">
        <f t="shared" si="8"/>
        <v>10277</v>
      </c>
      <c r="P60" s="108">
        <f t="shared" si="8"/>
        <v>6724</v>
      </c>
      <c r="Q60" s="108">
        <f t="shared" si="8"/>
        <v>9526.8112200000032</v>
      </c>
      <c r="R60" s="108">
        <f t="shared" si="8"/>
        <v>6732.6327999999921</v>
      </c>
    </row>
    <row r="61" spans="1:34">
      <c r="A61" s="852">
        <f t="shared" si="0"/>
        <v>47</v>
      </c>
      <c r="B61" s="88" t="s">
        <v>1084</v>
      </c>
      <c r="G61" s="1025" t="s">
        <v>343</v>
      </c>
      <c r="H61" s="1025" t="s">
        <v>343</v>
      </c>
      <c r="I61" s="1025" t="s">
        <v>343</v>
      </c>
      <c r="J61" s="1025" t="s">
        <v>343</v>
      </c>
      <c r="K61" s="1025" t="s">
        <v>343</v>
      </c>
      <c r="L61" s="1025" t="s">
        <v>343</v>
      </c>
      <c r="M61" s="1025" t="s">
        <v>343</v>
      </c>
      <c r="N61" s="1025" t="s">
        <v>343</v>
      </c>
      <c r="O61" s="1025" t="s">
        <v>343</v>
      </c>
      <c r="P61" s="1025" t="s">
        <v>343</v>
      </c>
      <c r="Q61" s="1025" t="s">
        <v>343</v>
      </c>
      <c r="R61" s="1025" t="s">
        <v>343</v>
      </c>
    </row>
    <row r="62" spans="1:34" ht="15.75">
      <c r="A62" s="852">
        <f t="shared" si="0"/>
        <v>48</v>
      </c>
      <c r="B62" s="88" t="s">
        <v>385</v>
      </c>
      <c r="G62" s="113">
        <f t="shared" ref="G62:R62" si="9">G60</f>
        <v>22285.790117579883</v>
      </c>
      <c r="H62" s="113">
        <f t="shared" si="9"/>
        <v>25651.161884365625</v>
      </c>
      <c r="I62" s="113">
        <f t="shared" si="9"/>
        <v>19177.897250000002</v>
      </c>
      <c r="J62" s="113">
        <f t="shared" si="9"/>
        <v>14377.41807</v>
      </c>
      <c r="K62" s="113">
        <f t="shared" si="9"/>
        <v>16358</v>
      </c>
      <c r="L62" s="113">
        <f t="shared" si="9"/>
        <v>12147</v>
      </c>
      <c r="M62" s="113">
        <f t="shared" si="9"/>
        <v>11129</v>
      </c>
      <c r="N62" s="113">
        <f t="shared" si="9"/>
        <v>12236</v>
      </c>
      <c r="O62" s="113">
        <f t="shared" si="9"/>
        <v>10277</v>
      </c>
      <c r="P62" s="113">
        <f t="shared" si="9"/>
        <v>6724</v>
      </c>
      <c r="Q62" s="113">
        <f t="shared" si="9"/>
        <v>9526.8112200000032</v>
      </c>
      <c r="R62" s="113">
        <f t="shared" si="9"/>
        <v>6732.6327999999921</v>
      </c>
      <c r="S62" s="1018"/>
    </row>
    <row r="63" spans="1:34">
      <c r="A63" s="852">
        <f t="shared" si="0"/>
        <v>49</v>
      </c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</row>
    <row r="64" spans="1:34">
      <c r="A64" s="852">
        <f t="shared" si="0"/>
        <v>50</v>
      </c>
      <c r="B64" s="88" t="s">
        <v>733</v>
      </c>
      <c r="G64" s="576">
        <f t="shared" ref="G64:R64" si="10">ROUND(G56/G62,4)</f>
        <v>0</v>
      </c>
      <c r="H64" s="576">
        <f t="shared" si="10"/>
        <v>0</v>
      </c>
      <c r="I64" s="576">
        <f t="shared" ref="I64" si="11">ROUND(I56/I62,4)</f>
        <v>9.2999999999999992E-3</v>
      </c>
      <c r="J64" s="576">
        <f t="shared" si="10"/>
        <v>1.2699999999999999E-2</v>
      </c>
      <c r="K64" s="576">
        <f t="shared" si="10"/>
        <v>8.5000000000000006E-3</v>
      </c>
      <c r="L64" s="576">
        <f t="shared" si="10"/>
        <v>7.1999999999999998E-3</v>
      </c>
      <c r="M64" s="576">
        <f t="shared" si="10"/>
        <v>9.1000000000000004E-3</v>
      </c>
      <c r="N64" s="576">
        <f t="shared" si="10"/>
        <v>1.8E-3</v>
      </c>
      <c r="O64" s="576">
        <f t="shared" si="10"/>
        <v>2.7799999999999998E-2</v>
      </c>
      <c r="P64" s="576">
        <f t="shared" si="10"/>
        <v>2.9600000000000001E-2</v>
      </c>
      <c r="Q64" s="576">
        <f t="shared" si="10"/>
        <v>1.6799999999999999E-2</v>
      </c>
      <c r="R64" s="576">
        <f t="shared" si="10"/>
        <v>1.4E-2</v>
      </c>
    </row>
    <row r="65" spans="1:19">
      <c r="A65" s="852">
        <f t="shared" si="0"/>
        <v>51</v>
      </c>
      <c r="B65" s="88" t="s">
        <v>734</v>
      </c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9">
      <c r="A66" s="852">
        <f t="shared" si="0"/>
        <v>52</v>
      </c>
      <c r="B66" s="88" t="s">
        <v>735</v>
      </c>
      <c r="G66" s="576">
        <f t="shared" ref="G66:R66" si="12">ROUND(G56/G62,4)</f>
        <v>0</v>
      </c>
      <c r="H66" s="576">
        <f t="shared" si="12"/>
        <v>0</v>
      </c>
      <c r="I66" s="576">
        <f>ROUND(I56/I62,4)</f>
        <v>9.2999999999999992E-3</v>
      </c>
      <c r="J66" s="576">
        <f>ROUND(J56/J62,4)</f>
        <v>1.2699999999999999E-2</v>
      </c>
      <c r="K66" s="576">
        <f t="shared" si="12"/>
        <v>8.5000000000000006E-3</v>
      </c>
      <c r="L66" s="576">
        <f t="shared" si="12"/>
        <v>7.1999999999999998E-3</v>
      </c>
      <c r="M66" s="576">
        <f t="shared" si="12"/>
        <v>9.1000000000000004E-3</v>
      </c>
      <c r="N66" s="576">
        <f t="shared" si="12"/>
        <v>1.8E-3</v>
      </c>
      <c r="O66" s="576">
        <f t="shared" si="12"/>
        <v>2.7799999999999998E-2</v>
      </c>
      <c r="P66" s="576">
        <f t="shared" si="12"/>
        <v>2.9600000000000001E-2</v>
      </c>
      <c r="Q66" s="576">
        <f t="shared" si="12"/>
        <v>1.6799999999999999E-2</v>
      </c>
      <c r="R66" s="576">
        <f t="shared" si="12"/>
        <v>1.4E-2</v>
      </c>
    </row>
    <row r="67" spans="1:19">
      <c r="A67" s="852">
        <f t="shared" si="0"/>
        <v>53</v>
      </c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</row>
    <row r="68" spans="1:19">
      <c r="A68" s="852">
        <f t="shared" si="0"/>
        <v>54</v>
      </c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</row>
    <row r="69" spans="1:19">
      <c r="A69" s="852">
        <f t="shared" si="0"/>
        <v>55</v>
      </c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</row>
    <row r="70" spans="1:19">
      <c r="A70" s="852">
        <f t="shared" si="0"/>
        <v>56</v>
      </c>
      <c r="B70" s="619" t="s">
        <v>736</v>
      </c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</row>
    <row r="71" spans="1:19">
      <c r="A71" s="852">
        <f t="shared" si="0"/>
        <v>57</v>
      </c>
      <c r="B71" s="88" t="s">
        <v>737</v>
      </c>
      <c r="C71" s="993"/>
      <c r="G71" s="576">
        <f>+'J-1 F'!K20</f>
        <v>1.9900000000000001E-2</v>
      </c>
      <c r="H71" s="576">
        <f>+'J-1 Base'!K19</f>
        <v>1.9898265289283203E-2</v>
      </c>
      <c r="I71" s="576">
        <f>[32]K!I71</f>
        <v>1.12E-2</v>
      </c>
      <c r="J71" s="576">
        <f>[32]K!J71</f>
        <v>1.09E-2</v>
      </c>
      <c r="K71" s="576">
        <f>[32]K!K71</f>
        <v>1.49E-2</v>
      </c>
      <c r="L71" s="576">
        <f>[32]K!L71</f>
        <v>1.17E-2</v>
      </c>
      <c r="M71" s="576">
        <f>[32]K!M71</f>
        <v>1.2200000000000001E-2</v>
      </c>
      <c r="N71" s="576">
        <f>[32]K!N71</f>
        <v>1.03E-2</v>
      </c>
      <c r="O71" s="576">
        <f>[32]K!O71</f>
        <v>3.2300000000000002E-2</v>
      </c>
      <c r="P71" s="576">
        <f>[32]K!P71</f>
        <v>6.8000000000000005E-2</v>
      </c>
      <c r="Q71" s="576">
        <f>[32]K!Q71</f>
        <v>4.3999999999999997E-2</v>
      </c>
      <c r="R71" s="576">
        <f>[32]K!R71</f>
        <v>5.6000000000000001E-2</v>
      </c>
    </row>
    <row r="72" spans="1:19">
      <c r="A72" s="852">
        <f t="shared" si="0"/>
        <v>58</v>
      </c>
      <c r="B72" s="88" t="s">
        <v>738</v>
      </c>
      <c r="F72" s="73"/>
      <c r="G72" s="576">
        <f>+'J-1 F'!K22</f>
        <v>5.0900000000000001E-2</v>
      </c>
      <c r="H72" s="576">
        <f>+'J-1 Base'!K21</f>
        <v>5.1299999999999998E-2</v>
      </c>
      <c r="I72" s="576">
        <f>[32]K!I72</f>
        <v>5.8900000000000001E-2</v>
      </c>
      <c r="J72" s="576">
        <f>[32]K!J72</f>
        <v>5.8999999999999997E-2</v>
      </c>
      <c r="K72" s="576">
        <f>[32]K!K72</f>
        <v>6.0299999999999999E-2</v>
      </c>
      <c r="L72" s="576">
        <f>[32]K!L72</f>
        <v>6.2600000000000003E-2</v>
      </c>
      <c r="M72" s="576">
        <f>[32]K!M72</f>
        <v>6.5100000000000005E-2</v>
      </c>
      <c r="N72" s="576">
        <f>[32]K!N72</f>
        <v>6.7500000000000004E-2</v>
      </c>
      <c r="O72" s="576">
        <f>[32]K!O72</f>
        <v>6.88E-2</v>
      </c>
      <c r="P72" s="576">
        <f>[32]K!P72</f>
        <v>6.9000000000000006E-2</v>
      </c>
      <c r="Q72" s="576">
        <f>[32]K!Q72</f>
        <v>6.0999999999999999E-2</v>
      </c>
      <c r="R72" s="576">
        <f>[32]K!R72</f>
        <v>6.0999999999999999E-2</v>
      </c>
    </row>
    <row r="73" spans="1:19">
      <c r="A73" s="852">
        <f t="shared" si="0"/>
        <v>59</v>
      </c>
      <c r="B73" s="88" t="s">
        <v>984</v>
      </c>
      <c r="F73" s="73"/>
      <c r="G73" s="684" t="s">
        <v>343</v>
      </c>
      <c r="H73" s="684" t="s">
        <v>343</v>
      </c>
      <c r="I73" s="684" t="s">
        <v>343</v>
      </c>
      <c r="J73" s="684" t="s">
        <v>343</v>
      </c>
      <c r="K73" s="684" t="s">
        <v>343</v>
      </c>
      <c r="L73" s="684" t="s">
        <v>343</v>
      </c>
      <c r="M73" s="684" t="s">
        <v>343</v>
      </c>
      <c r="N73" s="684" t="s">
        <v>343</v>
      </c>
      <c r="O73" s="684" t="s">
        <v>343</v>
      </c>
      <c r="P73" s="684" t="s">
        <v>343</v>
      </c>
      <c r="Q73" s="684" t="s">
        <v>343</v>
      </c>
      <c r="R73" s="684" t="s">
        <v>343</v>
      </c>
    </row>
    <row r="74" spans="1:19">
      <c r="A74" s="852">
        <f t="shared" si="0"/>
        <v>60</v>
      </c>
      <c r="F74" s="73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</row>
    <row r="75" spans="1:19">
      <c r="A75" s="852">
        <f t="shared" si="0"/>
        <v>61</v>
      </c>
      <c r="B75" s="619" t="s">
        <v>992</v>
      </c>
      <c r="F75" s="73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</row>
    <row r="76" spans="1:19" ht="15.75">
      <c r="A76" s="852">
        <f t="shared" si="0"/>
        <v>62</v>
      </c>
      <c r="B76" s="88" t="s">
        <v>816</v>
      </c>
      <c r="C76" s="993"/>
      <c r="D76" s="993"/>
      <c r="F76" s="73"/>
      <c r="G76" s="685">
        <f>(+G53+G58)/G59</f>
        <v>4.0453238990628817</v>
      </c>
      <c r="H76" s="685">
        <f>(+H53+H58)/H59</f>
        <v>5.2802289651361756</v>
      </c>
      <c r="I76" s="685">
        <f>[32]K!I76</f>
        <v>5.75</v>
      </c>
      <c r="J76" s="685">
        <f>[32]K!J76</f>
        <v>5.39</v>
      </c>
      <c r="K76" s="685">
        <f>[32]K!K76</f>
        <v>4.6900000000000004</v>
      </c>
      <c r="L76" s="685">
        <f>[32]K!L76</f>
        <v>3.91</v>
      </c>
      <c r="M76" s="685">
        <f>[32]K!M76</f>
        <v>3.0571918341904318</v>
      </c>
      <c r="N76" s="685">
        <f>[32]K!N76</f>
        <v>2.9660460457804634</v>
      </c>
      <c r="O76" s="685">
        <f>[32]K!O76</f>
        <v>3.0043972293563703</v>
      </c>
      <c r="P76" s="685">
        <f>[32]K!P76</f>
        <v>2.8387360945505051</v>
      </c>
      <c r="Q76" s="685">
        <f>[32]K!Q76</f>
        <v>3.06</v>
      </c>
      <c r="R76" s="685">
        <f>[32]K!R76</f>
        <v>2.75</v>
      </c>
      <c r="S76" s="1018"/>
    </row>
    <row r="77" spans="1:19">
      <c r="A77" s="852">
        <f t="shared" si="0"/>
        <v>63</v>
      </c>
      <c r="B77" s="88" t="s">
        <v>817</v>
      </c>
      <c r="F77" s="73"/>
      <c r="G77" s="685">
        <f>(+G53+G58-G56)/G59</f>
        <v>4.0453238990628817</v>
      </c>
      <c r="H77" s="685">
        <f>(+H53+H58-H56)/H59</f>
        <v>5.2802289651361756</v>
      </c>
      <c r="I77" s="685">
        <f>[32]K!I77</f>
        <v>5.77</v>
      </c>
      <c r="J77" s="685">
        <f>[32]K!J77</f>
        <v>5.41</v>
      </c>
      <c r="K77" s="685">
        <f>[32]K!K77</f>
        <v>4.7</v>
      </c>
      <c r="L77" s="685">
        <f>[32]K!L77</f>
        <v>3.92</v>
      </c>
      <c r="M77" s="685">
        <f>[32]K!M77</f>
        <v>3.0409960261804581</v>
      </c>
      <c r="N77" s="685">
        <f>[32]K!N77</f>
        <v>2.9527909831987955</v>
      </c>
      <c r="O77" s="685">
        <f>[32]K!O77</f>
        <v>2.9852512711754482</v>
      </c>
      <c r="P77" s="685">
        <f>[32]K!P77</f>
        <v>2.8022744139729294</v>
      </c>
      <c r="Q77" s="685">
        <f>[32]K!Q77</f>
        <v>3.12</v>
      </c>
      <c r="R77" s="685">
        <f>[32]K!R77</f>
        <v>2.81</v>
      </c>
    </row>
    <row r="78" spans="1:19">
      <c r="A78" s="852">
        <f t="shared" si="0"/>
        <v>64</v>
      </c>
      <c r="B78" s="88" t="s">
        <v>1114</v>
      </c>
      <c r="F78" s="73"/>
      <c r="G78" s="685">
        <f>G58/G59</f>
        <v>3.2614575274440956</v>
      </c>
      <c r="H78" s="685">
        <f>H58/H59</f>
        <v>4.1784980295101235</v>
      </c>
      <c r="I78" s="685">
        <f>[32]K!I78</f>
        <v>3.24</v>
      </c>
      <c r="J78" s="685">
        <f>[32]K!J78</f>
        <v>3.71</v>
      </c>
      <c r="K78" s="685">
        <f>[32]K!K78</f>
        <v>3.24</v>
      </c>
      <c r="L78" s="685">
        <f>[32]K!L78</f>
        <v>2.89</v>
      </c>
      <c r="M78" s="685">
        <f>[32]K!M78</f>
        <v>2.3614121580460989</v>
      </c>
      <c r="N78" s="685">
        <f>[32]K!N78</f>
        <v>2.2575233976506173</v>
      </c>
      <c r="O78" s="685">
        <f>[32]K!O78</f>
        <v>2.2312955612628738</v>
      </c>
      <c r="P78" s="685">
        <f>[32]K!P78</f>
        <v>2.200873963233271</v>
      </c>
      <c r="Q78" s="685">
        <f>[32]K!Q78</f>
        <v>2.2599999999999998</v>
      </c>
      <c r="R78" s="685">
        <f>[32]K!R78</f>
        <v>2.12</v>
      </c>
    </row>
    <row r="79" spans="1:19">
      <c r="A79" s="852">
        <f t="shared" si="0"/>
        <v>65</v>
      </c>
      <c r="B79" s="88" t="s">
        <v>1115</v>
      </c>
      <c r="F79" s="73"/>
      <c r="G79" s="685">
        <f>(+G53+G58+((1/3)*'C.2.1 F'!D114/1000))/(G59+((1/3)*'C.2.1 F'!D114/1000))</f>
        <v>4.0102709619561798</v>
      </c>
      <c r="H79" s="685">
        <f>(+H53+H58+((1/3)*'C.2.1 B'!D118/1000))/(H59+((1/3)*'C.2.1 B'!D118/1000))</f>
        <v>5.2135539874004664</v>
      </c>
      <c r="I79" s="685">
        <f>[32]K!I79</f>
        <v>5.17</v>
      </c>
      <c r="J79" s="685">
        <f>[32]K!J79</f>
        <v>4.8899999999999997</v>
      </c>
      <c r="K79" s="685">
        <f>[32]K!K79</f>
        <v>4.32</v>
      </c>
      <c r="L79" s="685">
        <f>[32]K!L79</f>
        <v>3.6</v>
      </c>
      <c r="M79" s="685">
        <f>[32]K!M79</f>
        <v>2.84</v>
      </c>
      <c r="N79" s="685">
        <f>[32]K!N79</f>
        <v>2.78</v>
      </c>
      <c r="O79" s="685">
        <f>[32]K!O79</f>
        <v>2.78</v>
      </c>
      <c r="P79" s="685">
        <f>[32]K!P79</f>
        <v>2.5499999999999998</v>
      </c>
      <c r="Q79" s="685">
        <f>[32]K!Q79</f>
        <v>2.76</v>
      </c>
      <c r="R79" s="685">
        <f>[32]K!R79</f>
        <v>2.687794631619842</v>
      </c>
    </row>
    <row r="80" spans="1:19">
      <c r="A80" s="852">
        <f t="shared" si="0"/>
        <v>66</v>
      </c>
      <c r="B80" s="88" t="s">
        <v>1116</v>
      </c>
      <c r="F80" s="73"/>
      <c r="G80" s="685">
        <f>(G58-G56)/G59</f>
        <v>3.2614575274440956</v>
      </c>
      <c r="H80" s="685">
        <f>(H58-H56)/H59</f>
        <v>4.1784980295101235</v>
      </c>
      <c r="I80" s="685">
        <f>[32]K!I80</f>
        <v>4.04</v>
      </c>
      <c r="J80" s="685">
        <f>[32]K!J80</f>
        <v>3.73</v>
      </c>
      <c r="K80" s="685">
        <f>[32]K!K80</f>
        <v>3.25</v>
      </c>
      <c r="L80" s="685">
        <f>[32]K!L80</f>
        <v>2.81</v>
      </c>
      <c r="M80" s="685">
        <f>[32]K!M80</f>
        <v>2.3452163500361256</v>
      </c>
      <c r="N80" s="685">
        <f>[32]K!N80</f>
        <v>2.244268335068949</v>
      </c>
      <c r="O80" s="685">
        <f>[32]K!O80</f>
        <v>2.2121496030819521</v>
      </c>
      <c r="P80" s="685">
        <f>[32]K!P80</f>
        <v>2.1644122826556949</v>
      </c>
      <c r="Q80" s="685">
        <f>[32]K!Q80</f>
        <v>2.31</v>
      </c>
      <c r="R80" s="685">
        <f>[32]K!R80</f>
        <v>2.16</v>
      </c>
    </row>
    <row r="81" spans="1:19">
      <c r="A81" s="852">
        <f t="shared" ref="A81:A132" si="13">A80+1</f>
        <v>67</v>
      </c>
      <c r="B81" s="88" t="s">
        <v>1117</v>
      </c>
      <c r="F81" s="73"/>
      <c r="G81" s="684" t="s">
        <v>343</v>
      </c>
      <c r="H81" s="684" t="s">
        <v>343</v>
      </c>
      <c r="I81" s="685" t="s">
        <v>343</v>
      </c>
      <c r="J81" s="685" t="s">
        <v>343</v>
      </c>
      <c r="K81" s="685" t="s">
        <v>343</v>
      </c>
      <c r="L81" s="685" t="s">
        <v>343</v>
      </c>
      <c r="M81" s="685" t="s">
        <v>343</v>
      </c>
      <c r="N81" s="685" t="s">
        <v>343</v>
      </c>
      <c r="O81" s="685" t="s">
        <v>343</v>
      </c>
      <c r="P81" s="685" t="s">
        <v>343</v>
      </c>
      <c r="Q81" s="685" t="s">
        <v>343</v>
      </c>
      <c r="R81" s="685" t="s">
        <v>343</v>
      </c>
    </row>
    <row r="82" spans="1:19">
      <c r="A82" s="852">
        <f t="shared" si="13"/>
        <v>68</v>
      </c>
      <c r="B82" s="88" t="s">
        <v>1118</v>
      </c>
      <c r="G82" s="685">
        <f>(+G53+G58)/(G59*(1-0.21))</f>
        <v>5.120663163370736</v>
      </c>
      <c r="H82" s="685">
        <f>(+H53+H58)/(H59*(1-0.35))</f>
        <v>8.1234291771325768</v>
      </c>
      <c r="I82" s="685">
        <f>[32]K!I82</f>
        <v>3.65</v>
      </c>
      <c r="J82" s="685">
        <f>[32]K!J82</f>
        <v>3.39</v>
      </c>
      <c r="K82" s="685">
        <f>[32]K!K82</f>
        <v>3.02</v>
      </c>
      <c r="L82" s="685">
        <f>[32]K!L82</f>
        <v>2.6</v>
      </c>
      <c r="M82" s="685">
        <f>[32]K!M82</f>
        <v>2.2116799519301451</v>
      </c>
      <c r="N82" s="685">
        <f>[32]K!N82</f>
        <v>2.1340881930445068</v>
      </c>
      <c r="O82" s="685">
        <f>[32]K!O82</f>
        <v>2.0837815317021438</v>
      </c>
      <c r="P82" s="685">
        <f>[32]K!P82</f>
        <v>2.1800332256334456</v>
      </c>
      <c r="Q82" s="685">
        <f>[32]K!Q82</f>
        <v>2.15</v>
      </c>
      <c r="R82" s="685">
        <f>[32]K!R82</f>
        <v>2.04</v>
      </c>
    </row>
    <row r="83" spans="1:19">
      <c r="A83" s="852">
        <f t="shared" si="13"/>
        <v>69</v>
      </c>
      <c r="F83" s="112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</row>
    <row r="84" spans="1:19">
      <c r="A84" s="852">
        <f t="shared" si="13"/>
        <v>70</v>
      </c>
      <c r="B84" s="619" t="s">
        <v>1119</v>
      </c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</row>
    <row r="85" spans="1:19" ht="15.75">
      <c r="A85" s="852">
        <f t="shared" si="13"/>
        <v>71</v>
      </c>
      <c r="B85" s="88" t="s">
        <v>751</v>
      </c>
      <c r="C85" s="993"/>
      <c r="D85" s="993"/>
      <c r="G85" s="684" t="s">
        <v>343</v>
      </c>
      <c r="H85" s="684" t="str">
        <f>I85</f>
        <v>A2</v>
      </c>
      <c r="I85" s="684" t="str">
        <f>[32]K!I85</f>
        <v>A2</v>
      </c>
      <c r="J85" s="684" t="str">
        <f>[32]K!J85</f>
        <v>A2</v>
      </c>
      <c r="K85" s="684" t="str">
        <f>[32]K!K85</f>
        <v>A2</v>
      </c>
      <c r="L85" s="684" t="str">
        <f>[32]K!L85</f>
        <v>Baa1</v>
      </c>
      <c r="M85" s="684" t="str">
        <f>[32]K!M85</f>
        <v>Baa1</v>
      </c>
      <c r="N85" s="684" t="str">
        <f>[32]K!N85</f>
        <v>Baa1</v>
      </c>
      <c r="O85" s="684" t="str">
        <f>[32]K!O85</f>
        <v>Baa2</v>
      </c>
      <c r="P85" s="684" t="str">
        <f>[32]K!P85</f>
        <v>Baa2</v>
      </c>
      <c r="Q85" s="684" t="str">
        <f>[32]K!Q85</f>
        <v>Baa3</v>
      </c>
      <c r="R85" s="684" t="str">
        <f>[32]K!R85</f>
        <v>Baa3</v>
      </c>
      <c r="S85" s="1018"/>
    </row>
    <row r="86" spans="1:19" ht="15.75">
      <c r="A86" s="852">
        <f t="shared" si="13"/>
        <v>72</v>
      </c>
      <c r="B86" s="88" t="s">
        <v>752</v>
      </c>
      <c r="F86" s="73"/>
      <c r="G86" s="684" t="s">
        <v>343</v>
      </c>
      <c r="H86" s="684" t="str">
        <f>I86</f>
        <v>A</v>
      </c>
      <c r="I86" s="684" t="str">
        <f>[32]K!I86</f>
        <v>A</v>
      </c>
      <c r="J86" s="684" t="str">
        <f>[32]K!J86</f>
        <v>A-</v>
      </c>
      <c r="K86" s="684" t="str">
        <f>[32]K!K86</f>
        <v>A-</v>
      </c>
      <c r="L86" s="684" t="str">
        <f>[32]K!L86</f>
        <v>A-</v>
      </c>
      <c r="M86" s="684" t="str">
        <f>[32]K!M86</f>
        <v>BBB+</v>
      </c>
      <c r="N86" s="684" t="str">
        <f>[32]K!N86</f>
        <v>BBB+</v>
      </c>
      <c r="O86" s="684" t="str">
        <f>[32]K!O86</f>
        <v>BBB+</v>
      </c>
      <c r="P86" s="684" t="str">
        <f>[32]K!P86</f>
        <v>BBB+</v>
      </c>
      <c r="Q86" s="684" t="str">
        <f>[32]K!Q86</f>
        <v>BBB</v>
      </c>
      <c r="R86" s="684" t="str">
        <f>[32]K!R86</f>
        <v>BBB</v>
      </c>
      <c r="S86" s="1018"/>
    </row>
    <row r="87" spans="1:19">
      <c r="A87" s="852">
        <f t="shared" si="13"/>
        <v>73</v>
      </c>
      <c r="B87" s="88" t="s">
        <v>582</v>
      </c>
      <c r="G87" s="684" t="s">
        <v>343</v>
      </c>
      <c r="H87" s="684" t="s">
        <v>343</v>
      </c>
      <c r="I87" s="684"/>
      <c r="J87" s="684" t="s">
        <v>343</v>
      </c>
      <c r="K87" s="684" t="s">
        <v>343</v>
      </c>
      <c r="L87" s="684" t="s">
        <v>343</v>
      </c>
      <c r="M87" s="684" t="s">
        <v>343</v>
      </c>
      <c r="N87" s="684" t="s">
        <v>343</v>
      </c>
      <c r="O87" s="684" t="s">
        <v>343</v>
      </c>
      <c r="P87" s="684" t="s">
        <v>343</v>
      </c>
      <c r="Q87" s="684" t="s">
        <v>343</v>
      </c>
      <c r="R87" s="684" t="s">
        <v>343</v>
      </c>
    </row>
    <row r="88" spans="1:19">
      <c r="A88" s="852">
        <f t="shared" si="13"/>
        <v>74</v>
      </c>
      <c r="B88" s="88" t="s">
        <v>583</v>
      </c>
      <c r="G88" s="684" t="s">
        <v>343</v>
      </c>
      <c r="H88" s="684" t="s">
        <v>343</v>
      </c>
      <c r="I88" s="684"/>
      <c r="J88" s="684" t="s">
        <v>343</v>
      </c>
      <c r="K88" s="684" t="s">
        <v>343</v>
      </c>
      <c r="L88" s="684" t="s">
        <v>343</v>
      </c>
      <c r="M88" s="684" t="s">
        <v>343</v>
      </c>
      <c r="N88" s="684" t="s">
        <v>343</v>
      </c>
      <c r="O88" s="684" t="s">
        <v>343</v>
      </c>
      <c r="P88" s="684" t="s">
        <v>343</v>
      </c>
      <c r="Q88" s="684" t="s">
        <v>343</v>
      </c>
      <c r="R88" s="684" t="s">
        <v>343</v>
      </c>
    </row>
    <row r="89" spans="1:19">
      <c r="A89" s="852">
        <f t="shared" si="13"/>
        <v>75</v>
      </c>
      <c r="G89" s="684" t="s">
        <v>327</v>
      </c>
      <c r="H89" s="684"/>
      <c r="I89" s="108"/>
      <c r="J89" s="108"/>
      <c r="K89" s="108"/>
      <c r="L89" s="108"/>
      <c r="M89" s="108"/>
      <c r="N89" s="108"/>
      <c r="O89" s="108"/>
      <c r="P89" s="108"/>
      <c r="Q89" s="108"/>
      <c r="R89" s="108"/>
    </row>
    <row r="90" spans="1:19">
      <c r="A90" s="852">
        <f t="shared" si="13"/>
        <v>76</v>
      </c>
      <c r="B90" s="619" t="s">
        <v>584</v>
      </c>
      <c r="G90" s="684"/>
      <c r="H90" s="684"/>
      <c r="I90" s="108"/>
      <c r="J90" s="108"/>
      <c r="K90" s="108"/>
      <c r="L90" s="108"/>
      <c r="M90" s="108"/>
      <c r="N90" s="108"/>
      <c r="O90" s="108"/>
      <c r="P90" s="108"/>
      <c r="Q90" s="108"/>
      <c r="R90" s="108"/>
    </row>
    <row r="91" spans="1:19" ht="15.75">
      <c r="A91" s="852">
        <f t="shared" si="13"/>
        <v>77</v>
      </c>
      <c r="B91" s="88" t="s">
        <v>585</v>
      </c>
      <c r="C91" s="993"/>
      <c r="D91" s="993"/>
      <c r="E91" s="993"/>
      <c r="G91" s="684" t="s">
        <v>343</v>
      </c>
      <c r="H91" s="684" t="s">
        <v>343</v>
      </c>
      <c r="I91" s="108">
        <f>[32]K!I91</f>
        <v>103931</v>
      </c>
      <c r="J91" s="108">
        <f>[32]K!J91</f>
        <v>101479</v>
      </c>
      <c r="K91" s="108">
        <f>[32]K!K91</f>
        <v>100388</v>
      </c>
      <c r="L91" s="108">
        <f>[32]K!L91</f>
        <v>90640</v>
      </c>
      <c r="M91" s="108">
        <f>[32]K!M91</f>
        <v>90240</v>
      </c>
      <c r="N91" s="108">
        <f>[32]K!N91</f>
        <v>90296</v>
      </c>
      <c r="O91" s="108">
        <f>[32]K!O91</f>
        <v>90164</v>
      </c>
      <c r="P91" s="108">
        <f>[32]K!P91</f>
        <v>92552</v>
      </c>
      <c r="Q91" s="108">
        <f>[32]K!Q91</f>
        <v>90814</v>
      </c>
      <c r="R91" s="108">
        <f>[32]K!R91</f>
        <v>89326</v>
      </c>
      <c r="S91" s="1018"/>
    </row>
    <row r="92" spans="1:19">
      <c r="A92" s="852">
        <f t="shared" si="13"/>
        <v>78</v>
      </c>
      <c r="B92" s="88" t="s">
        <v>866</v>
      </c>
      <c r="G92" s="684" t="s">
        <v>343</v>
      </c>
      <c r="H92" s="684" t="s">
        <v>343</v>
      </c>
      <c r="I92" s="108">
        <f>[32]K!I92</f>
        <v>0</v>
      </c>
      <c r="J92" s="108">
        <f>[32]K!J92</f>
        <v>0</v>
      </c>
      <c r="K92" s="108">
        <f>[32]K!K92</f>
        <v>0</v>
      </c>
      <c r="L92" s="108">
        <f>[32]K!L92</f>
        <v>0</v>
      </c>
      <c r="M92" s="108">
        <f>[32]K!M92</f>
        <v>0</v>
      </c>
      <c r="N92" s="108">
        <f>[32]K!N92</f>
        <v>0</v>
      </c>
      <c r="O92" s="108">
        <f>[32]K!O92</f>
        <v>0</v>
      </c>
      <c r="P92" s="108">
        <f>[32]K!P92</f>
        <v>0</v>
      </c>
      <c r="Q92" s="108">
        <f>[32]K!Q92</f>
        <v>0</v>
      </c>
      <c r="R92" s="108">
        <f>[32]K!R92</f>
        <v>0</v>
      </c>
    </row>
    <row r="93" spans="1:19" ht="15.75">
      <c r="A93" s="852">
        <f t="shared" si="13"/>
        <v>79</v>
      </c>
      <c r="B93" s="88" t="s">
        <v>637</v>
      </c>
      <c r="G93" s="684" t="s">
        <v>343</v>
      </c>
      <c r="H93" s="684" t="s">
        <v>343</v>
      </c>
      <c r="I93" s="108">
        <f>[32]K!I93</f>
        <v>103524</v>
      </c>
      <c r="J93" s="108">
        <f>[32]K!J93</f>
        <v>101892</v>
      </c>
      <c r="K93" s="108">
        <f>[32]K!K93</f>
        <v>97608</v>
      </c>
      <c r="L93" s="108">
        <f>[32]K!L93</f>
        <v>91711</v>
      </c>
      <c r="M93" s="108">
        <f>[32]K!M93</f>
        <v>91172</v>
      </c>
      <c r="N93" s="108">
        <f>[32]K!N93</f>
        <v>90652</v>
      </c>
      <c r="O93" s="108">
        <f>[32]K!O93</f>
        <v>92422</v>
      </c>
      <c r="P93" s="108">
        <f>[32]K!P93</f>
        <v>91620</v>
      </c>
      <c r="Q93" s="108">
        <f>[32]K!Q93</f>
        <v>89941</v>
      </c>
      <c r="R93" s="108">
        <f>[32]K!R93</f>
        <v>87486</v>
      </c>
      <c r="S93" s="1018"/>
    </row>
    <row r="94" spans="1:19">
      <c r="A94" s="852">
        <f t="shared" si="13"/>
        <v>80</v>
      </c>
      <c r="B94" s="88" t="s">
        <v>1038</v>
      </c>
      <c r="G94" s="684" t="s">
        <v>343</v>
      </c>
      <c r="H94" s="684" t="s">
        <v>343</v>
      </c>
      <c r="I94" s="685">
        <f>[32]K!I94</f>
        <v>3.38</v>
      </c>
      <c r="J94" s="685">
        <f>[32]K!J94</f>
        <v>3.09</v>
      </c>
      <c r="K94" s="685">
        <f>[32]K!K94</f>
        <v>2.96</v>
      </c>
      <c r="L94" s="685">
        <f>[32]K!L94</f>
        <v>2.64</v>
      </c>
      <c r="M94" s="685">
        <f>[32]K!M94</f>
        <v>2.37</v>
      </c>
      <c r="N94" s="685">
        <f>[32]K!N94</f>
        <v>2.27</v>
      </c>
      <c r="O94" s="685">
        <f>[32]K!O94</f>
        <v>2.2000000000000002</v>
      </c>
      <c r="P94" s="685">
        <f>[32]K!P94</f>
        <v>2.0699999999999998</v>
      </c>
      <c r="Q94" s="685">
        <f>[32]K!Q94</f>
        <v>1.99</v>
      </c>
      <c r="R94" s="685">
        <f>[32]K!R94</f>
        <v>1.91</v>
      </c>
    </row>
    <row r="95" spans="1:19">
      <c r="A95" s="852">
        <f t="shared" si="13"/>
        <v>81</v>
      </c>
      <c r="B95" s="88" t="s">
        <v>1039</v>
      </c>
      <c r="G95" s="684" t="s">
        <v>343</v>
      </c>
      <c r="H95" s="684" t="s">
        <v>343</v>
      </c>
      <c r="I95" s="685">
        <f>[32]K!I95</f>
        <v>1.68</v>
      </c>
      <c r="J95" s="685">
        <f>[32]K!J95</f>
        <v>1.56</v>
      </c>
      <c r="K95" s="685">
        <f>[32]K!K95</f>
        <v>1.48</v>
      </c>
      <c r="L95" s="685">
        <f>[32]K!L95</f>
        <v>1.4</v>
      </c>
      <c r="M95" s="685">
        <f>[32]K!M95</f>
        <v>1.38</v>
      </c>
      <c r="N95" s="685">
        <f>[32]K!N95</f>
        <v>1.36</v>
      </c>
      <c r="O95" s="685">
        <f>[32]K!O95</f>
        <v>1.34</v>
      </c>
      <c r="P95" s="685">
        <f>[32]K!P95</f>
        <v>1.32</v>
      </c>
      <c r="Q95" s="685">
        <f>[32]K!Q95</f>
        <v>1.3</v>
      </c>
      <c r="R95" s="685">
        <f>[32]K!R95</f>
        <v>1.28</v>
      </c>
    </row>
    <row r="96" spans="1:19" ht="15.75">
      <c r="A96" s="852">
        <f t="shared" si="13"/>
        <v>82</v>
      </c>
      <c r="B96" s="88" t="s">
        <v>850</v>
      </c>
      <c r="G96" s="684" t="s">
        <v>343</v>
      </c>
      <c r="H96" s="684" t="s">
        <v>343</v>
      </c>
      <c r="I96" s="685">
        <f>[32]K!I96</f>
        <v>1.68</v>
      </c>
      <c r="J96" s="685">
        <f>[32]K!J96</f>
        <v>1.56</v>
      </c>
      <c r="K96" s="685">
        <f>[32]K!K96</f>
        <v>1.48</v>
      </c>
      <c r="L96" s="685">
        <f>[32]K!L96</f>
        <v>1.4</v>
      </c>
      <c r="M96" s="685">
        <f>[32]K!M96</f>
        <v>1.38</v>
      </c>
      <c r="N96" s="685">
        <f>[32]K!N96</f>
        <v>1.36</v>
      </c>
      <c r="O96" s="685">
        <f>[32]K!O96</f>
        <v>1.34</v>
      </c>
      <c r="P96" s="685">
        <f>[32]K!P96</f>
        <v>1.32</v>
      </c>
      <c r="Q96" s="685">
        <f>[32]K!Q96</f>
        <v>1.3</v>
      </c>
      <c r="R96" s="685">
        <f>[32]K!R96</f>
        <v>1.28</v>
      </c>
      <c r="S96" s="1018"/>
    </row>
    <row r="97" spans="1:19">
      <c r="A97" s="852">
        <f t="shared" si="13"/>
        <v>83</v>
      </c>
      <c r="B97" s="88" t="s">
        <v>536</v>
      </c>
      <c r="G97" s="684" t="s">
        <v>343</v>
      </c>
      <c r="H97" s="684" t="s">
        <v>343</v>
      </c>
      <c r="I97" s="108"/>
      <c r="J97" s="108"/>
      <c r="K97" s="108"/>
      <c r="L97" s="108"/>
      <c r="M97" s="108"/>
      <c r="N97" s="108"/>
      <c r="O97" s="108"/>
      <c r="P97" s="108"/>
      <c r="Q97" s="108"/>
      <c r="R97" s="108"/>
    </row>
    <row r="98" spans="1:19">
      <c r="A98" s="852">
        <f t="shared" si="13"/>
        <v>84</v>
      </c>
      <c r="B98" s="88" t="s">
        <v>34</v>
      </c>
      <c r="G98" s="684" t="s">
        <v>343</v>
      </c>
      <c r="H98" s="684" t="s">
        <v>343</v>
      </c>
      <c r="I98" s="686">
        <f>I96/I94</f>
        <v>0.49704142011834318</v>
      </c>
      <c r="J98" s="686">
        <f>J96/J94</f>
        <v>0.50485436893203883</v>
      </c>
      <c r="K98" s="686">
        <f>K96/K94</f>
        <v>0.5</v>
      </c>
      <c r="L98" s="686">
        <f>L96/L94</f>
        <v>0.53030303030303028</v>
      </c>
      <c r="M98" s="1026">
        <f t="shared" ref="M98:R98" si="14">M96/M94</f>
        <v>0.58227848101265811</v>
      </c>
      <c r="N98" s="1026">
        <f t="shared" si="14"/>
        <v>0.59911894273127753</v>
      </c>
      <c r="O98" s="1026">
        <f t="shared" si="14"/>
        <v>0.60909090909090913</v>
      </c>
      <c r="P98" s="1026">
        <f t="shared" si="14"/>
        <v>0.63768115942028991</v>
      </c>
      <c r="Q98" s="1026">
        <f t="shared" si="14"/>
        <v>0.65326633165829151</v>
      </c>
      <c r="R98" s="1026">
        <f t="shared" si="14"/>
        <v>0.67015706806282727</v>
      </c>
    </row>
    <row r="99" spans="1:19">
      <c r="A99" s="852">
        <f t="shared" si="13"/>
        <v>85</v>
      </c>
      <c r="B99" s="88" t="s">
        <v>537</v>
      </c>
      <c r="G99" s="684" t="s">
        <v>343</v>
      </c>
      <c r="H99" s="684" t="s">
        <v>343</v>
      </c>
      <c r="I99" s="108"/>
      <c r="J99" s="108"/>
      <c r="K99" s="108"/>
      <c r="L99" s="108"/>
      <c r="M99" s="108"/>
      <c r="N99" s="108"/>
      <c r="O99" s="108"/>
      <c r="P99" s="108"/>
      <c r="Q99" s="108"/>
      <c r="R99" s="108"/>
    </row>
    <row r="100" spans="1:19" ht="15.75">
      <c r="A100" s="852">
        <f t="shared" si="13"/>
        <v>86</v>
      </c>
      <c r="B100" s="88" t="s">
        <v>538</v>
      </c>
      <c r="G100" s="684" t="s">
        <v>343</v>
      </c>
      <c r="H100" s="684" t="s">
        <v>343</v>
      </c>
      <c r="I100" s="1027">
        <f>[32]K!I100</f>
        <v>64.25</v>
      </c>
      <c r="J100" s="1027">
        <f>[32]K!J100</f>
        <v>58.08</v>
      </c>
      <c r="K100" s="1027">
        <f>[32]K!K100</f>
        <v>47.06</v>
      </c>
      <c r="L100" s="1027">
        <f>[32]K!L100</f>
        <v>36.86</v>
      </c>
      <c r="M100" s="1027">
        <f>[32]K!M100</f>
        <v>35.4</v>
      </c>
      <c r="N100" s="1027">
        <f>[32]K!N100</f>
        <v>31.72</v>
      </c>
      <c r="O100" s="1027">
        <f>[32]K!O100</f>
        <v>30.06</v>
      </c>
      <c r="P100" s="1027">
        <f>[32]K!P100</f>
        <v>27.88</v>
      </c>
      <c r="Q100" s="1027">
        <f>[32]K!Q100</f>
        <v>29.46</v>
      </c>
      <c r="R100" s="1027">
        <f>[32]K!R100</f>
        <v>33.01</v>
      </c>
      <c r="S100" s="1018"/>
    </row>
    <row r="101" spans="1:19">
      <c r="A101" s="852">
        <f t="shared" si="13"/>
        <v>87</v>
      </c>
      <c r="B101" s="88" t="s">
        <v>539</v>
      </c>
      <c r="G101" s="684" t="s">
        <v>343</v>
      </c>
      <c r="H101" s="684" t="s">
        <v>343</v>
      </c>
      <c r="I101" s="1027">
        <f>[32]K!I101</f>
        <v>57.82</v>
      </c>
      <c r="J101" s="1027">
        <f>[32]K!J101</f>
        <v>47.35</v>
      </c>
      <c r="K101" s="1027">
        <f>[32]K!K101</f>
        <v>41.08</v>
      </c>
      <c r="L101" s="1027">
        <f>[32]K!L101</f>
        <v>33.200000000000003</v>
      </c>
      <c r="M101" s="1027">
        <f>[32]K!M101</f>
        <v>30.97</v>
      </c>
      <c r="N101" s="1027">
        <f>[32]K!N101</f>
        <v>29.1</v>
      </c>
      <c r="O101" s="1027">
        <f>[32]K!O101</f>
        <v>27.39</v>
      </c>
      <c r="P101" s="1027">
        <f>[32]K!P101</f>
        <v>21.17</v>
      </c>
      <c r="Q101" s="1027">
        <f>[32]K!Q101</f>
        <v>26.11</v>
      </c>
      <c r="R101" s="1027">
        <f>[32]K!R101</f>
        <v>28.45</v>
      </c>
    </row>
    <row r="102" spans="1:19">
      <c r="A102" s="852">
        <f t="shared" si="13"/>
        <v>88</v>
      </c>
      <c r="B102" s="88" t="s">
        <v>540</v>
      </c>
      <c r="G102" s="684" t="s">
        <v>343</v>
      </c>
      <c r="H102" s="684" t="s">
        <v>343</v>
      </c>
      <c r="I102" s="1027">
        <f>[32]K!I102</f>
        <v>74.33</v>
      </c>
      <c r="J102" s="1027">
        <f>[32]K!J102</f>
        <v>58.81</v>
      </c>
      <c r="K102" s="1027">
        <f>[32]K!K102</f>
        <v>48.01</v>
      </c>
      <c r="L102" s="1027">
        <f>[32]K!L102</f>
        <v>42.69</v>
      </c>
      <c r="M102" s="1027">
        <f>[32]K!M102</f>
        <v>33.15</v>
      </c>
      <c r="N102" s="1027">
        <f>[32]K!N102</f>
        <v>34.979999999999997</v>
      </c>
      <c r="O102" s="1027">
        <f>[32]K!O102</f>
        <v>29.52</v>
      </c>
      <c r="P102" s="1027">
        <f>[32]K!P102</f>
        <v>25.95</v>
      </c>
      <c r="Q102" s="1027">
        <f>[32]K!Q102</f>
        <v>28.96</v>
      </c>
      <c r="R102" s="1027">
        <f>[32]K!R102</f>
        <v>33</v>
      </c>
    </row>
    <row r="103" spans="1:19">
      <c r="A103" s="852">
        <f t="shared" si="13"/>
        <v>89</v>
      </c>
      <c r="B103" s="88" t="s">
        <v>541</v>
      </c>
      <c r="G103" s="684" t="s">
        <v>343</v>
      </c>
      <c r="H103" s="684" t="s">
        <v>343</v>
      </c>
      <c r="I103" s="1027">
        <f>[32]K!I103</f>
        <v>61.74</v>
      </c>
      <c r="J103" s="1027">
        <f>[32]K!J103</f>
        <v>52.02</v>
      </c>
      <c r="K103" s="1027">
        <f>[32]K!K103</f>
        <v>44.19</v>
      </c>
      <c r="L103" s="1027">
        <f>[32]K!L103</f>
        <v>35.11</v>
      </c>
      <c r="M103" s="1027">
        <f>[32]K!M103</f>
        <v>30.6</v>
      </c>
      <c r="N103" s="1027">
        <f>[32]K!N103</f>
        <v>31.51</v>
      </c>
      <c r="O103" s="1027">
        <f>[32]K!O103</f>
        <v>26.52</v>
      </c>
      <c r="P103" s="1027">
        <f>[32]K!P103</f>
        <v>20.2</v>
      </c>
      <c r="Q103" s="1027">
        <f>[32]K!Q103</f>
        <v>25.09</v>
      </c>
      <c r="R103" s="1027">
        <f>[32]K!R103</f>
        <v>30.63</v>
      </c>
    </row>
    <row r="104" spans="1:19">
      <c r="A104" s="852">
        <f t="shared" si="13"/>
        <v>90</v>
      </c>
      <c r="B104" s="88" t="s">
        <v>542</v>
      </c>
      <c r="G104" s="684" t="s">
        <v>343</v>
      </c>
      <c r="H104" s="684" t="s">
        <v>343</v>
      </c>
      <c r="I104" s="1027">
        <f>[32]K!I104</f>
        <v>81.319999999999993</v>
      </c>
      <c r="J104" s="1027">
        <f>[32]K!J104</f>
        <v>56.41</v>
      </c>
      <c r="K104" s="1027">
        <f>[32]K!K104</f>
        <v>53.4</v>
      </c>
      <c r="L104" s="1027">
        <f>[32]K!L104</f>
        <v>44.87</v>
      </c>
      <c r="M104" s="1027">
        <f>[32]K!M104</f>
        <v>35.07</v>
      </c>
      <c r="N104" s="1027">
        <f>[32]K!N104</f>
        <v>34.94</v>
      </c>
      <c r="O104" s="1027">
        <f>[32]K!O104</f>
        <v>29.98</v>
      </c>
      <c r="P104" s="1027">
        <f>[32]K!P104</f>
        <v>26.37</v>
      </c>
      <c r="Q104" s="1027">
        <f>[32]K!Q104</f>
        <v>28.54</v>
      </c>
      <c r="R104" s="1027">
        <f>[32]K!R104</f>
        <v>33.11</v>
      </c>
    </row>
    <row r="105" spans="1:19">
      <c r="A105" s="852">
        <f t="shared" si="13"/>
        <v>91</v>
      </c>
      <c r="B105" s="88" t="s">
        <v>1069</v>
      </c>
      <c r="G105" s="684" t="s">
        <v>343</v>
      </c>
      <c r="H105" s="684" t="s">
        <v>343</v>
      </c>
      <c r="I105" s="1027">
        <f>[32]K!I105</f>
        <v>70.599999999999994</v>
      </c>
      <c r="J105" s="1027">
        <f>[32]K!J105</f>
        <v>51.28</v>
      </c>
      <c r="K105" s="1027">
        <f>[32]K!K105</f>
        <v>46.94</v>
      </c>
      <c r="L105" s="1027">
        <f>[32]K!L105</f>
        <v>38.590000000000003</v>
      </c>
      <c r="M105" s="1027">
        <f>[32]K!M105</f>
        <v>30.91</v>
      </c>
      <c r="N105" s="1027">
        <f>[32]K!N105</f>
        <v>31.34</v>
      </c>
      <c r="O105" s="1027">
        <f>[32]K!O105</f>
        <v>26.41</v>
      </c>
      <c r="P105" s="1027">
        <f>[32]K!P105</f>
        <v>22.81</v>
      </c>
      <c r="Q105" s="1027">
        <f>[32]K!Q105</f>
        <v>25.81</v>
      </c>
      <c r="R105" s="1027">
        <f>[32]K!R105</f>
        <v>29.38</v>
      </c>
    </row>
    <row r="106" spans="1:19">
      <c r="A106" s="852">
        <f t="shared" si="13"/>
        <v>92</v>
      </c>
      <c r="B106" s="88" t="s">
        <v>1070</v>
      </c>
      <c r="G106" s="684" t="s">
        <v>343</v>
      </c>
      <c r="H106" s="684" t="s">
        <v>343</v>
      </c>
      <c r="I106" s="1027">
        <f>[32]K!I106</f>
        <v>81.16</v>
      </c>
      <c r="J106" s="1027">
        <f>[32]K!J106</f>
        <v>58.18</v>
      </c>
      <c r="K106" s="1027">
        <f>[32]K!K106</f>
        <v>52.68</v>
      </c>
      <c r="L106" s="1027">
        <f>[32]K!L106</f>
        <v>45.19</v>
      </c>
      <c r="M106" s="1027">
        <f>[32]K!M106</f>
        <v>36.94</v>
      </c>
      <c r="N106" s="1027">
        <f>[32]K!N106</f>
        <v>34.32</v>
      </c>
      <c r="O106" s="1027">
        <f>[32]K!O106</f>
        <v>29.81</v>
      </c>
      <c r="P106" s="1027">
        <f>[32]K!P106</f>
        <v>28.8</v>
      </c>
      <c r="Q106" s="1027">
        <f>[32]K!Q106</f>
        <v>28.25</v>
      </c>
      <c r="R106" s="1027">
        <f>[32]K!R106</f>
        <v>30.66</v>
      </c>
    </row>
    <row r="107" spans="1:19">
      <c r="A107" s="852">
        <f t="shared" si="13"/>
        <v>93</v>
      </c>
      <c r="B107" s="88" t="s">
        <v>1071</v>
      </c>
      <c r="G107" s="684" t="s">
        <v>343</v>
      </c>
      <c r="H107" s="684" t="s">
        <v>343</v>
      </c>
      <c r="I107" s="1027">
        <f>[32]K!I107</f>
        <v>71.88</v>
      </c>
      <c r="J107" s="1027">
        <f>[32]K!J107</f>
        <v>51.48</v>
      </c>
      <c r="K107" s="1027">
        <f>[32]K!K107</f>
        <v>47.01</v>
      </c>
      <c r="L107" s="1027">
        <f>[32]K!L107</f>
        <v>39.4</v>
      </c>
      <c r="M107" s="1027">
        <f>[32]K!M107</f>
        <v>34.94</v>
      </c>
      <c r="N107" s="1027">
        <f>[32]K!N107</f>
        <v>28.87</v>
      </c>
      <c r="O107" s="1027">
        <f>[32]K!O107</f>
        <v>26.82</v>
      </c>
      <c r="P107" s="1027">
        <f>[32]K!P107</f>
        <v>24.65</v>
      </c>
      <c r="Q107" s="1027">
        <f>[32]K!Q107</f>
        <v>25.49</v>
      </c>
      <c r="R107" s="1027">
        <f>[32]K!R107</f>
        <v>26.47</v>
      </c>
    </row>
    <row r="108" spans="1:19">
      <c r="A108" s="852">
        <f t="shared" si="13"/>
        <v>94</v>
      </c>
      <c r="B108" s="88" t="s">
        <v>1072</v>
      </c>
      <c r="G108" s="684" t="s">
        <v>343</v>
      </c>
      <c r="H108" s="684" t="s">
        <v>343</v>
      </c>
      <c r="I108" s="1027">
        <f>[32]K!I108</f>
        <v>33.450000000000003</v>
      </c>
      <c r="J108" s="1027">
        <f>[32]K!J108</f>
        <v>31.35</v>
      </c>
      <c r="K108" s="1027">
        <f>[32]K!K108</f>
        <v>31.62</v>
      </c>
      <c r="L108" s="1027">
        <f>[32]K!L108</f>
        <v>28.14</v>
      </c>
      <c r="M108" s="1027">
        <f>[32]K!M108</f>
        <v>25.876837186855614</v>
      </c>
      <c r="N108" s="1027">
        <f>[32]K!N108</f>
        <v>24.879991616290869</v>
      </c>
      <c r="O108" s="1027">
        <f>[32]K!O108</f>
        <v>23.569582999718683</v>
      </c>
      <c r="P108" s="1027">
        <f>[32]K!P108</f>
        <v>23.758578912901115</v>
      </c>
      <c r="Q108" s="1027">
        <f>[32]K!Q108</f>
        <v>22.820426724185854</v>
      </c>
      <c r="R108" s="1027">
        <f>[32]K!R108</f>
        <v>22.469355096815491</v>
      </c>
    </row>
    <row r="109" spans="1:19">
      <c r="A109" s="852">
        <f t="shared" si="13"/>
        <v>95</v>
      </c>
      <c r="G109" s="684"/>
      <c r="H109" s="684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</row>
    <row r="110" spans="1:19">
      <c r="A110" s="852">
        <f t="shared" si="13"/>
        <v>96</v>
      </c>
      <c r="B110" s="81" t="s">
        <v>839</v>
      </c>
      <c r="G110" s="108"/>
      <c r="H110" s="108"/>
      <c r="I110" s="108"/>
      <c r="J110" s="108"/>
      <c r="K110" s="108"/>
      <c r="L110" s="108"/>
      <c r="M110" s="108"/>
      <c r="N110" s="108"/>
      <c r="O110" s="687"/>
      <c r="P110" s="687"/>
      <c r="Q110" s="687"/>
      <c r="R110" s="687"/>
    </row>
    <row r="111" spans="1:19">
      <c r="A111" s="852">
        <f t="shared" si="13"/>
        <v>97</v>
      </c>
      <c r="G111" s="108"/>
      <c r="H111" s="108"/>
      <c r="I111" s="108"/>
      <c r="J111" s="108"/>
      <c r="K111" s="108"/>
      <c r="L111" s="108"/>
      <c r="M111" s="108"/>
      <c r="N111" s="108"/>
      <c r="O111" s="687"/>
      <c r="P111" s="108"/>
      <c r="Q111" s="108"/>
      <c r="R111" s="108"/>
    </row>
    <row r="112" spans="1:19">
      <c r="A112" s="852">
        <f t="shared" si="13"/>
        <v>98</v>
      </c>
      <c r="B112" s="619" t="s">
        <v>1095</v>
      </c>
      <c r="C112" s="993"/>
      <c r="D112" s="993"/>
      <c r="E112" s="993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</row>
    <row r="113" spans="1:19" ht="15.75">
      <c r="A113" s="852">
        <f t="shared" si="13"/>
        <v>99</v>
      </c>
      <c r="B113" s="88" t="s">
        <v>624</v>
      </c>
      <c r="G113" s="688" t="s">
        <v>343</v>
      </c>
      <c r="H113" s="688" t="s">
        <v>343</v>
      </c>
      <c r="I113" s="687">
        <f>[32]K!I113</f>
        <v>0.105</v>
      </c>
      <c r="J113" s="687">
        <f>[32]K!J113</f>
        <v>0.1</v>
      </c>
      <c r="K113" s="687">
        <f>[32]K!K113</f>
        <v>0.10199999999999999</v>
      </c>
      <c r="L113" s="687">
        <f>[32]K!L113</f>
        <v>9.8000000000000004E-2</v>
      </c>
      <c r="M113" s="687">
        <f>[32]K!M113</f>
        <v>8.3297938918196424E-2</v>
      </c>
      <c r="N113" s="687">
        <f>[32]K!N113</f>
        <v>8.5520016942695926E-2</v>
      </c>
      <c r="O113" s="687">
        <f>[32]K!O113</f>
        <v>8.7185418321332489E-2</v>
      </c>
      <c r="P113" s="687">
        <f>[32]K!P113</f>
        <v>8.6681501437724351E-2</v>
      </c>
      <c r="Q113" s="687">
        <f>[32]K!Q113</f>
        <v>8.7999999999999995E-2</v>
      </c>
      <c r="R113" s="687">
        <f>[32]K!R113</f>
        <v>8.7999999999999995E-2</v>
      </c>
      <c r="S113" s="1018"/>
    </row>
    <row r="114" spans="1:19">
      <c r="A114" s="852">
        <f t="shared" si="13"/>
        <v>100</v>
      </c>
      <c r="B114" s="88" t="s">
        <v>334</v>
      </c>
      <c r="G114" s="687">
        <f>(G55)/G45</f>
        <v>4.3071588641496452E-3</v>
      </c>
      <c r="H114" s="687">
        <f>(H55)/H45</f>
        <v>4.3869437314694847E-3</v>
      </c>
      <c r="I114" s="687">
        <f>[32]K!I114</f>
        <v>5.5E-2</v>
      </c>
      <c r="J114" s="687">
        <f>[32]K!J114</f>
        <v>5.1999999999999998E-2</v>
      </c>
      <c r="K114" s="687">
        <f>[32]K!K114</f>
        <v>5.1999999999999998E-2</v>
      </c>
      <c r="L114" s="687">
        <f>[32]K!L114</f>
        <v>4.8000000000000001E-2</v>
      </c>
      <c r="M114" s="687">
        <f>[32]K!M114</f>
        <v>4.0231888705646007E-2</v>
      </c>
      <c r="N114" s="687">
        <f>[32]K!N114</f>
        <v>4.3176826787451009E-2</v>
      </c>
      <c r="O114" s="687">
        <f>[32]K!O114</f>
        <v>4.4499578680161404E-2</v>
      </c>
      <c r="P114" s="687">
        <f>[32]K!P114</f>
        <v>4.2668457525681526E-2</v>
      </c>
      <c r="Q114" s="687">
        <f>[32]K!Q114</f>
        <v>4.2999999999999997E-2</v>
      </c>
      <c r="R114" s="687">
        <f>[32]K!R114</f>
        <v>4.2999999999999997E-2</v>
      </c>
    </row>
    <row r="115" spans="1:19">
      <c r="A115" s="852">
        <f t="shared" si="13"/>
        <v>101</v>
      </c>
      <c r="B115" s="88" t="s">
        <v>335</v>
      </c>
      <c r="G115" s="687">
        <f>G55/G27</f>
        <v>6.2717273036578466E-2</v>
      </c>
      <c r="H115" s="687">
        <f>H55/H27</f>
        <v>7.5604705720781665E-2</v>
      </c>
      <c r="I115" s="687">
        <f>[32]K!I115</f>
        <v>4.4999999999999998E-2</v>
      </c>
      <c r="J115" s="687">
        <f>[32]K!J115</f>
        <v>4.4999999999999998E-2</v>
      </c>
      <c r="K115" s="687">
        <f>[32]K!K115</f>
        <v>4.4999999999999998E-2</v>
      </c>
      <c r="L115" s="687">
        <f>[32]K!L115</f>
        <v>4.2999999999999997E-2</v>
      </c>
      <c r="M115" s="687">
        <f>[32]K!M115</f>
        <v>3.618310387082551E-2</v>
      </c>
      <c r="N115" s="687">
        <f>[32]K!N115</f>
        <v>3.8142668443685655E-2</v>
      </c>
      <c r="O115" s="687">
        <f>[32]K!O115</f>
        <v>4.1128106498813176E-2</v>
      </c>
      <c r="P115" s="687">
        <f>[32]K!P115</f>
        <v>4.2747157694961804E-2</v>
      </c>
      <c r="Q115" s="687">
        <f>[32]K!Q115</f>
        <v>4.4999999999999998E-2</v>
      </c>
      <c r="R115" s="687">
        <f>[32]K!R115</f>
        <v>4.4999999999999998E-2</v>
      </c>
    </row>
    <row r="116" spans="1:19">
      <c r="A116" s="852">
        <f t="shared" si="13"/>
        <v>102</v>
      </c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</row>
    <row r="117" spans="1:19">
      <c r="A117" s="852">
        <f t="shared" si="13"/>
        <v>103</v>
      </c>
      <c r="B117" s="619" t="s">
        <v>1163</v>
      </c>
      <c r="C117" s="993"/>
      <c r="D117" s="993"/>
      <c r="E117" s="993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</row>
    <row r="118" spans="1:19">
      <c r="A118" s="852">
        <f t="shared" si="13"/>
        <v>104</v>
      </c>
      <c r="B118" s="88" t="s">
        <v>336</v>
      </c>
      <c r="D118" s="88" t="s">
        <v>56</v>
      </c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</row>
    <row r="119" spans="1:19" ht="15.75">
      <c r="A119" s="852">
        <f t="shared" si="13"/>
        <v>105</v>
      </c>
      <c r="B119" s="88" t="s">
        <v>1046</v>
      </c>
      <c r="G119" s="108">
        <f>+I.3!O16/1000</f>
        <v>10026.385522694047</v>
      </c>
      <c r="H119" s="108">
        <f>+I.3!M16/1000</f>
        <v>9997.1595259268761</v>
      </c>
      <c r="I119" s="108">
        <f>[32]K!I119</f>
        <v>9094</v>
      </c>
      <c r="J119" s="108">
        <f>[32]K!J119</f>
        <v>9826</v>
      </c>
      <c r="K119" s="108">
        <f>[32]K!K119</f>
        <v>11729</v>
      </c>
      <c r="L119" s="108">
        <f>[32]K!L119</f>
        <v>10695</v>
      </c>
      <c r="M119" s="108">
        <f>[32]K!M119</f>
        <v>8433</v>
      </c>
      <c r="N119" s="108">
        <f>[32]K!N119</f>
        <v>10187</v>
      </c>
      <c r="O119" s="108">
        <f>[32]K!O119</f>
        <v>10735</v>
      </c>
      <c r="P119" s="108">
        <f>[32]K!P119</f>
        <v>10261</v>
      </c>
      <c r="Q119" s="108">
        <f>[32]K!Q119</f>
        <v>10854.609817299999</v>
      </c>
      <c r="R119" s="108">
        <f>[32]K!R119</f>
        <v>10384.574465399999</v>
      </c>
      <c r="S119" s="1018"/>
    </row>
    <row r="120" spans="1:19">
      <c r="A120" s="852">
        <f t="shared" si="13"/>
        <v>106</v>
      </c>
      <c r="B120" s="88" t="s">
        <v>1047</v>
      </c>
      <c r="G120" s="108">
        <f>+I.3!O17/1000</f>
        <v>4895.8320899999999</v>
      </c>
      <c r="H120" s="108">
        <f>+I.3!M17/1000</f>
        <v>4895.8320899999999</v>
      </c>
      <c r="I120" s="108">
        <f>[32]K!I120</f>
        <v>4538</v>
      </c>
      <c r="J120" s="108">
        <f>[32]K!J120</f>
        <v>4845</v>
      </c>
      <c r="K120" s="108">
        <f>[32]K!K120</f>
        <v>5650</v>
      </c>
      <c r="L120" s="108">
        <f>[32]K!L120</f>
        <v>5143</v>
      </c>
      <c r="M120" s="108">
        <f>[32]K!M120</f>
        <v>3972</v>
      </c>
      <c r="N120" s="108">
        <f>[32]K!N120</f>
        <v>4642</v>
      </c>
      <c r="O120" s="108">
        <f>[32]K!O120</f>
        <v>5049</v>
      </c>
      <c r="P120" s="108">
        <f>[32]K!P120</f>
        <v>4659</v>
      </c>
      <c r="Q120" s="108">
        <f>[32]K!Q120</f>
        <v>5017.1545153999996</v>
      </c>
      <c r="R120" s="108">
        <f>[32]K!R120</f>
        <v>4793.0605848999994</v>
      </c>
    </row>
    <row r="121" spans="1:19">
      <c r="A121" s="852">
        <f t="shared" si="13"/>
        <v>107</v>
      </c>
      <c r="B121" s="88" t="s">
        <v>174</v>
      </c>
      <c r="G121" s="108">
        <f>+I.3!O18/1000</f>
        <v>972.67046000000005</v>
      </c>
      <c r="H121" s="108">
        <f>+I.3!M18/1000</f>
        <v>972.67046000000016</v>
      </c>
      <c r="I121" s="108">
        <f>[32]K!I121</f>
        <v>1048</v>
      </c>
      <c r="J121" s="108">
        <f>[32]K!J121</f>
        <v>693</v>
      </c>
      <c r="K121" s="108">
        <f>[32]K!K121</f>
        <v>810</v>
      </c>
      <c r="L121" s="108">
        <f>[32]K!L121</f>
        <v>811</v>
      </c>
      <c r="M121" s="108">
        <f>[32]K!M121</f>
        <v>995</v>
      </c>
      <c r="N121" s="108">
        <f>[32]K!N121</f>
        <v>821</v>
      </c>
      <c r="O121" s="108">
        <f>[32]K!O121</f>
        <v>724</v>
      </c>
      <c r="P121" s="108">
        <f>[32]K!P121</f>
        <v>960</v>
      </c>
      <c r="Q121" s="108">
        <f>[32]K!Q121</f>
        <v>1714.5599533</v>
      </c>
      <c r="R121" s="108">
        <f>[32]K!R121</f>
        <v>1757.0290563999999</v>
      </c>
    </row>
    <row r="122" spans="1:19">
      <c r="A122" s="852">
        <f t="shared" si="13"/>
        <v>108</v>
      </c>
      <c r="B122" s="88" t="s">
        <v>789</v>
      </c>
      <c r="G122" s="108">
        <f>+I.3!O19/1000</f>
        <v>963.10667000000001</v>
      </c>
      <c r="H122" s="108">
        <f>+I.3!M19/1000</f>
        <v>963.10667000000001</v>
      </c>
      <c r="I122" s="108">
        <f>[32]K!I122</f>
        <v>916</v>
      </c>
      <c r="J122" s="108">
        <f>[32]K!J122</f>
        <v>1025</v>
      </c>
      <c r="K122" s="108">
        <f>[32]K!K122</f>
        <v>1234</v>
      </c>
      <c r="L122" s="108">
        <f>[32]K!L122</f>
        <v>1179</v>
      </c>
      <c r="M122" s="108">
        <f>[32]K!M122</f>
        <v>980</v>
      </c>
      <c r="N122" s="108">
        <f>[32]K!N122</f>
        <v>1111</v>
      </c>
      <c r="O122" s="108">
        <f>[32]K!O122</f>
        <v>1192</v>
      </c>
      <c r="P122" s="108">
        <f>[32]K!P122</f>
        <v>1176</v>
      </c>
      <c r="Q122" s="108">
        <f>[32]K!Q122</f>
        <v>1252.6995403999999</v>
      </c>
      <c r="R122" s="108">
        <f>[32]K!R122</f>
        <v>1194.8405935000001</v>
      </c>
    </row>
    <row r="123" spans="1:19">
      <c r="A123" s="852">
        <f t="shared" si="13"/>
        <v>109</v>
      </c>
      <c r="B123" s="1028" t="s">
        <v>86</v>
      </c>
      <c r="G123" s="425">
        <f>+I.3!O20/1000</f>
        <v>0</v>
      </c>
      <c r="H123" s="425">
        <f>+I.3!M20/1000</f>
        <v>0</v>
      </c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</row>
    <row r="124" spans="1:19">
      <c r="A124" s="852">
        <f t="shared" si="13"/>
        <v>110</v>
      </c>
      <c r="B124" s="88" t="s">
        <v>309</v>
      </c>
      <c r="G124" s="108">
        <f>SUM(G119:G123)</f>
        <v>16857.994742694045</v>
      </c>
      <c r="H124" s="108">
        <f>SUM(H119:H123)</f>
        <v>16828.768745926875</v>
      </c>
      <c r="I124" s="1022">
        <f t="shared" ref="I124:R124" si="15">I119+I120+I121+I122</f>
        <v>15596</v>
      </c>
      <c r="J124" s="1022">
        <f t="shared" si="15"/>
        <v>16389</v>
      </c>
      <c r="K124" s="1022">
        <f t="shared" si="15"/>
        <v>19423</v>
      </c>
      <c r="L124" s="1022">
        <f t="shared" si="15"/>
        <v>17828</v>
      </c>
      <c r="M124" s="1022">
        <f t="shared" si="15"/>
        <v>14380</v>
      </c>
      <c r="N124" s="1022">
        <f t="shared" si="15"/>
        <v>16761</v>
      </c>
      <c r="O124" s="1022">
        <f t="shared" si="15"/>
        <v>17700</v>
      </c>
      <c r="P124" s="1022">
        <f t="shared" si="15"/>
        <v>17056</v>
      </c>
      <c r="Q124" s="1022">
        <f t="shared" si="15"/>
        <v>18839.0238264</v>
      </c>
      <c r="R124" s="1022">
        <f t="shared" si="15"/>
        <v>18129.504700199999</v>
      </c>
    </row>
    <row r="125" spans="1:19">
      <c r="A125" s="852">
        <f t="shared" si="13"/>
        <v>111</v>
      </c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</row>
    <row r="126" spans="1:19">
      <c r="A126" s="852">
        <f t="shared" si="13"/>
        <v>112</v>
      </c>
      <c r="B126" s="88" t="s">
        <v>310</v>
      </c>
      <c r="D126" s="88" t="s">
        <v>56</v>
      </c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</row>
    <row r="127" spans="1:19">
      <c r="A127" s="852">
        <f t="shared" si="13"/>
        <v>113</v>
      </c>
      <c r="B127" s="88"/>
      <c r="G127" s="108">
        <v>0</v>
      </c>
      <c r="H127" s="108">
        <v>0</v>
      </c>
      <c r="I127" s="108">
        <v>0</v>
      </c>
      <c r="J127" s="108">
        <v>0</v>
      </c>
      <c r="K127" s="108">
        <v>0</v>
      </c>
      <c r="L127" s="108">
        <v>0</v>
      </c>
      <c r="M127" s="108">
        <v>0</v>
      </c>
      <c r="N127" s="108">
        <v>0</v>
      </c>
      <c r="O127" s="108">
        <v>0</v>
      </c>
      <c r="P127" s="108">
        <v>0</v>
      </c>
      <c r="Q127" s="108">
        <v>0</v>
      </c>
      <c r="R127" s="108">
        <v>0</v>
      </c>
    </row>
    <row r="128" spans="1:19">
      <c r="A128" s="852">
        <f t="shared" si="13"/>
        <v>114</v>
      </c>
      <c r="B128" s="88" t="s">
        <v>437</v>
      </c>
      <c r="G128" s="108">
        <f t="shared" ref="G128:R128" si="16">G130-G127</f>
        <v>17178.296642805231</v>
      </c>
      <c r="H128" s="108">
        <f t="shared" si="16"/>
        <v>17148.515352099486</v>
      </c>
      <c r="I128" s="108">
        <f t="shared" si="16"/>
        <v>15417</v>
      </c>
      <c r="J128" s="108">
        <f t="shared" si="16"/>
        <v>18606</v>
      </c>
      <c r="K128" s="108">
        <f t="shared" si="16"/>
        <v>21324</v>
      </c>
      <c r="L128" s="108">
        <f t="shared" si="16"/>
        <v>18367</v>
      </c>
      <c r="M128" s="108">
        <f t="shared" si="16"/>
        <v>17441</v>
      </c>
      <c r="N128" s="108">
        <f t="shared" si="16"/>
        <v>16748</v>
      </c>
      <c r="O128" s="108">
        <f t="shared" si="16"/>
        <v>17596</v>
      </c>
      <c r="P128" s="108">
        <f t="shared" si="16"/>
        <v>17034</v>
      </c>
      <c r="Q128" s="108">
        <f t="shared" si="16"/>
        <v>18789.664000000001</v>
      </c>
      <c r="R128" s="108">
        <f t="shared" si="16"/>
        <v>19493.048999999999</v>
      </c>
    </row>
    <row r="129" spans="1:20">
      <c r="A129" s="852">
        <f t="shared" si="13"/>
        <v>115</v>
      </c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</row>
    <row r="130" spans="1:20" ht="15.75">
      <c r="A130" s="852">
        <f t="shared" si="13"/>
        <v>116</v>
      </c>
      <c r="B130" s="88" t="s">
        <v>1173</v>
      </c>
      <c r="G130" s="108">
        <f>+G124+(0.019*G124)</f>
        <v>17178.296642805231</v>
      </c>
      <c r="H130" s="108">
        <f>+H124+(0.019*H124)</f>
        <v>17148.515352099486</v>
      </c>
      <c r="I130" s="108">
        <f>[32]K!I130</f>
        <v>15417</v>
      </c>
      <c r="J130" s="108">
        <f>[32]K!J130</f>
        <v>18606</v>
      </c>
      <c r="K130" s="108">
        <f>[32]K!K130</f>
        <v>21324</v>
      </c>
      <c r="L130" s="108">
        <f>[32]K!L130</f>
        <v>18367</v>
      </c>
      <c r="M130" s="108">
        <f>[32]K!M130</f>
        <v>17441</v>
      </c>
      <c r="N130" s="108">
        <f>[32]K!N130</f>
        <v>16748</v>
      </c>
      <c r="O130" s="108">
        <f>[32]K!O130</f>
        <v>17596</v>
      </c>
      <c r="P130" s="108">
        <f>[32]K!P130</f>
        <v>17034</v>
      </c>
      <c r="Q130" s="108">
        <f>[32]K!Q130</f>
        <v>18789.664000000001</v>
      </c>
      <c r="R130" s="108">
        <f>[32]K!R130</f>
        <v>19493.048999999999</v>
      </c>
      <c r="S130" s="1018"/>
    </row>
    <row r="131" spans="1:20">
      <c r="A131" s="852">
        <f t="shared" si="13"/>
        <v>117</v>
      </c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</row>
    <row r="132" spans="1:20" ht="15.75">
      <c r="A132" s="852">
        <f t="shared" si="13"/>
        <v>118</v>
      </c>
      <c r="B132" s="88" t="s">
        <v>311</v>
      </c>
      <c r="G132" s="576">
        <f>[3]Reserve!$BJ$201</f>
        <v>3.1671145996881644E-2</v>
      </c>
      <c r="H132" s="576">
        <f>[3]Reserve!$AU$201</f>
        <v>2.958794126568913E-2</v>
      </c>
      <c r="I132" s="576">
        <f>[32]K!I132</f>
        <v>3.3300000000000003E-2</v>
      </c>
      <c r="J132" s="576">
        <f>[32]K!J132</f>
        <v>3.6578607167145429E-2</v>
      </c>
      <c r="K132" s="576">
        <f>[32]K!K132</f>
        <v>3.5000000000000003E-2</v>
      </c>
      <c r="L132" s="576">
        <f>[32]K!L132</f>
        <v>3.3099999999999997E-2</v>
      </c>
      <c r="M132" s="576">
        <f>[32]K!M132</f>
        <v>3.49E-2</v>
      </c>
      <c r="N132" s="576">
        <f>[32]K!N132</f>
        <v>3.5799999999999998E-2</v>
      </c>
      <c r="O132" s="576">
        <f>[32]K!O132</f>
        <v>3.4000000000000002E-2</v>
      </c>
      <c r="P132" s="576">
        <f>[32]K!P132</f>
        <v>3.4299999999999997E-2</v>
      </c>
      <c r="Q132" s="576">
        <f>[32]K!Q132</f>
        <v>3.1732611870051476E-2</v>
      </c>
      <c r="R132" s="576">
        <f>[32]K!R132</f>
        <v>3.4804141665331238E-2</v>
      </c>
      <c r="S132" s="1018"/>
      <c r="T132" s="670"/>
    </row>
    <row r="133" spans="1:20">
      <c r="A133" s="88"/>
      <c r="B133" s="88"/>
      <c r="G133" s="576"/>
      <c r="H133" s="576"/>
      <c r="I133" s="576"/>
      <c r="J133" s="576"/>
      <c r="K133" s="576"/>
      <c r="L133" s="576"/>
      <c r="M133" s="576"/>
      <c r="N133" s="576"/>
      <c r="O133" s="576"/>
      <c r="P133" s="576"/>
      <c r="Q133" s="576"/>
      <c r="R133" s="576"/>
    </row>
    <row r="134" spans="1:20">
      <c r="B134" s="81" t="s">
        <v>900</v>
      </c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1:20">
      <c r="B135" s="88" t="s">
        <v>1174</v>
      </c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1:20"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1:20"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1:20"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</sheetData>
  <mergeCells count="6">
    <mergeCell ref="A5:R5"/>
    <mergeCell ref="A6:R6"/>
    <mergeCell ref="A1:R1"/>
    <mergeCell ref="A2:R2"/>
    <mergeCell ref="A3:R3"/>
    <mergeCell ref="A4:R4"/>
  </mergeCells>
  <phoneticPr fontId="22" type="noConversion"/>
  <printOptions horizontalCentered="1"/>
  <pageMargins left="0.75" right="0.75" top="0.62" bottom="0.81" header="0.5" footer="0.39"/>
  <pageSetup scale="60" fitToHeight="4" orientation="landscape" verticalDpi="300" r:id="rId1"/>
  <headerFooter alignWithMargins="0">
    <oddFooter>&amp;RSchedule &amp;A
Page &amp;P of &amp;N</oddFooter>
  </headerFooter>
  <rowBreaks count="2" manualBreakCount="2">
    <brk id="46" max="17" man="1"/>
    <brk id="88" max="1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R270"/>
  <sheetViews>
    <sheetView view="pageBreakPreview" zoomScale="60" zoomScaleNormal="70" workbookViewId="0">
      <pane ySplit="12" topLeftCell="A208" activePane="bottomLeft" state="frozen"/>
      <selection activeCell="F59" sqref="F59:F60"/>
      <selection pane="bottomLeft" activeCell="I263" sqref="I263"/>
    </sheetView>
  </sheetViews>
  <sheetFormatPr defaultRowHeight="15"/>
  <cols>
    <col min="1" max="1" width="4.88671875" style="80" customWidth="1"/>
    <col min="2" max="2" width="6.88671875" style="80" customWidth="1"/>
    <col min="3" max="3" width="37" style="80" customWidth="1"/>
    <col min="4" max="4" width="13.5546875" style="80" customWidth="1"/>
    <col min="5" max="5" width="11.109375" style="80" bestFit="1" customWidth="1"/>
    <col min="6" max="6" width="14.33203125" style="80" customWidth="1"/>
    <col min="7" max="7" width="12.77734375" style="857" customWidth="1"/>
    <col min="8" max="8" width="12.6640625" style="857" customWidth="1"/>
    <col min="9" max="9" width="13.77734375" style="80" customWidth="1"/>
    <col min="10" max="10" width="3.21875" style="80" customWidth="1"/>
    <col min="11" max="11" width="15.6640625" style="80" customWidth="1"/>
    <col min="12" max="12" width="12.6640625" style="857" customWidth="1"/>
    <col min="13" max="13" width="9.77734375" style="857" bestFit="1" customWidth="1"/>
    <col min="14" max="14" width="14.21875" style="80" customWidth="1"/>
    <col min="15" max="15" width="5.44140625" style="80" customWidth="1"/>
    <col min="16" max="17" width="12" style="80" bestFit="1" customWidth="1"/>
    <col min="18" max="16384" width="8.88671875" style="80"/>
  </cols>
  <sheetData>
    <row r="1" spans="1:17">
      <c r="A1" s="1180" t="str">
        <f>'Table of Contents'!A1:C1</f>
        <v>Atmos Energy Corporation, Kentucky/Mid-States Division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</row>
    <row r="2" spans="1:17">
      <c r="A2" s="1180" t="str">
        <f>'Table of Contents'!A2:C2</f>
        <v>Kentucky Jurisdiction Case No. 2017-00349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</row>
    <row r="3" spans="1:17">
      <c r="A3" s="1180" t="s">
        <v>501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  <c r="M3" s="1180"/>
      <c r="N3" s="1180"/>
    </row>
    <row r="4" spans="1:17" ht="15.75">
      <c r="A4" s="1181" t="str">
        <f>'B.1 B'!A4</f>
        <v>as of December 31, 2017</v>
      </c>
      <c r="B4" s="1181"/>
      <c r="C4" s="1181"/>
      <c r="D4" s="1181"/>
      <c r="E4" s="1181"/>
      <c r="F4" s="1181"/>
      <c r="G4" s="1181"/>
      <c r="H4" s="1181"/>
      <c r="I4" s="1181"/>
      <c r="J4" s="1181"/>
      <c r="K4" s="1181"/>
      <c r="L4" s="1181"/>
      <c r="M4" s="1181"/>
      <c r="N4" s="1181"/>
    </row>
    <row r="5" spans="1:17">
      <c r="A5" s="150"/>
      <c r="B5" s="150"/>
      <c r="C5" s="150"/>
      <c r="D5" s="150"/>
      <c r="E5" s="731"/>
      <c r="G5" s="860"/>
      <c r="H5" s="860"/>
      <c r="J5" s="81"/>
      <c r="K5" s="150"/>
    </row>
    <row r="6" spans="1:17" ht="15.75">
      <c r="A6" s="88" t="str">
        <f>'B.1 B'!A6</f>
        <v>Data:__X___Base Period______Forecasted Period</v>
      </c>
      <c r="B6" s="81"/>
      <c r="C6" s="81"/>
      <c r="D6" s="81"/>
      <c r="E6" s="906"/>
      <c r="F6" s="906"/>
      <c r="G6" s="860"/>
      <c r="K6" s="81"/>
      <c r="N6" s="905" t="s">
        <v>1442</v>
      </c>
    </row>
    <row r="7" spans="1:17">
      <c r="A7" s="88" t="str">
        <f>'B.1 B'!A7</f>
        <v>Type of Filing:___X____Original________Updated ________Revised</v>
      </c>
      <c r="B7" s="88"/>
      <c r="C7" s="81"/>
      <c r="D7" s="81"/>
      <c r="E7" s="81"/>
      <c r="F7" s="81"/>
      <c r="G7" s="860"/>
      <c r="I7" s="88"/>
      <c r="J7" s="88"/>
      <c r="K7" s="81"/>
      <c r="N7" s="983" t="s">
        <v>1017</v>
      </c>
    </row>
    <row r="8" spans="1:17">
      <c r="A8" s="1033" t="str">
        <f>'B.1 B'!A8</f>
        <v>Workpaper Reference No(s).</v>
      </c>
      <c r="B8" s="74"/>
      <c r="C8" s="74"/>
      <c r="D8" s="74"/>
      <c r="E8" s="74"/>
      <c r="F8" s="74"/>
      <c r="G8" s="76"/>
      <c r="H8" s="1032"/>
      <c r="I8" s="1033"/>
      <c r="J8" s="1033"/>
      <c r="K8" s="74"/>
      <c r="L8" s="1032"/>
      <c r="N8" s="1034" t="str">
        <f>'B.1 B'!F8</f>
        <v>Witness:   Waller</v>
      </c>
    </row>
    <row r="9" spans="1:17">
      <c r="A9" s="1035"/>
      <c r="B9" s="829"/>
      <c r="C9" s="1056"/>
      <c r="D9" s="391"/>
      <c r="E9" s="829"/>
      <c r="F9" s="829"/>
      <c r="G9" s="893"/>
      <c r="H9" s="1036"/>
      <c r="I9" s="1037"/>
      <c r="J9" s="1033"/>
      <c r="K9" s="391"/>
      <c r="L9" s="895"/>
      <c r="M9" s="895"/>
      <c r="N9" s="1038"/>
    </row>
    <row r="10" spans="1:17" ht="15.75">
      <c r="A10" s="1039"/>
      <c r="B10" s="74"/>
      <c r="C10" s="1057"/>
      <c r="D10" s="593">
        <v>43100</v>
      </c>
      <c r="E10" s="74"/>
      <c r="F10" s="74"/>
      <c r="G10" s="76" t="s">
        <v>13</v>
      </c>
      <c r="H10" s="75" t="s">
        <v>11</v>
      </c>
      <c r="I10" s="1040"/>
      <c r="J10" s="1033"/>
      <c r="K10" s="1041"/>
      <c r="L10" s="76" t="s">
        <v>13</v>
      </c>
      <c r="M10" s="75" t="s">
        <v>11</v>
      </c>
      <c r="N10" s="1040"/>
    </row>
    <row r="11" spans="1:17" ht="15.75">
      <c r="A11" s="1039" t="s">
        <v>94</v>
      </c>
      <c r="B11" s="75" t="s">
        <v>269</v>
      </c>
      <c r="C11" s="484" t="s">
        <v>217</v>
      </c>
      <c r="D11" s="857" t="s">
        <v>1346</v>
      </c>
      <c r="E11" s="75"/>
      <c r="F11" s="75" t="s">
        <v>10</v>
      </c>
      <c r="G11" s="75" t="s">
        <v>14</v>
      </c>
      <c r="H11" s="75" t="s">
        <v>600</v>
      </c>
      <c r="I11" s="484" t="s">
        <v>12</v>
      </c>
      <c r="J11" s="75"/>
      <c r="K11" s="1042" t="s">
        <v>46</v>
      </c>
      <c r="L11" s="75" t="s">
        <v>14</v>
      </c>
      <c r="M11" s="75" t="s">
        <v>600</v>
      </c>
      <c r="N11" s="484" t="s">
        <v>12</v>
      </c>
    </row>
    <row r="12" spans="1:17">
      <c r="A12" s="1043" t="s">
        <v>100</v>
      </c>
      <c r="B12" s="186" t="s">
        <v>100</v>
      </c>
      <c r="C12" s="1044" t="s">
        <v>300</v>
      </c>
      <c r="D12" s="1043" t="s">
        <v>106</v>
      </c>
      <c r="E12" s="186" t="s">
        <v>995</v>
      </c>
      <c r="F12" s="186" t="s">
        <v>106</v>
      </c>
      <c r="G12" s="186" t="s">
        <v>633</v>
      </c>
      <c r="H12" s="186" t="s">
        <v>633</v>
      </c>
      <c r="I12" s="1044" t="s">
        <v>105</v>
      </c>
      <c r="J12" s="75"/>
      <c r="K12" s="1043" t="s">
        <v>99</v>
      </c>
      <c r="L12" s="186" t="s">
        <v>633</v>
      </c>
      <c r="M12" s="186" t="s">
        <v>633</v>
      </c>
      <c r="N12" s="1044" t="s">
        <v>105</v>
      </c>
      <c r="P12" s="427"/>
      <c r="Q12" s="427"/>
    </row>
    <row r="13" spans="1:17">
      <c r="A13" s="75"/>
      <c r="B13" s="75"/>
      <c r="C13" s="75"/>
      <c r="D13" s="75" t="s">
        <v>757</v>
      </c>
      <c r="E13" s="75" t="s">
        <v>758</v>
      </c>
      <c r="F13" s="75" t="s">
        <v>764</v>
      </c>
      <c r="G13" s="75" t="s">
        <v>759</v>
      </c>
      <c r="H13" s="75" t="s">
        <v>760</v>
      </c>
      <c r="I13" s="75" t="s">
        <v>765</v>
      </c>
      <c r="J13" s="75"/>
      <c r="K13" s="75" t="s">
        <v>761</v>
      </c>
      <c r="L13" s="75" t="s">
        <v>762</v>
      </c>
      <c r="M13" s="75" t="s">
        <v>763</v>
      </c>
      <c r="N13" s="75" t="s">
        <v>766</v>
      </c>
    </row>
    <row r="14" spans="1:17" ht="15.75">
      <c r="B14" s="946" t="s">
        <v>6</v>
      </c>
    </row>
    <row r="15" spans="1:17">
      <c r="A15" s="210">
        <v>1</v>
      </c>
      <c r="B15" s="196"/>
      <c r="C15" s="619" t="s">
        <v>301</v>
      </c>
    </row>
    <row r="16" spans="1:17">
      <c r="A16" s="210">
        <f>A15+1</f>
        <v>2</v>
      </c>
      <c r="B16" s="1045">
        <v>30100</v>
      </c>
      <c r="C16" s="232" t="s">
        <v>295</v>
      </c>
      <c r="D16" s="321">
        <f>'[3]Gross Plant'!$Q112</f>
        <v>8329.7199999999993</v>
      </c>
      <c r="E16" s="457">
        <v>0</v>
      </c>
      <c r="F16" s="359">
        <f>D16+E16</f>
        <v>8329.7199999999993</v>
      </c>
      <c r="G16" s="335">
        <v>1</v>
      </c>
      <c r="H16" s="335">
        <f>$G$16</f>
        <v>1</v>
      </c>
      <c r="I16" s="359">
        <f>F16*G16*H16</f>
        <v>8329.7199999999993</v>
      </c>
      <c r="J16" s="426"/>
      <c r="K16" s="321">
        <f>'[3]Gross Plant'!$C112</f>
        <v>8329.7199999999993</v>
      </c>
      <c r="L16" s="335">
        <f t="shared" ref="L16:M17" si="0">$G$16</f>
        <v>1</v>
      </c>
      <c r="M16" s="335">
        <f t="shared" si="0"/>
        <v>1</v>
      </c>
      <c r="N16" s="359">
        <f>K16*L16*M16</f>
        <v>8329.7199999999993</v>
      </c>
    </row>
    <row r="17" spans="1:14">
      <c r="A17" s="210">
        <f t="shared" ref="A17:A80" si="1">A16+1</f>
        <v>3</v>
      </c>
      <c r="B17" s="1045">
        <v>30200</v>
      </c>
      <c r="C17" s="232" t="s">
        <v>154</v>
      </c>
      <c r="D17" s="321">
        <f>'[3]Gross Plant'!$Q113</f>
        <v>119852.69</v>
      </c>
      <c r="E17" s="616">
        <v>0</v>
      </c>
      <c r="F17" s="616">
        <f>D17+E17</f>
        <v>119852.69</v>
      </c>
      <c r="G17" s="335">
        <f>$G$16</f>
        <v>1</v>
      </c>
      <c r="H17" s="335">
        <f>$G$16</f>
        <v>1</v>
      </c>
      <c r="I17" s="616">
        <f>F17*G17*H17</f>
        <v>119852.69</v>
      </c>
      <c r="K17" s="321">
        <f>'[3]Gross Plant'!$C113</f>
        <v>119852.68999999996</v>
      </c>
      <c r="L17" s="335">
        <f t="shared" si="0"/>
        <v>1</v>
      </c>
      <c r="M17" s="335">
        <f t="shared" si="0"/>
        <v>1</v>
      </c>
      <c r="N17" s="616">
        <f>K17*L17*M17</f>
        <v>119852.68999999996</v>
      </c>
    </row>
    <row r="18" spans="1:14">
      <c r="A18" s="210">
        <f t="shared" si="1"/>
        <v>4</v>
      </c>
      <c r="B18" s="1054"/>
      <c r="C18" s="232"/>
      <c r="D18" s="618"/>
      <c r="E18" s="618"/>
      <c r="F18" s="618"/>
      <c r="G18" s="335"/>
      <c r="H18" s="335"/>
      <c r="I18" s="618"/>
      <c r="K18" s="618"/>
      <c r="N18" s="618"/>
    </row>
    <row r="19" spans="1:14">
      <c r="A19" s="210">
        <f t="shared" si="1"/>
        <v>5</v>
      </c>
      <c r="B19" s="1054"/>
      <c r="C19" s="232" t="s">
        <v>302</v>
      </c>
      <c r="D19" s="359">
        <f>SUM(D16:D17)</f>
        <v>128182.41</v>
      </c>
      <c r="E19" s="359">
        <f>SUM(E16:E17)</f>
        <v>0</v>
      </c>
      <c r="F19" s="359">
        <f>SUM(F16:F17)</f>
        <v>128182.41</v>
      </c>
      <c r="G19" s="1058"/>
      <c r="H19" s="1058"/>
      <c r="I19" s="359">
        <f>SUM(I16:I17)</f>
        <v>128182.41</v>
      </c>
      <c r="K19" s="359">
        <f>SUM(K16:K17)</f>
        <v>128182.40999999996</v>
      </c>
      <c r="N19" s="359">
        <f>SUM(N16:N17)</f>
        <v>128182.40999999996</v>
      </c>
    </row>
    <row r="20" spans="1:14">
      <c r="A20" s="210">
        <f t="shared" si="1"/>
        <v>6</v>
      </c>
      <c r="B20" s="1054"/>
      <c r="C20" s="196"/>
      <c r="G20" s="335"/>
      <c r="H20" s="335"/>
    </row>
    <row r="21" spans="1:14">
      <c r="A21" s="210">
        <f t="shared" si="1"/>
        <v>7</v>
      </c>
      <c r="B21" s="1054"/>
      <c r="C21" s="619" t="s">
        <v>155</v>
      </c>
      <c r="G21" s="335"/>
      <c r="H21" s="335"/>
    </row>
    <row r="22" spans="1:14">
      <c r="A22" s="210">
        <f t="shared" si="1"/>
        <v>8</v>
      </c>
      <c r="B22" s="1045">
        <v>32540</v>
      </c>
      <c r="C22" s="232" t="s">
        <v>162</v>
      </c>
      <c r="D22" s="321">
        <f>'[3]Gross Plant'!$Q114</f>
        <v>0</v>
      </c>
      <c r="E22" s="457">
        <v>0</v>
      </c>
      <c r="F22" s="359">
        <f t="shared" ref="F22:F24" si="2">D22+E22</f>
        <v>0</v>
      </c>
      <c r="G22" s="335">
        <f t="shared" ref="G22:H44" si="3">$G$16</f>
        <v>1</v>
      </c>
      <c r="H22" s="335">
        <f t="shared" si="3"/>
        <v>1</v>
      </c>
      <c r="I22" s="359">
        <f t="shared" ref="I22:I24" si="4">F22*G22*H22</f>
        <v>0</v>
      </c>
      <c r="K22" s="321">
        <f>'[3]Gross Plant'!$C114</f>
        <v>0</v>
      </c>
      <c r="L22" s="335">
        <f t="shared" ref="L22:M24" si="5">$G$16</f>
        <v>1</v>
      </c>
      <c r="M22" s="335">
        <f t="shared" si="5"/>
        <v>1</v>
      </c>
      <c r="N22" s="359">
        <f t="shared" ref="N22:N24" si="6">K22*L22*M22</f>
        <v>0</v>
      </c>
    </row>
    <row r="23" spans="1:14">
      <c r="A23" s="210">
        <f t="shared" si="1"/>
        <v>9</v>
      </c>
      <c r="B23" s="1045">
        <v>33202</v>
      </c>
      <c r="C23" s="232" t="s">
        <v>602</v>
      </c>
      <c r="D23" s="321">
        <f>'[3]Gross Plant'!$Q115</f>
        <v>0</v>
      </c>
      <c r="E23" s="616">
        <v>0</v>
      </c>
      <c r="F23" s="616">
        <f t="shared" si="2"/>
        <v>0</v>
      </c>
      <c r="G23" s="335">
        <f t="shared" si="3"/>
        <v>1</v>
      </c>
      <c r="H23" s="335">
        <f t="shared" si="3"/>
        <v>1</v>
      </c>
      <c r="I23" s="616">
        <f t="shared" si="4"/>
        <v>0</v>
      </c>
      <c r="K23" s="321">
        <f>'[3]Gross Plant'!$C115</f>
        <v>0</v>
      </c>
      <c r="L23" s="335">
        <f t="shared" si="5"/>
        <v>1</v>
      </c>
      <c r="M23" s="335">
        <f t="shared" si="5"/>
        <v>1</v>
      </c>
      <c r="N23" s="616">
        <f t="shared" si="6"/>
        <v>0</v>
      </c>
    </row>
    <row r="24" spans="1:14">
      <c r="A24" s="210">
        <f t="shared" si="1"/>
        <v>10</v>
      </c>
      <c r="B24" s="1045">
        <v>33400</v>
      </c>
      <c r="C24" s="232" t="s">
        <v>1129</v>
      </c>
      <c r="D24" s="321">
        <f>'[3]Gross Plant'!$Q116</f>
        <v>0</v>
      </c>
      <c r="E24" s="616">
        <v>0</v>
      </c>
      <c r="F24" s="616">
        <f t="shared" si="2"/>
        <v>0</v>
      </c>
      <c r="G24" s="335">
        <f t="shared" si="3"/>
        <v>1</v>
      </c>
      <c r="H24" s="335">
        <f t="shared" si="3"/>
        <v>1</v>
      </c>
      <c r="I24" s="616">
        <f t="shared" si="4"/>
        <v>0</v>
      </c>
      <c r="K24" s="321">
        <f>'[3]Gross Plant'!$C116</f>
        <v>0</v>
      </c>
      <c r="L24" s="335">
        <f t="shared" si="5"/>
        <v>1</v>
      </c>
      <c r="M24" s="335">
        <f t="shared" si="5"/>
        <v>1</v>
      </c>
      <c r="N24" s="616">
        <f t="shared" si="6"/>
        <v>0</v>
      </c>
    </row>
    <row r="25" spans="1:14">
      <c r="A25" s="210">
        <f t="shared" si="1"/>
        <v>11</v>
      </c>
      <c r="B25" s="1054"/>
      <c r="C25" s="196"/>
      <c r="D25" s="618"/>
      <c r="E25" s="618"/>
      <c r="F25" s="618"/>
      <c r="G25" s="335"/>
      <c r="H25" s="335"/>
      <c r="I25" s="618"/>
      <c r="K25" s="618"/>
      <c r="N25" s="618"/>
    </row>
    <row r="26" spans="1:14">
      <c r="A26" s="210">
        <f t="shared" si="1"/>
        <v>12</v>
      </c>
      <c r="B26" s="1054"/>
      <c r="C26" s="196" t="s">
        <v>279</v>
      </c>
      <c r="D26" s="359">
        <f>SUM(D22:D25)</f>
        <v>0</v>
      </c>
      <c r="E26" s="359">
        <f>SUM(E22:E25)</f>
        <v>0</v>
      </c>
      <c r="F26" s="359">
        <f>SUM(F22:F25)</f>
        <v>0</v>
      </c>
      <c r="G26" s="335"/>
      <c r="H26" s="335"/>
      <c r="I26" s="359">
        <f>SUM(I22:I25)</f>
        <v>0</v>
      </c>
      <c r="K26" s="359">
        <f>SUM(K22:K25)</f>
        <v>0</v>
      </c>
      <c r="N26" s="359">
        <f>SUM(N22:N25)</f>
        <v>0</v>
      </c>
    </row>
    <row r="27" spans="1:14">
      <c r="A27" s="210">
        <f t="shared" si="1"/>
        <v>13</v>
      </c>
      <c r="B27" s="1054"/>
      <c r="C27" s="232"/>
      <c r="G27" s="335"/>
      <c r="H27" s="335"/>
    </row>
    <row r="28" spans="1:14">
      <c r="A28" s="210">
        <f t="shared" si="1"/>
        <v>14</v>
      </c>
      <c r="B28" s="1054"/>
      <c r="C28" s="619" t="s">
        <v>280</v>
      </c>
      <c r="G28" s="335"/>
      <c r="H28" s="335"/>
    </row>
    <row r="29" spans="1:14">
      <c r="A29" s="210">
        <f t="shared" si="1"/>
        <v>15</v>
      </c>
      <c r="B29" s="1045">
        <v>35010</v>
      </c>
      <c r="C29" s="232" t="s">
        <v>296</v>
      </c>
      <c r="D29" s="321">
        <f>'[3]Gross Plant'!$Q117</f>
        <v>261126.69</v>
      </c>
      <c r="E29" s="457">
        <v>0</v>
      </c>
      <c r="F29" s="359">
        <f>D29+E29</f>
        <v>261126.69</v>
      </c>
      <c r="G29" s="335">
        <f t="shared" si="3"/>
        <v>1</v>
      </c>
      <c r="H29" s="335">
        <f t="shared" si="3"/>
        <v>1</v>
      </c>
      <c r="I29" s="359">
        <f>F29*G29*H29</f>
        <v>261126.69</v>
      </c>
      <c r="K29" s="321">
        <f>'[3]Gross Plant'!$C117</f>
        <v>261126.68999999997</v>
      </c>
      <c r="L29" s="335">
        <f t="shared" ref="L29:M45" si="7">$G$16</f>
        <v>1</v>
      </c>
      <c r="M29" s="335">
        <f t="shared" si="7"/>
        <v>1</v>
      </c>
      <c r="N29" s="359">
        <f>K29*L29*M29</f>
        <v>261126.68999999997</v>
      </c>
    </row>
    <row r="30" spans="1:14">
      <c r="A30" s="210">
        <f t="shared" si="1"/>
        <v>16</v>
      </c>
      <c r="B30" s="1045">
        <v>35020</v>
      </c>
      <c r="C30" s="232" t="s">
        <v>799</v>
      </c>
      <c r="D30" s="321">
        <f>'[3]Gross Plant'!$Q118</f>
        <v>4681.58</v>
      </c>
      <c r="E30" s="616">
        <v>0</v>
      </c>
      <c r="F30" s="616">
        <f>D30+E30</f>
        <v>4681.58</v>
      </c>
      <c r="G30" s="335">
        <f t="shared" si="3"/>
        <v>1</v>
      </c>
      <c r="H30" s="335">
        <f t="shared" si="3"/>
        <v>1</v>
      </c>
      <c r="I30" s="616">
        <f t="shared" ref="I30:I45" si="8">F30*G30*H30</f>
        <v>4681.58</v>
      </c>
      <c r="K30" s="321">
        <f>'[3]Gross Plant'!$C118</f>
        <v>4681.5800000000008</v>
      </c>
      <c r="L30" s="335">
        <f t="shared" si="7"/>
        <v>1</v>
      </c>
      <c r="M30" s="335">
        <f t="shared" si="7"/>
        <v>1</v>
      </c>
      <c r="N30" s="616">
        <f t="shared" ref="N30:N45" si="9">K30*L30*M30</f>
        <v>4681.5800000000008</v>
      </c>
    </row>
    <row r="31" spans="1:14">
      <c r="A31" s="210">
        <f t="shared" si="1"/>
        <v>17</v>
      </c>
      <c r="B31" s="1045">
        <v>35100</v>
      </c>
      <c r="C31" s="232" t="s">
        <v>977</v>
      </c>
      <c r="D31" s="321">
        <f>'[3]Gross Plant'!$Q119</f>
        <v>17916.189999999999</v>
      </c>
      <c r="E31" s="616">
        <v>0</v>
      </c>
      <c r="F31" s="616">
        <f t="shared" ref="F31:F45" si="10">D31+E31</f>
        <v>17916.189999999999</v>
      </c>
      <c r="G31" s="335">
        <f t="shared" si="3"/>
        <v>1</v>
      </c>
      <c r="H31" s="335">
        <f t="shared" si="3"/>
        <v>1</v>
      </c>
      <c r="I31" s="616">
        <f t="shared" si="8"/>
        <v>17916.189999999999</v>
      </c>
      <c r="K31" s="321">
        <f>'[3]Gross Plant'!$C119</f>
        <v>17916.189999999999</v>
      </c>
      <c r="L31" s="335">
        <f t="shared" si="7"/>
        <v>1</v>
      </c>
      <c r="M31" s="335">
        <f t="shared" si="7"/>
        <v>1</v>
      </c>
      <c r="N31" s="616">
        <f t="shared" si="9"/>
        <v>17916.189999999999</v>
      </c>
    </row>
    <row r="32" spans="1:14">
      <c r="A32" s="210">
        <f t="shared" si="1"/>
        <v>18</v>
      </c>
      <c r="B32" s="1045">
        <v>35102</v>
      </c>
      <c r="C32" s="232" t="s">
        <v>281</v>
      </c>
      <c r="D32" s="321">
        <f>'[3]Gross Plant'!$Q120</f>
        <v>153261.29999999999</v>
      </c>
      <c r="E32" s="616">
        <v>0</v>
      </c>
      <c r="F32" s="616">
        <f t="shared" si="10"/>
        <v>153261.29999999999</v>
      </c>
      <c r="G32" s="335">
        <f t="shared" si="3"/>
        <v>1</v>
      </c>
      <c r="H32" s="335">
        <f t="shared" si="3"/>
        <v>1</v>
      </c>
      <c r="I32" s="616">
        <f t="shared" si="8"/>
        <v>153261.29999999999</v>
      </c>
      <c r="K32" s="321">
        <f>'[3]Gross Plant'!$C120</f>
        <v>153261.30000000002</v>
      </c>
      <c r="L32" s="335">
        <f t="shared" si="7"/>
        <v>1</v>
      </c>
      <c r="M32" s="335">
        <f t="shared" si="7"/>
        <v>1</v>
      </c>
      <c r="N32" s="616">
        <f t="shared" si="9"/>
        <v>153261.30000000002</v>
      </c>
    </row>
    <row r="33" spans="1:15">
      <c r="A33" s="210">
        <f t="shared" si="1"/>
        <v>19</v>
      </c>
      <c r="B33" s="1045">
        <v>35103</v>
      </c>
      <c r="C33" s="232" t="s">
        <v>591</v>
      </c>
      <c r="D33" s="321">
        <f>'[3]Gross Plant'!$Q121</f>
        <v>23138.38</v>
      </c>
      <c r="E33" s="616">
        <v>0</v>
      </c>
      <c r="F33" s="616">
        <f t="shared" si="10"/>
        <v>23138.38</v>
      </c>
      <c r="G33" s="335">
        <f t="shared" si="3"/>
        <v>1</v>
      </c>
      <c r="H33" s="335">
        <f t="shared" si="3"/>
        <v>1</v>
      </c>
      <c r="I33" s="616">
        <f t="shared" si="8"/>
        <v>23138.38</v>
      </c>
      <c r="K33" s="321">
        <f>'[3]Gross Plant'!$C121</f>
        <v>23138.38</v>
      </c>
      <c r="L33" s="335">
        <f t="shared" si="7"/>
        <v>1</v>
      </c>
      <c r="M33" s="335">
        <f t="shared" si="7"/>
        <v>1</v>
      </c>
      <c r="N33" s="616">
        <f t="shared" si="9"/>
        <v>23138.38</v>
      </c>
    </row>
    <row r="34" spans="1:15">
      <c r="A34" s="210">
        <f t="shared" si="1"/>
        <v>20</v>
      </c>
      <c r="B34" s="1045">
        <v>35104</v>
      </c>
      <c r="C34" s="232" t="s">
        <v>592</v>
      </c>
      <c r="D34" s="321">
        <f>'[3]Gross Plant'!$Q122</f>
        <v>137442.53</v>
      </c>
      <c r="E34" s="616">
        <v>0</v>
      </c>
      <c r="F34" s="616">
        <f t="shared" si="10"/>
        <v>137442.53</v>
      </c>
      <c r="G34" s="335">
        <f t="shared" si="3"/>
        <v>1</v>
      </c>
      <c r="H34" s="335">
        <f t="shared" si="3"/>
        <v>1</v>
      </c>
      <c r="I34" s="616">
        <f t="shared" si="8"/>
        <v>137442.53</v>
      </c>
      <c r="K34" s="321">
        <f>'[3]Gross Plant'!$C122</f>
        <v>137442.53</v>
      </c>
      <c r="L34" s="335">
        <f t="shared" si="7"/>
        <v>1</v>
      </c>
      <c r="M34" s="335">
        <f t="shared" si="7"/>
        <v>1</v>
      </c>
      <c r="N34" s="616">
        <f t="shared" si="9"/>
        <v>137442.53</v>
      </c>
    </row>
    <row r="35" spans="1:15">
      <c r="A35" s="210">
        <f t="shared" si="1"/>
        <v>21</v>
      </c>
      <c r="B35" s="1045">
        <v>35200</v>
      </c>
      <c r="C35" s="232" t="s">
        <v>446</v>
      </c>
      <c r="D35" s="321">
        <f>'[3]Gross Plant'!$Q123</f>
        <v>7430333.9400000004</v>
      </c>
      <c r="E35" s="616">
        <v>0</v>
      </c>
      <c r="F35" s="616">
        <f t="shared" si="10"/>
        <v>7430333.9400000004</v>
      </c>
      <c r="G35" s="335">
        <f t="shared" si="3"/>
        <v>1</v>
      </c>
      <c r="H35" s="335">
        <f t="shared" si="3"/>
        <v>1</v>
      </c>
      <c r="I35" s="616">
        <f t="shared" si="8"/>
        <v>7430333.9400000004</v>
      </c>
      <c r="K35" s="321">
        <f>'[3]Gross Plant'!$C123</f>
        <v>7464274.1830769219</v>
      </c>
      <c r="L35" s="335">
        <f t="shared" si="7"/>
        <v>1</v>
      </c>
      <c r="M35" s="335">
        <f t="shared" si="7"/>
        <v>1</v>
      </c>
      <c r="N35" s="616">
        <f t="shared" si="9"/>
        <v>7464274.1830769219</v>
      </c>
    </row>
    <row r="36" spans="1:15">
      <c r="A36" s="210">
        <f t="shared" si="1"/>
        <v>22</v>
      </c>
      <c r="B36" s="1045">
        <v>35201</v>
      </c>
      <c r="C36" s="232" t="s">
        <v>593</v>
      </c>
      <c r="D36" s="321">
        <f>'[3]Gross Plant'!$Q124</f>
        <v>1699998.54</v>
      </c>
      <c r="E36" s="616">
        <v>0</v>
      </c>
      <c r="F36" s="616">
        <f t="shared" si="10"/>
        <v>1699998.54</v>
      </c>
      <c r="G36" s="335">
        <f t="shared" si="3"/>
        <v>1</v>
      </c>
      <c r="H36" s="335">
        <f t="shared" si="3"/>
        <v>1</v>
      </c>
      <c r="I36" s="616">
        <f t="shared" si="8"/>
        <v>1699998.54</v>
      </c>
      <c r="K36" s="321">
        <f>'[3]Gross Plant'!$C124</f>
        <v>1699998.5399999993</v>
      </c>
      <c r="L36" s="335">
        <f t="shared" si="7"/>
        <v>1</v>
      </c>
      <c r="M36" s="335">
        <f t="shared" si="7"/>
        <v>1</v>
      </c>
      <c r="N36" s="616">
        <f t="shared" si="9"/>
        <v>1699998.5399999993</v>
      </c>
    </row>
    <row r="37" spans="1:15">
      <c r="A37" s="210">
        <f t="shared" si="1"/>
        <v>23</v>
      </c>
      <c r="B37" s="1045">
        <v>35202</v>
      </c>
      <c r="C37" s="232" t="s">
        <v>594</v>
      </c>
      <c r="D37" s="321">
        <f>'[3]Gross Plant'!$Q125</f>
        <v>415818.86</v>
      </c>
      <c r="E37" s="616">
        <v>0</v>
      </c>
      <c r="F37" s="616">
        <f t="shared" si="10"/>
        <v>415818.86</v>
      </c>
      <c r="G37" s="335">
        <f t="shared" si="3"/>
        <v>1</v>
      </c>
      <c r="H37" s="335">
        <f t="shared" si="3"/>
        <v>1</v>
      </c>
      <c r="I37" s="616">
        <f t="shared" si="8"/>
        <v>415818.86</v>
      </c>
      <c r="K37" s="321">
        <f>'[3]Gross Plant'!$C125</f>
        <v>415818.86</v>
      </c>
      <c r="L37" s="335">
        <f t="shared" si="7"/>
        <v>1</v>
      </c>
      <c r="M37" s="335">
        <f t="shared" si="7"/>
        <v>1</v>
      </c>
      <c r="N37" s="616">
        <f t="shared" si="9"/>
        <v>415818.86</v>
      </c>
    </row>
    <row r="38" spans="1:15">
      <c r="A38" s="210">
        <f t="shared" si="1"/>
        <v>24</v>
      </c>
      <c r="B38" s="1045">
        <v>35203</v>
      </c>
      <c r="C38" s="232" t="s">
        <v>347</v>
      </c>
      <c r="D38" s="321">
        <f>'[3]Gross Plant'!$Q126</f>
        <v>1694832.96</v>
      </c>
      <c r="E38" s="616">
        <v>0</v>
      </c>
      <c r="F38" s="616">
        <f t="shared" si="10"/>
        <v>1694832.96</v>
      </c>
      <c r="G38" s="335">
        <f t="shared" si="3"/>
        <v>1</v>
      </c>
      <c r="H38" s="335">
        <f t="shared" si="3"/>
        <v>1</v>
      </c>
      <c r="I38" s="616">
        <f t="shared" si="8"/>
        <v>1694832.96</v>
      </c>
      <c r="K38" s="321">
        <f>'[3]Gross Plant'!$C126</f>
        <v>1694832.9600000007</v>
      </c>
      <c r="L38" s="335">
        <f t="shared" si="7"/>
        <v>1</v>
      </c>
      <c r="M38" s="335">
        <f t="shared" si="7"/>
        <v>1</v>
      </c>
      <c r="N38" s="616">
        <f t="shared" si="9"/>
        <v>1694832.9600000007</v>
      </c>
    </row>
    <row r="39" spans="1:15">
      <c r="A39" s="210">
        <f t="shared" si="1"/>
        <v>25</v>
      </c>
      <c r="B39" s="1045">
        <v>35210</v>
      </c>
      <c r="C39" s="232" t="s">
        <v>595</v>
      </c>
      <c r="D39" s="321">
        <f>'[3]Gross Plant'!$Q127</f>
        <v>178530.09</v>
      </c>
      <c r="E39" s="616">
        <v>0</v>
      </c>
      <c r="F39" s="616">
        <f t="shared" si="10"/>
        <v>178530.09</v>
      </c>
      <c r="G39" s="335">
        <f t="shared" si="3"/>
        <v>1</v>
      </c>
      <c r="H39" s="335">
        <f t="shared" si="3"/>
        <v>1</v>
      </c>
      <c r="I39" s="616">
        <f t="shared" si="8"/>
        <v>178530.09</v>
      </c>
      <c r="K39" s="321">
        <f>'[3]Gross Plant'!$C127</f>
        <v>178530.09000000003</v>
      </c>
      <c r="L39" s="335">
        <f t="shared" si="7"/>
        <v>1</v>
      </c>
      <c r="M39" s="335">
        <f t="shared" si="7"/>
        <v>1</v>
      </c>
      <c r="N39" s="616">
        <f t="shared" si="9"/>
        <v>178530.09000000003</v>
      </c>
    </row>
    <row r="40" spans="1:15">
      <c r="A40" s="210">
        <f t="shared" si="1"/>
        <v>26</v>
      </c>
      <c r="B40" s="1045">
        <v>35211</v>
      </c>
      <c r="C40" s="232" t="s">
        <v>596</v>
      </c>
      <c r="D40" s="321">
        <f>'[3]Gross Plant'!$Q128</f>
        <v>54614.27</v>
      </c>
      <c r="E40" s="616">
        <v>0</v>
      </c>
      <c r="F40" s="616">
        <f t="shared" si="10"/>
        <v>54614.27</v>
      </c>
      <c r="G40" s="335">
        <f t="shared" si="3"/>
        <v>1</v>
      </c>
      <c r="H40" s="335">
        <f t="shared" si="3"/>
        <v>1</v>
      </c>
      <c r="I40" s="616">
        <f t="shared" si="8"/>
        <v>54614.27</v>
      </c>
      <c r="K40" s="321">
        <f>'[3]Gross Plant'!$C128</f>
        <v>54614.270000000011</v>
      </c>
      <c r="L40" s="335">
        <f t="shared" si="7"/>
        <v>1</v>
      </c>
      <c r="M40" s="335">
        <f t="shared" si="7"/>
        <v>1</v>
      </c>
      <c r="N40" s="616">
        <f t="shared" si="9"/>
        <v>54614.270000000011</v>
      </c>
    </row>
    <row r="41" spans="1:15">
      <c r="A41" s="210">
        <f t="shared" si="1"/>
        <v>27</v>
      </c>
      <c r="B41" s="1045">
        <v>35301</v>
      </c>
      <c r="C41" s="196" t="s">
        <v>163</v>
      </c>
      <c r="D41" s="321">
        <f>'[3]Gross Plant'!$Q129</f>
        <v>178496.9</v>
      </c>
      <c r="E41" s="616">
        <v>0</v>
      </c>
      <c r="F41" s="616">
        <f t="shared" si="10"/>
        <v>178496.9</v>
      </c>
      <c r="G41" s="335">
        <f t="shared" si="3"/>
        <v>1</v>
      </c>
      <c r="H41" s="335">
        <f t="shared" si="3"/>
        <v>1</v>
      </c>
      <c r="I41" s="616">
        <f t="shared" si="8"/>
        <v>178496.9</v>
      </c>
      <c r="K41" s="321">
        <f>'[3]Gross Plant'!$C129</f>
        <v>178496.89999999994</v>
      </c>
      <c r="L41" s="335">
        <f t="shared" si="7"/>
        <v>1</v>
      </c>
      <c r="M41" s="335">
        <f t="shared" si="7"/>
        <v>1</v>
      </c>
      <c r="N41" s="616">
        <f t="shared" si="9"/>
        <v>178496.89999999994</v>
      </c>
    </row>
    <row r="42" spans="1:15">
      <c r="A42" s="210">
        <f t="shared" si="1"/>
        <v>28</v>
      </c>
      <c r="B42" s="1045">
        <v>35302</v>
      </c>
      <c r="C42" s="232" t="s">
        <v>602</v>
      </c>
      <c r="D42" s="321">
        <f>'[3]Gross Plant'!$Q130</f>
        <v>209458.21</v>
      </c>
      <c r="E42" s="616">
        <v>0</v>
      </c>
      <c r="F42" s="616">
        <f t="shared" si="10"/>
        <v>209458.21</v>
      </c>
      <c r="G42" s="335">
        <f t="shared" si="3"/>
        <v>1</v>
      </c>
      <c r="H42" s="335">
        <f t="shared" si="3"/>
        <v>1</v>
      </c>
      <c r="I42" s="616">
        <f t="shared" si="8"/>
        <v>209458.21</v>
      </c>
      <c r="K42" s="321">
        <f>'[3]Gross Plant'!$C130</f>
        <v>209458.21</v>
      </c>
      <c r="L42" s="335">
        <f t="shared" si="7"/>
        <v>1</v>
      </c>
      <c r="M42" s="335">
        <f t="shared" si="7"/>
        <v>1</v>
      </c>
      <c r="N42" s="616">
        <f t="shared" si="9"/>
        <v>209458.21</v>
      </c>
    </row>
    <row r="43" spans="1:15">
      <c r="A43" s="210">
        <f t="shared" si="1"/>
        <v>29</v>
      </c>
      <c r="B43" s="1045">
        <v>35400</v>
      </c>
      <c r="C43" s="232" t="s">
        <v>597</v>
      </c>
      <c r="D43" s="321">
        <f>'[3]Gross Plant'!$Q131</f>
        <v>923446.05</v>
      </c>
      <c r="E43" s="616">
        <v>0</v>
      </c>
      <c r="F43" s="616">
        <f t="shared" si="10"/>
        <v>923446.05</v>
      </c>
      <c r="G43" s="335">
        <f t="shared" si="3"/>
        <v>1</v>
      </c>
      <c r="H43" s="335">
        <f t="shared" si="3"/>
        <v>1</v>
      </c>
      <c r="I43" s="616">
        <f t="shared" si="8"/>
        <v>923446.05</v>
      </c>
      <c r="K43" s="321">
        <f>'[3]Gross Plant'!$C131</f>
        <v>923446.05000000016</v>
      </c>
      <c r="L43" s="335">
        <f t="shared" si="7"/>
        <v>1</v>
      </c>
      <c r="M43" s="335">
        <f t="shared" si="7"/>
        <v>1</v>
      </c>
      <c r="N43" s="616">
        <f t="shared" si="9"/>
        <v>923446.05000000016</v>
      </c>
    </row>
    <row r="44" spans="1:15">
      <c r="A44" s="210">
        <f t="shared" si="1"/>
        <v>30</v>
      </c>
      <c r="B44" s="1045">
        <v>35500</v>
      </c>
      <c r="C44" s="232" t="s">
        <v>1000</v>
      </c>
      <c r="D44" s="321">
        <f>'[3]Gross Plant'!$Q132</f>
        <v>343935.49271612481</v>
      </c>
      <c r="E44" s="616">
        <v>0</v>
      </c>
      <c r="F44" s="616">
        <f t="shared" si="10"/>
        <v>343935.49271612481</v>
      </c>
      <c r="G44" s="335">
        <f t="shared" si="3"/>
        <v>1</v>
      </c>
      <c r="H44" s="335">
        <f t="shared" si="3"/>
        <v>1</v>
      </c>
      <c r="I44" s="616">
        <f t="shared" si="8"/>
        <v>343935.49271612481</v>
      </c>
      <c r="K44" s="321">
        <f>'[3]Gross Plant'!$C132</f>
        <v>284401.8336964178</v>
      </c>
      <c r="L44" s="335">
        <f t="shared" si="7"/>
        <v>1</v>
      </c>
      <c r="M44" s="335">
        <f t="shared" si="7"/>
        <v>1</v>
      </c>
      <c r="N44" s="616">
        <f t="shared" si="9"/>
        <v>284401.8336964178</v>
      </c>
    </row>
    <row r="45" spans="1:15">
      <c r="A45" s="210">
        <f t="shared" si="1"/>
        <v>31</v>
      </c>
      <c r="B45" s="1045">
        <v>35600</v>
      </c>
      <c r="C45" s="232" t="s">
        <v>1049</v>
      </c>
      <c r="D45" s="321">
        <f>'[3]Gross Plant'!$Q133</f>
        <v>414663.45</v>
      </c>
      <c r="E45" s="1059">
        <v>0</v>
      </c>
      <c r="F45" s="1059">
        <f t="shared" si="10"/>
        <v>414663.45</v>
      </c>
      <c r="G45" s="335">
        <f t="shared" ref="G45:H76" si="11">$G$16</f>
        <v>1</v>
      </c>
      <c r="H45" s="335">
        <f t="shared" si="11"/>
        <v>1</v>
      </c>
      <c r="I45" s="1052">
        <f t="shared" si="8"/>
        <v>414663.45</v>
      </c>
      <c r="K45" s="321">
        <f>'[3]Gross Plant'!$C133</f>
        <v>414663.45000000013</v>
      </c>
      <c r="L45" s="335">
        <f t="shared" si="7"/>
        <v>1</v>
      </c>
      <c r="M45" s="335">
        <f t="shared" si="7"/>
        <v>1</v>
      </c>
      <c r="N45" s="1052">
        <f t="shared" si="9"/>
        <v>414663.45000000013</v>
      </c>
    </row>
    <row r="46" spans="1:15">
      <c r="A46" s="210">
        <f t="shared" si="1"/>
        <v>32</v>
      </c>
      <c r="B46" s="1054"/>
      <c r="C46" s="232"/>
      <c r="D46" s="618"/>
      <c r="E46" s="618"/>
      <c r="F46" s="618"/>
      <c r="G46" s="335"/>
      <c r="H46" s="335"/>
      <c r="I46" s="723"/>
      <c r="K46" s="618"/>
      <c r="N46" s="618"/>
    </row>
    <row r="47" spans="1:15">
      <c r="A47" s="210">
        <f t="shared" si="1"/>
        <v>33</v>
      </c>
      <c r="B47" s="1054"/>
      <c r="C47" s="232" t="s">
        <v>216</v>
      </c>
      <c r="D47" s="359">
        <f>SUM(D29:D46)</f>
        <v>14141695.432716124</v>
      </c>
      <c r="E47" s="359">
        <f>SUM(E29:E46)</f>
        <v>0</v>
      </c>
      <c r="F47" s="359">
        <f>SUM(F29:F46)</f>
        <v>14141695.432716124</v>
      </c>
      <c r="G47" s="335"/>
      <c r="H47" s="335"/>
      <c r="I47" s="359">
        <f>SUM(I29:I46)</f>
        <v>14141695.432716124</v>
      </c>
      <c r="K47" s="359">
        <f>SUM(K29:K46)</f>
        <v>14116102.016773339</v>
      </c>
      <c r="N47" s="359">
        <f>SUM(N29:N46)</f>
        <v>14116102.016773339</v>
      </c>
      <c r="O47" s="670"/>
    </row>
    <row r="48" spans="1:15">
      <c r="A48" s="210">
        <f t="shared" si="1"/>
        <v>34</v>
      </c>
      <c r="B48" s="1054"/>
      <c r="C48" s="232"/>
      <c r="G48" s="335"/>
      <c r="H48" s="335"/>
      <c r="I48" s="359"/>
    </row>
    <row r="49" spans="1:14">
      <c r="A49" s="210">
        <f t="shared" si="1"/>
        <v>35</v>
      </c>
      <c r="B49" s="1054"/>
      <c r="C49" s="619" t="s">
        <v>1001</v>
      </c>
      <c r="G49" s="335"/>
      <c r="H49" s="335"/>
      <c r="I49" s="359"/>
    </row>
    <row r="50" spans="1:14">
      <c r="A50" s="210">
        <f t="shared" si="1"/>
        <v>36</v>
      </c>
      <c r="B50" s="1045">
        <v>36510</v>
      </c>
      <c r="C50" s="232" t="s">
        <v>296</v>
      </c>
      <c r="D50" s="321">
        <f>'[3]Gross Plant'!$Q134</f>
        <v>26970.37</v>
      </c>
      <c r="E50" s="457">
        <v>0</v>
      </c>
      <c r="F50" s="359">
        <f>D50+E50</f>
        <v>26970.37</v>
      </c>
      <c r="G50" s="335">
        <f t="shared" si="11"/>
        <v>1</v>
      </c>
      <c r="H50" s="335">
        <f t="shared" si="11"/>
        <v>1</v>
      </c>
      <c r="I50" s="359">
        <f>F50*G50*H50</f>
        <v>26970.37</v>
      </c>
      <c r="K50" s="321">
        <f>'[3]Gross Plant'!$C134</f>
        <v>26970.37</v>
      </c>
      <c r="L50" s="335">
        <f t="shared" ref="L50:M57" si="12">$G$16</f>
        <v>1</v>
      </c>
      <c r="M50" s="335">
        <f t="shared" si="12"/>
        <v>1</v>
      </c>
      <c r="N50" s="359">
        <f>K50*L50*M50</f>
        <v>26970.37</v>
      </c>
    </row>
    <row r="51" spans="1:14">
      <c r="A51" s="210">
        <f t="shared" si="1"/>
        <v>37</v>
      </c>
      <c r="B51" s="1045">
        <v>36520</v>
      </c>
      <c r="C51" s="232" t="s">
        <v>799</v>
      </c>
      <c r="D51" s="321">
        <f>'[3]Gross Plant'!$Q135</f>
        <v>867772</v>
      </c>
      <c r="E51" s="616">
        <v>0</v>
      </c>
      <c r="F51" s="616">
        <f>D51+E51</f>
        <v>867772</v>
      </c>
      <c r="G51" s="335">
        <f t="shared" si="11"/>
        <v>1</v>
      </c>
      <c r="H51" s="335">
        <f t="shared" si="11"/>
        <v>1</v>
      </c>
      <c r="I51" s="616">
        <f t="shared" ref="I51:I57" si="13">F51*G51*H51</f>
        <v>867772</v>
      </c>
      <c r="K51" s="321">
        <f>'[3]Gross Plant'!$C135</f>
        <v>867772</v>
      </c>
      <c r="L51" s="335">
        <f t="shared" si="12"/>
        <v>1</v>
      </c>
      <c r="M51" s="335">
        <f t="shared" si="12"/>
        <v>1</v>
      </c>
      <c r="N51" s="616">
        <f t="shared" ref="N51:N57" si="14">K51*L51*M51</f>
        <v>867772</v>
      </c>
    </row>
    <row r="52" spans="1:14">
      <c r="A52" s="210">
        <f t="shared" si="1"/>
        <v>38</v>
      </c>
      <c r="B52" s="1045">
        <v>36602</v>
      </c>
      <c r="C52" s="232" t="s">
        <v>863</v>
      </c>
      <c r="D52" s="321">
        <f>'[3]Gross Plant'!$Q136</f>
        <v>49001.72</v>
      </c>
      <c r="E52" s="616">
        <v>0</v>
      </c>
      <c r="F52" s="616">
        <f t="shared" ref="F52:F57" si="15">D52+E52</f>
        <v>49001.72</v>
      </c>
      <c r="G52" s="335">
        <f t="shared" si="11"/>
        <v>1</v>
      </c>
      <c r="H52" s="335">
        <f t="shared" si="11"/>
        <v>1</v>
      </c>
      <c r="I52" s="616">
        <f t="shared" si="13"/>
        <v>49001.72</v>
      </c>
      <c r="K52" s="321">
        <f>'[3]Gross Plant'!$C136</f>
        <v>49001.719999999987</v>
      </c>
      <c r="L52" s="335">
        <f t="shared" si="12"/>
        <v>1</v>
      </c>
      <c r="M52" s="335">
        <f t="shared" si="12"/>
        <v>1</v>
      </c>
      <c r="N52" s="616">
        <f t="shared" si="14"/>
        <v>49001.719999999987</v>
      </c>
    </row>
    <row r="53" spans="1:14">
      <c r="A53" s="210">
        <f t="shared" si="1"/>
        <v>39</v>
      </c>
      <c r="B53" s="1045">
        <v>36603</v>
      </c>
      <c r="C53" s="232" t="s">
        <v>1002</v>
      </c>
      <c r="D53" s="321">
        <f>'[3]Gross Plant'!$Q137</f>
        <v>60826.29</v>
      </c>
      <c r="E53" s="616">
        <v>0</v>
      </c>
      <c r="F53" s="616">
        <f t="shared" si="15"/>
        <v>60826.29</v>
      </c>
      <c r="G53" s="335">
        <f t="shared" si="11"/>
        <v>1</v>
      </c>
      <c r="H53" s="335">
        <f t="shared" si="11"/>
        <v>1</v>
      </c>
      <c r="I53" s="616">
        <f t="shared" si="13"/>
        <v>60826.29</v>
      </c>
      <c r="K53" s="321">
        <f>'[3]Gross Plant'!$C137</f>
        <v>60826.290000000008</v>
      </c>
      <c r="L53" s="335">
        <f t="shared" si="12"/>
        <v>1</v>
      </c>
      <c r="M53" s="335">
        <f t="shared" si="12"/>
        <v>1</v>
      </c>
      <c r="N53" s="616">
        <f t="shared" si="14"/>
        <v>60826.290000000008</v>
      </c>
    </row>
    <row r="54" spans="1:14">
      <c r="A54" s="210">
        <f t="shared" si="1"/>
        <v>40</v>
      </c>
      <c r="B54" s="1045">
        <v>36700</v>
      </c>
      <c r="C54" s="232" t="s">
        <v>851</v>
      </c>
      <c r="D54" s="321">
        <f>'[3]Gross Plant'!$Q138</f>
        <v>158925.44</v>
      </c>
      <c r="E54" s="616">
        <v>0</v>
      </c>
      <c r="F54" s="616">
        <f t="shared" si="15"/>
        <v>158925.44</v>
      </c>
      <c r="G54" s="335">
        <f t="shared" si="11"/>
        <v>1</v>
      </c>
      <c r="H54" s="335">
        <f t="shared" si="11"/>
        <v>1</v>
      </c>
      <c r="I54" s="616">
        <f t="shared" si="13"/>
        <v>158925.44</v>
      </c>
      <c r="K54" s="321">
        <f>'[3]Gross Plant'!$C138</f>
        <v>158925.43999999997</v>
      </c>
      <c r="L54" s="335">
        <f t="shared" si="12"/>
        <v>1</v>
      </c>
      <c r="M54" s="335">
        <f t="shared" si="12"/>
        <v>1</v>
      </c>
      <c r="N54" s="616">
        <f t="shared" si="14"/>
        <v>158925.43999999997</v>
      </c>
    </row>
    <row r="55" spans="1:14">
      <c r="A55" s="210">
        <f t="shared" si="1"/>
        <v>41</v>
      </c>
      <c r="B55" s="1045">
        <v>36701</v>
      </c>
      <c r="C55" s="232" t="s">
        <v>16</v>
      </c>
      <c r="D55" s="321">
        <f>'[3]Gross Plant'!$Q139</f>
        <v>27643441.630000003</v>
      </c>
      <c r="E55" s="616">
        <v>0</v>
      </c>
      <c r="F55" s="616">
        <f t="shared" si="15"/>
        <v>27643441.630000003</v>
      </c>
      <c r="G55" s="335">
        <f t="shared" si="11"/>
        <v>1</v>
      </c>
      <c r="H55" s="335">
        <f t="shared" si="11"/>
        <v>1</v>
      </c>
      <c r="I55" s="616">
        <f t="shared" si="13"/>
        <v>27643441.630000003</v>
      </c>
      <c r="K55" s="321">
        <f>'[3]Gross Plant'!$C139</f>
        <v>27644378.737692304</v>
      </c>
      <c r="L55" s="335">
        <f t="shared" si="12"/>
        <v>1</v>
      </c>
      <c r="M55" s="335">
        <f t="shared" si="12"/>
        <v>1</v>
      </c>
      <c r="N55" s="616">
        <f t="shared" si="14"/>
        <v>27644378.737692304</v>
      </c>
    </row>
    <row r="56" spans="1:14">
      <c r="A56" s="210">
        <f t="shared" si="1"/>
        <v>42</v>
      </c>
      <c r="B56" s="1045">
        <v>36900</v>
      </c>
      <c r="C56" s="232" t="s">
        <v>1003</v>
      </c>
      <c r="D56" s="321">
        <f>'[3]Gross Plant'!$Q140</f>
        <v>731466.64</v>
      </c>
      <c r="E56" s="616">
        <v>0</v>
      </c>
      <c r="F56" s="616">
        <f t="shared" si="15"/>
        <v>731466.64</v>
      </c>
      <c r="G56" s="335">
        <f t="shared" si="11"/>
        <v>1</v>
      </c>
      <c r="H56" s="335">
        <f t="shared" si="11"/>
        <v>1</v>
      </c>
      <c r="I56" s="616">
        <f t="shared" si="13"/>
        <v>731466.64</v>
      </c>
      <c r="K56" s="321">
        <f>'[3]Gross Plant'!$C140</f>
        <v>731466.6399999999</v>
      </c>
      <c r="L56" s="335">
        <f t="shared" si="12"/>
        <v>1</v>
      </c>
      <c r="M56" s="335">
        <f t="shared" si="12"/>
        <v>1</v>
      </c>
      <c r="N56" s="616">
        <f t="shared" si="14"/>
        <v>731466.6399999999</v>
      </c>
    </row>
    <row r="57" spans="1:14">
      <c r="A57" s="210">
        <f t="shared" si="1"/>
        <v>43</v>
      </c>
      <c r="B57" s="1045">
        <v>36901</v>
      </c>
      <c r="C57" s="232" t="s">
        <v>1003</v>
      </c>
      <c r="D57" s="321">
        <f>'[3]Gross Plant'!$Q141</f>
        <v>2269555.91</v>
      </c>
      <c r="E57" s="1059">
        <v>0</v>
      </c>
      <c r="F57" s="1059">
        <f t="shared" si="15"/>
        <v>2269555.91</v>
      </c>
      <c r="G57" s="335">
        <f t="shared" si="11"/>
        <v>1</v>
      </c>
      <c r="H57" s="335">
        <f t="shared" si="11"/>
        <v>1</v>
      </c>
      <c r="I57" s="1052">
        <f t="shared" si="13"/>
        <v>2269555.91</v>
      </c>
      <c r="K57" s="321">
        <f>'[3]Gross Plant'!$C141</f>
        <v>2269555.91</v>
      </c>
      <c r="L57" s="335">
        <f t="shared" si="12"/>
        <v>1</v>
      </c>
      <c r="M57" s="335">
        <f t="shared" si="12"/>
        <v>1</v>
      </c>
      <c r="N57" s="1052">
        <f t="shared" si="14"/>
        <v>2269555.91</v>
      </c>
    </row>
    <row r="58" spans="1:14">
      <c r="A58" s="210">
        <f t="shared" si="1"/>
        <v>44</v>
      </c>
      <c r="B58" s="1054"/>
      <c r="C58" s="232"/>
      <c r="D58" s="618"/>
      <c r="E58" s="618"/>
      <c r="F58" s="618"/>
      <c r="G58" s="335"/>
      <c r="H58" s="335"/>
      <c r="I58" s="723"/>
      <c r="K58" s="723"/>
      <c r="N58" s="618"/>
    </row>
    <row r="59" spans="1:14">
      <c r="A59" s="210">
        <f t="shared" si="1"/>
        <v>45</v>
      </c>
      <c r="B59" s="1054"/>
      <c r="C59" s="232" t="s">
        <v>1370</v>
      </c>
      <c r="D59" s="359">
        <f>SUM(D50:D58)</f>
        <v>31807960.000000004</v>
      </c>
      <c r="E59" s="359">
        <f>SUM(E50:E58)</f>
        <v>0</v>
      </c>
      <c r="F59" s="359">
        <f>SUM(F50:F58)</f>
        <v>31807960.000000004</v>
      </c>
      <c r="G59" s="335"/>
      <c r="H59" s="335"/>
      <c r="I59" s="359">
        <f>SUM(I50:I58)</f>
        <v>31807960.000000004</v>
      </c>
      <c r="K59" s="359">
        <f>SUM(K50:K58)</f>
        <v>31808897.107692305</v>
      </c>
      <c r="N59" s="359">
        <f>SUM(N50:N58)</f>
        <v>31808897.107692305</v>
      </c>
    </row>
    <row r="60" spans="1:14">
      <c r="A60" s="210">
        <f t="shared" si="1"/>
        <v>46</v>
      </c>
      <c r="B60" s="1054"/>
      <c r="C60" s="196"/>
      <c r="G60" s="335"/>
      <c r="H60" s="335"/>
      <c r="I60" s="359"/>
      <c r="K60" s="359"/>
    </row>
    <row r="61" spans="1:14">
      <c r="A61" s="210">
        <f t="shared" si="1"/>
        <v>47</v>
      </c>
      <c r="B61" s="1054"/>
      <c r="C61" s="619" t="s">
        <v>303</v>
      </c>
      <c r="G61" s="335"/>
      <c r="H61" s="335"/>
      <c r="I61" s="359"/>
      <c r="K61" s="359"/>
    </row>
    <row r="62" spans="1:14">
      <c r="A62" s="210">
        <f t="shared" si="1"/>
        <v>48</v>
      </c>
      <c r="B62" s="1045">
        <v>37400</v>
      </c>
      <c r="C62" s="232" t="s">
        <v>1157</v>
      </c>
      <c r="D62" s="321">
        <f>'[3]Gross Plant'!$Q142</f>
        <v>531166.79</v>
      </c>
      <c r="E62" s="457">
        <v>0</v>
      </c>
      <c r="F62" s="359">
        <f>D62+E62</f>
        <v>531166.79</v>
      </c>
      <c r="G62" s="335">
        <f t="shared" si="11"/>
        <v>1</v>
      </c>
      <c r="H62" s="335">
        <f t="shared" si="11"/>
        <v>1</v>
      </c>
      <c r="I62" s="359">
        <f>F62*G62*H62</f>
        <v>531166.79</v>
      </c>
      <c r="K62" s="321">
        <f>'[3]Gross Plant'!$C142</f>
        <v>531166.79</v>
      </c>
      <c r="L62" s="335">
        <f t="shared" ref="L62:M81" si="16">$G$16</f>
        <v>1</v>
      </c>
      <c r="M62" s="335">
        <f t="shared" si="16"/>
        <v>1</v>
      </c>
      <c r="N62" s="359">
        <f>K62*L62*M62</f>
        <v>531166.79</v>
      </c>
    </row>
    <row r="63" spans="1:14">
      <c r="A63" s="210">
        <f t="shared" si="1"/>
        <v>49</v>
      </c>
      <c r="B63" s="1045">
        <v>37401</v>
      </c>
      <c r="C63" s="232" t="s">
        <v>296</v>
      </c>
      <c r="D63" s="321">
        <f>'[3]Gross Plant'!$Q143</f>
        <v>37326.42</v>
      </c>
      <c r="E63" s="616">
        <v>0</v>
      </c>
      <c r="F63" s="616">
        <f>D63+E63</f>
        <v>37326.42</v>
      </c>
      <c r="G63" s="335">
        <f t="shared" si="11"/>
        <v>1</v>
      </c>
      <c r="H63" s="335">
        <f t="shared" si="11"/>
        <v>1</v>
      </c>
      <c r="I63" s="616">
        <f t="shared" ref="I63:I81" si="17">F63*G63*H63</f>
        <v>37326.42</v>
      </c>
      <c r="J63" s="616"/>
      <c r="K63" s="321">
        <f>'[3]Gross Plant'!$C143</f>
        <v>37326.419999999991</v>
      </c>
      <c r="L63" s="335">
        <f t="shared" si="16"/>
        <v>1</v>
      </c>
      <c r="M63" s="335">
        <f t="shared" si="16"/>
        <v>1</v>
      </c>
      <c r="N63" s="616">
        <f t="shared" ref="N63:N81" si="18">K63*L63*M63</f>
        <v>37326.419999999991</v>
      </c>
    </row>
    <row r="64" spans="1:14">
      <c r="A64" s="210">
        <f t="shared" si="1"/>
        <v>50</v>
      </c>
      <c r="B64" s="1045">
        <v>37402</v>
      </c>
      <c r="C64" s="232" t="s">
        <v>1007</v>
      </c>
      <c r="D64" s="321">
        <f>'[3]Gross Plant'!$Q144</f>
        <v>2729252.788302395</v>
      </c>
      <c r="E64" s="616">
        <v>0</v>
      </c>
      <c r="F64" s="616">
        <f t="shared" ref="F64:F81" si="19">D64+E64</f>
        <v>2729252.788302395</v>
      </c>
      <c r="G64" s="335">
        <f t="shared" si="11"/>
        <v>1</v>
      </c>
      <c r="H64" s="335">
        <f t="shared" si="11"/>
        <v>1</v>
      </c>
      <c r="I64" s="616">
        <f t="shared" si="17"/>
        <v>2729252.788302395</v>
      </c>
      <c r="J64" s="616"/>
      <c r="K64" s="321">
        <f>'[3]Gross Plant'!$C144</f>
        <v>2428380.5264732754</v>
      </c>
      <c r="L64" s="335">
        <f t="shared" si="16"/>
        <v>1</v>
      </c>
      <c r="M64" s="335">
        <f t="shared" si="16"/>
        <v>1</v>
      </c>
      <c r="N64" s="616">
        <f t="shared" si="18"/>
        <v>2428380.5264732754</v>
      </c>
    </row>
    <row r="65" spans="1:17">
      <c r="A65" s="210">
        <f t="shared" si="1"/>
        <v>51</v>
      </c>
      <c r="B65" s="1045">
        <v>37403</v>
      </c>
      <c r="C65" s="232" t="s">
        <v>1004</v>
      </c>
      <c r="D65" s="321">
        <f>'[3]Gross Plant'!$Q145</f>
        <v>2783.89</v>
      </c>
      <c r="E65" s="616">
        <v>0</v>
      </c>
      <c r="F65" s="616">
        <f t="shared" si="19"/>
        <v>2783.89</v>
      </c>
      <c r="G65" s="335">
        <f t="shared" si="11"/>
        <v>1</v>
      </c>
      <c r="H65" s="335">
        <f t="shared" si="11"/>
        <v>1</v>
      </c>
      <c r="I65" s="616">
        <f t="shared" si="17"/>
        <v>2783.89</v>
      </c>
      <c r="J65" s="616"/>
      <c r="K65" s="321">
        <f>'[3]Gross Plant'!$C145</f>
        <v>2783.89</v>
      </c>
      <c r="L65" s="335">
        <f t="shared" si="16"/>
        <v>1</v>
      </c>
      <c r="M65" s="335">
        <f t="shared" si="16"/>
        <v>1</v>
      </c>
      <c r="N65" s="616">
        <f t="shared" si="18"/>
        <v>2783.89</v>
      </c>
    </row>
    <row r="66" spans="1:17">
      <c r="A66" s="210">
        <f t="shared" si="1"/>
        <v>52</v>
      </c>
      <c r="B66" s="1045">
        <v>37500</v>
      </c>
      <c r="C66" s="232" t="s">
        <v>863</v>
      </c>
      <c r="D66" s="321">
        <f>'[3]Gross Plant'!$Q146</f>
        <v>336167.54</v>
      </c>
      <c r="E66" s="616">
        <v>0</v>
      </c>
      <c r="F66" s="616">
        <f t="shared" si="19"/>
        <v>336167.54</v>
      </c>
      <c r="G66" s="335">
        <f t="shared" si="11"/>
        <v>1</v>
      </c>
      <c r="H66" s="335">
        <f t="shared" si="11"/>
        <v>1</v>
      </c>
      <c r="I66" s="616">
        <f t="shared" si="17"/>
        <v>336167.54</v>
      </c>
      <c r="J66" s="616"/>
      <c r="K66" s="321">
        <f>'[3]Gross Plant'!$C146</f>
        <v>336167.54</v>
      </c>
      <c r="L66" s="335">
        <f t="shared" si="16"/>
        <v>1</v>
      </c>
      <c r="M66" s="335">
        <f t="shared" si="16"/>
        <v>1</v>
      </c>
      <c r="N66" s="616">
        <f t="shared" si="18"/>
        <v>336167.54</v>
      </c>
    </row>
    <row r="67" spans="1:17">
      <c r="A67" s="210">
        <f t="shared" si="1"/>
        <v>53</v>
      </c>
      <c r="B67" s="1045">
        <v>37501</v>
      </c>
      <c r="C67" s="232" t="s">
        <v>1005</v>
      </c>
      <c r="D67" s="321">
        <f>'[3]Gross Plant'!$Q147</f>
        <v>99818.13</v>
      </c>
      <c r="E67" s="616">
        <v>0</v>
      </c>
      <c r="F67" s="616">
        <f t="shared" si="19"/>
        <v>99818.13</v>
      </c>
      <c r="G67" s="335">
        <f t="shared" si="11"/>
        <v>1</v>
      </c>
      <c r="H67" s="335">
        <f t="shared" si="11"/>
        <v>1</v>
      </c>
      <c r="I67" s="616">
        <f t="shared" si="17"/>
        <v>99818.13</v>
      </c>
      <c r="J67" s="616"/>
      <c r="K67" s="321">
        <f>'[3]Gross Plant'!$C147</f>
        <v>99818.12999999999</v>
      </c>
      <c r="L67" s="335">
        <f t="shared" si="16"/>
        <v>1</v>
      </c>
      <c r="M67" s="335">
        <f t="shared" si="16"/>
        <v>1</v>
      </c>
      <c r="N67" s="616">
        <f t="shared" si="18"/>
        <v>99818.12999999999</v>
      </c>
    </row>
    <row r="68" spans="1:17">
      <c r="A68" s="210">
        <f t="shared" si="1"/>
        <v>54</v>
      </c>
      <c r="B68" s="1045">
        <v>37502</v>
      </c>
      <c r="C68" s="232" t="s">
        <v>1007</v>
      </c>
      <c r="D68" s="321">
        <f>'[3]Gross Plant'!$Q148</f>
        <v>46264.19</v>
      </c>
      <c r="E68" s="616">
        <v>0</v>
      </c>
      <c r="F68" s="616">
        <f t="shared" si="19"/>
        <v>46264.19</v>
      </c>
      <c r="G68" s="335">
        <f t="shared" si="11"/>
        <v>1</v>
      </c>
      <c r="H68" s="335">
        <f t="shared" si="11"/>
        <v>1</v>
      </c>
      <c r="I68" s="616">
        <f t="shared" si="17"/>
        <v>46264.19</v>
      </c>
      <c r="J68" s="616"/>
      <c r="K68" s="321">
        <f>'[3]Gross Plant'!$C148</f>
        <v>46264.189999999995</v>
      </c>
      <c r="L68" s="335">
        <f t="shared" si="16"/>
        <v>1</v>
      </c>
      <c r="M68" s="335">
        <f t="shared" si="16"/>
        <v>1</v>
      </c>
      <c r="N68" s="616">
        <f t="shared" si="18"/>
        <v>46264.189999999995</v>
      </c>
    </row>
    <row r="69" spans="1:17">
      <c r="A69" s="210">
        <f t="shared" si="1"/>
        <v>55</v>
      </c>
      <c r="B69" s="1045">
        <v>37503</v>
      </c>
      <c r="C69" s="232" t="s">
        <v>1006</v>
      </c>
      <c r="D69" s="321">
        <f>'[3]Gross Plant'!$Q149</f>
        <v>4005.08</v>
      </c>
      <c r="E69" s="616">
        <v>0</v>
      </c>
      <c r="F69" s="616">
        <f t="shared" si="19"/>
        <v>4005.08</v>
      </c>
      <c r="G69" s="335">
        <f t="shared" si="11"/>
        <v>1</v>
      </c>
      <c r="H69" s="335">
        <f t="shared" si="11"/>
        <v>1</v>
      </c>
      <c r="I69" s="616">
        <f t="shared" si="17"/>
        <v>4005.08</v>
      </c>
      <c r="J69" s="616"/>
      <c r="K69" s="321">
        <f>'[3]Gross Plant'!$C149</f>
        <v>4005.0800000000013</v>
      </c>
      <c r="L69" s="335">
        <f t="shared" si="16"/>
        <v>1</v>
      </c>
      <c r="M69" s="335">
        <f t="shared" si="16"/>
        <v>1</v>
      </c>
      <c r="N69" s="616">
        <f t="shared" si="18"/>
        <v>4005.0800000000013</v>
      </c>
    </row>
    <row r="70" spans="1:17">
      <c r="A70" s="210">
        <f t="shared" si="1"/>
        <v>56</v>
      </c>
      <c r="B70" s="1045">
        <v>37600</v>
      </c>
      <c r="C70" s="232" t="s">
        <v>851</v>
      </c>
      <c r="D70" s="321">
        <f>'[3]Gross Plant'!$Q150</f>
        <v>20839824.191419367</v>
      </c>
      <c r="E70" s="616">
        <v>0</v>
      </c>
      <c r="F70" s="616">
        <f t="shared" si="19"/>
        <v>20839824.191419367</v>
      </c>
      <c r="G70" s="335">
        <f t="shared" si="11"/>
        <v>1</v>
      </c>
      <c r="H70" s="335">
        <f t="shared" si="11"/>
        <v>1</v>
      </c>
      <c r="I70" s="616">
        <f t="shared" si="17"/>
        <v>20839824.191419367</v>
      </c>
      <c r="J70" s="616"/>
      <c r="K70" s="321">
        <f>'[3]Gross Plant'!$C150</f>
        <v>20931756.50472464</v>
      </c>
      <c r="L70" s="335">
        <f t="shared" si="16"/>
        <v>1</v>
      </c>
      <c r="M70" s="335">
        <f t="shared" si="16"/>
        <v>1</v>
      </c>
      <c r="N70" s="616">
        <f t="shared" si="18"/>
        <v>20931756.50472464</v>
      </c>
    </row>
    <row r="71" spans="1:17">
      <c r="A71" s="210">
        <f t="shared" si="1"/>
        <v>57</v>
      </c>
      <c r="B71" s="1045">
        <v>37601</v>
      </c>
      <c r="C71" s="232" t="s">
        <v>16</v>
      </c>
      <c r="D71" s="321">
        <f>'[3]Gross Plant'!$Q151</f>
        <v>139633199.75526756</v>
      </c>
      <c r="E71" s="616">
        <v>0</v>
      </c>
      <c r="F71" s="616">
        <f t="shared" si="19"/>
        <v>139633199.75526756</v>
      </c>
      <c r="G71" s="335">
        <f t="shared" si="11"/>
        <v>1</v>
      </c>
      <c r="H71" s="335">
        <f t="shared" si="11"/>
        <v>1</v>
      </c>
      <c r="I71" s="616">
        <f t="shared" si="17"/>
        <v>139633199.75526756</v>
      </c>
      <c r="J71" s="616"/>
      <c r="K71" s="321">
        <f>'[3]Gross Plant'!$C151</f>
        <v>139186816.52012223</v>
      </c>
      <c r="L71" s="335">
        <f t="shared" si="16"/>
        <v>1</v>
      </c>
      <c r="M71" s="335">
        <f t="shared" si="16"/>
        <v>1</v>
      </c>
      <c r="N71" s="616">
        <f t="shared" si="18"/>
        <v>139186816.52012223</v>
      </c>
    </row>
    <row r="72" spans="1:17">
      <c r="A72" s="210">
        <f t="shared" si="1"/>
        <v>58</v>
      </c>
      <c r="B72" s="1045">
        <v>37602</v>
      </c>
      <c r="C72" s="232" t="s">
        <v>852</v>
      </c>
      <c r="D72" s="321">
        <f>'[3]Gross Plant'!$Q152</f>
        <v>108190082.43696019</v>
      </c>
      <c r="E72" s="616">
        <v>0</v>
      </c>
      <c r="F72" s="616">
        <f t="shared" si="19"/>
        <v>108190082.43696019</v>
      </c>
      <c r="G72" s="335">
        <f t="shared" si="11"/>
        <v>1</v>
      </c>
      <c r="H72" s="335">
        <f t="shared" si="11"/>
        <v>1</v>
      </c>
      <c r="I72" s="616">
        <f t="shared" si="17"/>
        <v>108190082.43696019</v>
      </c>
      <c r="J72" s="616"/>
      <c r="K72" s="321">
        <f>'[3]Gross Plant'!$C152</f>
        <v>97764861.214369506</v>
      </c>
      <c r="L72" s="335">
        <f t="shared" si="16"/>
        <v>1</v>
      </c>
      <c r="M72" s="335">
        <f t="shared" si="16"/>
        <v>1</v>
      </c>
      <c r="N72" s="616">
        <f t="shared" si="18"/>
        <v>97764861.214369506</v>
      </c>
      <c r="Q72" s="670"/>
    </row>
    <row r="73" spans="1:17">
      <c r="A73" s="210">
        <f t="shared" si="1"/>
        <v>59</v>
      </c>
      <c r="B73" s="1045">
        <v>37800</v>
      </c>
      <c r="C73" s="232" t="s">
        <v>230</v>
      </c>
      <c r="D73" s="321">
        <f>'[3]Gross Plant'!$Q153</f>
        <v>11143482.702178247</v>
      </c>
      <c r="E73" s="616">
        <v>0</v>
      </c>
      <c r="F73" s="616">
        <f t="shared" si="19"/>
        <v>11143482.702178247</v>
      </c>
      <c r="G73" s="335">
        <f t="shared" si="11"/>
        <v>1</v>
      </c>
      <c r="H73" s="335">
        <f t="shared" si="11"/>
        <v>1</v>
      </c>
      <c r="I73" s="616">
        <f t="shared" si="17"/>
        <v>11143482.702178247</v>
      </c>
      <c r="J73" s="616"/>
      <c r="K73" s="321">
        <f>'[3]Gross Plant'!$C153</f>
        <v>9597586.2010076065</v>
      </c>
      <c r="L73" s="335">
        <f t="shared" si="16"/>
        <v>1</v>
      </c>
      <c r="M73" s="335">
        <f t="shared" si="16"/>
        <v>1</v>
      </c>
      <c r="N73" s="616">
        <f t="shared" si="18"/>
        <v>9597586.2010076065</v>
      </c>
    </row>
    <row r="74" spans="1:17">
      <c r="A74" s="210">
        <f t="shared" si="1"/>
        <v>60</v>
      </c>
      <c r="B74" s="1045">
        <v>37900</v>
      </c>
      <c r="C74" s="232" t="s">
        <v>1200</v>
      </c>
      <c r="D74" s="321">
        <f>'[3]Gross Plant'!$Q154</f>
        <v>4390986.3751828903</v>
      </c>
      <c r="E74" s="616">
        <v>0</v>
      </c>
      <c r="F74" s="616">
        <f t="shared" si="19"/>
        <v>4390986.3751828903</v>
      </c>
      <c r="G74" s="335">
        <f t="shared" si="11"/>
        <v>1</v>
      </c>
      <c r="H74" s="335">
        <f t="shared" si="11"/>
        <v>1</v>
      </c>
      <c r="I74" s="616">
        <f t="shared" si="17"/>
        <v>4390986.3751828903</v>
      </c>
      <c r="J74" s="616"/>
      <c r="K74" s="321">
        <f>'[3]Gross Plant'!$C154</f>
        <v>4016209.7106458554</v>
      </c>
      <c r="L74" s="335">
        <f t="shared" si="16"/>
        <v>1</v>
      </c>
      <c r="M74" s="335">
        <f t="shared" si="16"/>
        <v>1</v>
      </c>
      <c r="N74" s="616">
        <f t="shared" si="18"/>
        <v>4016209.7106458554</v>
      </c>
    </row>
    <row r="75" spans="1:17">
      <c r="A75" s="210">
        <f t="shared" si="1"/>
        <v>61</v>
      </c>
      <c r="B75" s="1045">
        <v>37905</v>
      </c>
      <c r="C75" s="232" t="s">
        <v>732</v>
      </c>
      <c r="D75" s="321">
        <f>'[3]Gross Plant'!$Q155</f>
        <v>2137219.850208587</v>
      </c>
      <c r="E75" s="616">
        <v>0</v>
      </c>
      <c r="F75" s="616">
        <f t="shared" si="19"/>
        <v>2137219.850208587</v>
      </c>
      <c r="G75" s="335">
        <f t="shared" si="11"/>
        <v>1</v>
      </c>
      <c r="H75" s="335">
        <f t="shared" si="11"/>
        <v>1</v>
      </c>
      <c r="I75" s="616">
        <f t="shared" si="17"/>
        <v>2137219.850208587</v>
      </c>
      <c r="J75" s="616"/>
      <c r="K75" s="321">
        <f>'[3]Gross Plant'!$C155</f>
        <v>1753407.2767088378</v>
      </c>
      <c r="L75" s="335">
        <f t="shared" si="16"/>
        <v>1</v>
      </c>
      <c r="M75" s="335">
        <f t="shared" si="16"/>
        <v>1</v>
      </c>
      <c r="N75" s="616">
        <f t="shared" si="18"/>
        <v>1753407.2767088378</v>
      </c>
    </row>
    <row r="76" spans="1:17">
      <c r="A76" s="210">
        <f t="shared" si="1"/>
        <v>62</v>
      </c>
      <c r="B76" s="1045">
        <v>38000</v>
      </c>
      <c r="C76" s="232" t="s">
        <v>1061</v>
      </c>
      <c r="D76" s="321">
        <f>'[3]Gross Plant'!$Q156</f>
        <v>125090928.6933367</v>
      </c>
      <c r="E76" s="616">
        <v>0</v>
      </c>
      <c r="F76" s="616">
        <f t="shared" si="19"/>
        <v>125090928.6933367</v>
      </c>
      <c r="G76" s="335">
        <f t="shared" si="11"/>
        <v>1</v>
      </c>
      <c r="H76" s="335">
        <f t="shared" si="11"/>
        <v>1</v>
      </c>
      <c r="I76" s="616">
        <f t="shared" si="17"/>
        <v>125090928.6933367</v>
      </c>
      <c r="J76" s="616"/>
      <c r="K76" s="321">
        <f>'[3]Gross Plant'!$C156</f>
        <v>115920465.59676665</v>
      </c>
      <c r="L76" s="335">
        <f t="shared" si="16"/>
        <v>1</v>
      </c>
      <c r="M76" s="335">
        <f t="shared" si="16"/>
        <v>1</v>
      </c>
      <c r="N76" s="616">
        <f t="shared" si="18"/>
        <v>115920465.59676665</v>
      </c>
    </row>
    <row r="77" spans="1:17">
      <c r="A77" s="210">
        <f t="shared" si="1"/>
        <v>63</v>
      </c>
      <c r="B77" s="1045">
        <v>38100</v>
      </c>
      <c r="C77" s="232" t="s">
        <v>853</v>
      </c>
      <c r="D77" s="321">
        <f>'[3]Gross Plant'!$Q157</f>
        <v>34572059.045847826</v>
      </c>
      <c r="E77" s="616">
        <v>0</v>
      </c>
      <c r="F77" s="616">
        <f t="shared" si="19"/>
        <v>34572059.045847826</v>
      </c>
      <c r="G77" s="335">
        <f t="shared" ref="G77:H110" si="20">$G$16</f>
        <v>1</v>
      </c>
      <c r="H77" s="335">
        <f t="shared" si="20"/>
        <v>1</v>
      </c>
      <c r="I77" s="616">
        <f t="shared" si="17"/>
        <v>34572059.045847826</v>
      </c>
      <c r="J77" s="616"/>
      <c r="K77" s="321">
        <f>'[3]Gross Plant'!$C157</f>
        <v>30218955.663557205</v>
      </c>
      <c r="L77" s="335">
        <f t="shared" si="16"/>
        <v>1</v>
      </c>
      <c r="M77" s="335">
        <f t="shared" si="16"/>
        <v>1</v>
      </c>
      <c r="N77" s="616">
        <f t="shared" si="18"/>
        <v>30218955.663557205</v>
      </c>
    </row>
    <row r="78" spans="1:17">
      <c r="A78" s="210">
        <f t="shared" si="1"/>
        <v>64</v>
      </c>
      <c r="B78" s="1045">
        <v>38200</v>
      </c>
      <c r="C78" s="232" t="s">
        <v>447</v>
      </c>
      <c r="D78" s="321">
        <f>'[3]Gross Plant'!$Q158</f>
        <v>55930896.950776473</v>
      </c>
      <c r="E78" s="616">
        <v>0</v>
      </c>
      <c r="F78" s="616">
        <f t="shared" si="19"/>
        <v>55930896.950776473</v>
      </c>
      <c r="G78" s="335">
        <f t="shared" si="20"/>
        <v>1</v>
      </c>
      <c r="H78" s="335">
        <f t="shared" si="20"/>
        <v>1</v>
      </c>
      <c r="I78" s="616">
        <f t="shared" si="17"/>
        <v>55930896.950776473</v>
      </c>
      <c r="J78" s="616"/>
      <c r="K78" s="321">
        <f>'[3]Gross Plant'!$C158</f>
        <v>55326917.089017496</v>
      </c>
      <c r="L78" s="335">
        <f t="shared" si="16"/>
        <v>1</v>
      </c>
      <c r="M78" s="335">
        <f t="shared" si="16"/>
        <v>1</v>
      </c>
      <c r="N78" s="616">
        <f t="shared" si="18"/>
        <v>55326917.089017496</v>
      </c>
    </row>
    <row r="79" spans="1:17">
      <c r="A79" s="210">
        <f t="shared" si="1"/>
        <v>65</v>
      </c>
      <c r="B79" s="1045">
        <v>38300</v>
      </c>
      <c r="C79" s="232" t="s">
        <v>1062</v>
      </c>
      <c r="D79" s="321">
        <f>'[3]Gross Plant'!$Q159</f>
        <v>11066326.556323143</v>
      </c>
      <c r="E79" s="616">
        <v>0</v>
      </c>
      <c r="F79" s="616">
        <f t="shared" si="19"/>
        <v>11066326.556323143</v>
      </c>
      <c r="G79" s="335">
        <f t="shared" si="20"/>
        <v>1</v>
      </c>
      <c r="H79" s="335">
        <f t="shared" si="20"/>
        <v>1</v>
      </c>
      <c r="I79" s="616">
        <f t="shared" si="17"/>
        <v>11066326.556323143</v>
      </c>
      <c r="J79" s="616"/>
      <c r="K79" s="321">
        <f>'[3]Gross Plant'!$C159</f>
        <v>10650748.706396315</v>
      </c>
      <c r="L79" s="335">
        <f t="shared" si="16"/>
        <v>1</v>
      </c>
      <c r="M79" s="335">
        <f t="shared" si="16"/>
        <v>1</v>
      </c>
      <c r="N79" s="616">
        <f t="shared" si="18"/>
        <v>10650748.706396315</v>
      </c>
    </row>
    <row r="80" spans="1:17">
      <c r="A80" s="210">
        <f t="shared" si="1"/>
        <v>66</v>
      </c>
      <c r="B80" s="1045">
        <v>38400</v>
      </c>
      <c r="C80" s="232" t="s">
        <v>448</v>
      </c>
      <c r="D80" s="321">
        <f>'[3]Gross Plant'!$Q160</f>
        <v>218301.06872914961</v>
      </c>
      <c r="E80" s="616">
        <v>0</v>
      </c>
      <c r="F80" s="616">
        <f t="shared" si="19"/>
        <v>218301.06872914961</v>
      </c>
      <c r="G80" s="335">
        <f t="shared" si="20"/>
        <v>1</v>
      </c>
      <c r="H80" s="335">
        <f t="shared" si="20"/>
        <v>1</v>
      </c>
      <c r="I80" s="616">
        <f t="shared" si="17"/>
        <v>218301.06872914961</v>
      </c>
      <c r="J80" s="616"/>
      <c r="K80" s="321">
        <f>'[3]Gross Plant'!$C160</f>
        <v>199426.48544288758</v>
      </c>
      <c r="L80" s="335">
        <f t="shared" si="16"/>
        <v>1</v>
      </c>
      <c r="M80" s="335">
        <f t="shared" si="16"/>
        <v>1</v>
      </c>
      <c r="N80" s="616">
        <f t="shared" si="18"/>
        <v>199426.48544288758</v>
      </c>
    </row>
    <row r="81" spans="1:15">
      <c r="A81" s="210">
        <f t="shared" ref="A81:A150" si="21">A80+1</f>
        <v>67</v>
      </c>
      <c r="B81" s="1045">
        <v>38500</v>
      </c>
      <c r="C81" s="232" t="s">
        <v>449</v>
      </c>
      <c r="D81" s="321">
        <f>'[3]Gross Plant'!$Q161</f>
        <v>5189649.8545054561</v>
      </c>
      <c r="E81" s="616">
        <v>0</v>
      </c>
      <c r="F81" s="616">
        <f t="shared" si="19"/>
        <v>5189649.8545054561</v>
      </c>
      <c r="G81" s="335">
        <f t="shared" si="20"/>
        <v>1</v>
      </c>
      <c r="H81" s="335">
        <f t="shared" si="20"/>
        <v>1</v>
      </c>
      <c r="I81" s="616">
        <f t="shared" si="17"/>
        <v>5189649.8545054561</v>
      </c>
      <c r="J81" s="616"/>
      <c r="K81" s="321">
        <f>'[3]Gross Plant'!$C161</f>
        <v>5160498.8037676439</v>
      </c>
      <c r="L81" s="335">
        <f t="shared" si="16"/>
        <v>1</v>
      </c>
      <c r="M81" s="335">
        <f t="shared" si="16"/>
        <v>1</v>
      </c>
      <c r="N81" s="616">
        <f t="shared" si="18"/>
        <v>5160498.8037676439</v>
      </c>
    </row>
    <row r="82" spans="1:15">
      <c r="A82" s="210">
        <f t="shared" si="21"/>
        <v>68</v>
      </c>
      <c r="B82" s="1054"/>
      <c r="C82" s="232"/>
      <c r="D82" s="618"/>
      <c r="E82" s="618"/>
      <c r="F82" s="618"/>
      <c r="G82" s="335"/>
      <c r="H82" s="335"/>
      <c r="I82" s="618"/>
      <c r="K82" s="723"/>
      <c r="N82" s="618"/>
    </row>
    <row r="83" spans="1:15">
      <c r="A83" s="210">
        <f t="shared" si="21"/>
        <v>69</v>
      </c>
      <c r="B83" s="1054"/>
      <c r="C83" s="232" t="s">
        <v>304</v>
      </c>
      <c r="D83" s="359">
        <f>SUM(D62:D82)</f>
        <v>522189742.30903792</v>
      </c>
      <c r="E83" s="359">
        <f>SUM(E62:E82)</f>
        <v>0</v>
      </c>
      <c r="F83" s="359">
        <f>SUM(F62:F82)</f>
        <v>522189742.30903792</v>
      </c>
      <c r="G83" s="335"/>
      <c r="H83" s="335"/>
      <c r="I83" s="359">
        <f>SUM(I62:I82)</f>
        <v>522189742.30903792</v>
      </c>
      <c r="K83" s="359">
        <f>SUM(K62:K82)</f>
        <v>494213562.33900023</v>
      </c>
      <c r="N83" s="359">
        <f>SUM(N62:N82)</f>
        <v>494213562.33900023</v>
      </c>
      <c r="O83" s="670"/>
    </row>
    <row r="84" spans="1:15">
      <c r="A84" s="210">
        <f t="shared" si="21"/>
        <v>70</v>
      </c>
      <c r="B84" s="1054"/>
      <c r="C84" s="232"/>
      <c r="G84" s="335"/>
      <c r="H84" s="335"/>
      <c r="K84" s="359"/>
    </row>
    <row r="85" spans="1:15">
      <c r="A85" s="210">
        <f t="shared" si="21"/>
        <v>71</v>
      </c>
      <c r="B85" s="1054"/>
      <c r="C85" s="619" t="s">
        <v>1179</v>
      </c>
      <c r="G85" s="335"/>
      <c r="H85" s="335"/>
      <c r="K85" s="359"/>
    </row>
    <row r="86" spans="1:15">
      <c r="A86" s="210">
        <f t="shared" si="21"/>
        <v>72</v>
      </c>
      <c r="B86" s="1045">
        <v>38900</v>
      </c>
      <c r="C86" s="232" t="s">
        <v>1157</v>
      </c>
      <c r="D86" s="321">
        <f>'[3]Gross Plant'!$Q162</f>
        <v>1211697.3</v>
      </c>
      <c r="E86" s="457">
        <v>0</v>
      </c>
      <c r="F86" s="359">
        <f t="shared" ref="F86:F110" si="22">D86+E86</f>
        <v>1211697.3</v>
      </c>
      <c r="G86" s="335">
        <f t="shared" si="20"/>
        <v>1</v>
      </c>
      <c r="H86" s="335">
        <f t="shared" si="20"/>
        <v>1</v>
      </c>
      <c r="I86" s="359">
        <f>F86*G86*H86</f>
        <v>1211697.3</v>
      </c>
      <c r="K86" s="321">
        <f>'[3]Gross Plant'!$C162</f>
        <v>1211697.3000000003</v>
      </c>
      <c r="L86" s="335">
        <f t="shared" ref="L86:M110" si="23">$G$16</f>
        <v>1</v>
      </c>
      <c r="M86" s="335">
        <f t="shared" si="23"/>
        <v>1</v>
      </c>
      <c r="N86" s="359">
        <f>K86*L86*M86</f>
        <v>1211697.3000000003</v>
      </c>
    </row>
    <row r="87" spans="1:15">
      <c r="A87" s="210">
        <f t="shared" si="21"/>
        <v>73</v>
      </c>
      <c r="B87" s="1045">
        <v>39000</v>
      </c>
      <c r="C87" s="232" t="s">
        <v>863</v>
      </c>
      <c r="D87" s="321">
        <f>'[3]Gross Plant'!$Q163</f>
        <v>7144406.4734884454</v>
      </c>
      <c r="E87" s="616">
        <v>0</v>
      </c>
      <c r="F87" s="616">
        <f>D87+E87</f>
        <v>7144406.4734884454</v>
      </c>
      <c r="G87" s="335">
        <f t="shared" si="20"/>
        <v>1</v>
      </c>
      <c r="H87" s="335">
        <f t="shared" si="20"/>
        <v>1</v>
      </c>
      <c r="I87" s="616">
        <f t="shared" ref="I87:I110" si="24">F87*G87*H87</f>
        <v>7144406.4734884454</v>
      </c>
      <c r="K87" s="321">
        <f>'[3]Gross Plant'!$C163</f>
        <v>7142325.9952791734</v>
      </c>
      <c r="L87" s="335">
        <f t="shared" si="23"/>
        <v>1</v>
      </c>
      <c r="M87" s="335">
        <f t="shared" si="23"/>
        <v>1</v>
      </c>
      <c r="N87" s="616">
        <f t="shared" ref="N87:N110" si="25">K87*L87*M87</f>
        <v>7142325.9952791734</v>
      </c>
    </row>
    <row r="88" spans="1:15">
      <c r="A88" s="210">
        <f t="shared" si="21"/>
        <v>74</v>
      </c>
      <c r="B88" s="1045">
        <v>39002</v>
      </c>
      <c r="C88" s="232" t="s">
        <v>754</v>
      </c>
      <c r="D88" s="321">
        <f>'[3]Gross Plant'!$Q164</f>
        <v>173114.85</v>
      </c>
      <c r="E88" s="616">
        <v>0</v>
      </c>
      <c r="F88" s="616">
        <f t="shared" si="22"/>
        <v>173114.85</v>
      </c>
      <c r="G88" s="335">
        <f t="shared" si="20"/>
        <v>1</v>
      </c>
      <c r="H88" s="335">
        <f t="shared" si="20"/>
        <v>1</v>
      </c>
      <c r="I88" s="616">
        <f t="shared" si="24"/>
        <v>173114.85</v>
      </c>
      <c r="K88" s="321">
        <f>'[3]Gross Plant'!$C164</f>
        <v>173114.85000000003</v>
      </c>
      <c r="L88" s="335">
        <f t="shared" si="23"/>
        <v>1</v>
      </c>
      <c r="M88" s="335">
        <f t="shared" si="23"/>
        <v>1</v>
      </c>
      <c r="N88" s="616">
        <f t="shared" si="25"/>
        <v>173114.85000000003</v>
      </c>
    </row>
    <row r="89" spans="1:15">
      <c r="A89" s="210">
        <f t="shared" si="21"/>
        <v>75</v>
      </c>
      <c r="B89" s="1045">
        <v>39003</v>
      </c>
      <c r="C89" s="232" t="s">
        <v>1006</v>
      </c>
      <c r="D89" s="321">
        <f>'[3]Gross Plant'!$Q165</f>
        <v>709199.18</v>
      </c>
      <c r="E89" s="616">
        <v>0</v>
      </c>
      <c r="F89" s="616">
        <f t="shared" si="22"/>
        <v>709199.18</v>
      </c>
      <c r="G89" s="335">
        <f t="shared" si="20"/>
        <v>1</v>
      </c>
      <c r="H89" s="335">
        <f t="shared" si="20"/>
        <v>1</v>
      </c>
      <c r="I89" s="616">
        <f t="shared" si="24"/>
        <v>709199.18</v>
      </c>
      <c r="K89" s="321">
        <f>'[3]Gross Plant'!$C165</f>
        <v>709199.17999999982</v>
      </c>
      <c r="L89" s="335">
        <f t="shared" si="23"/>
        <v>1</v>
      </c>
      <c r="M89" s="335">
        <f t="shared" si="23"/>
        <v>1</v>
      </c>
      <c r="N89" s="616">
        <f t="shared" si="25"/>
        <v>709199.17999999982</v>
      </c>
    </row>
    <row r="90" spans="1:15">
      <c r="A90" s="210">
        <f t="shared" si="21"/>
        <v>76</v>
      </c>
      <c r="B90" s="1045">
        <v>39004</v>
      </c>
      <c r="C90" s="232" t="s">
        <v>450</v>
      </c>
      <c r="D90" s="321">
        <f>'[3]Gross Plant'!$Q166</f>
        <v>12954.74</v>
      </c>
      <c r="E90" s="616">
        <v>0</v>
      </c>
      <c r="F90" s="616">
        <f t="shared" si="22"/>
        <v>12954.74</v>
      </c>
      <c r="G90" s="335">
        <f t="shared" si="20"/>
        <v>1</v>
      </c>
      <c r="H90" s="335">
        <f t="shared" si="20"/>
        <v>1</v>
      </c>
      <c r="I90" s="616">
        <f t="shared" si="24"/>
        <v>12954.74</v>
      </c>
      <c r="K90" s="321">
        <f>'[3]Gross Plant'!$C166</f>
        <v>12954.74</v>
      </c>
      <c r="L90" s="335">
        <f t="shared" si="23"/>
        <v>1</v>
      </c>
      <c r="M90" s="335">
        <f t="shared" si="23"/>
        <v>1</v>
      </c>
      <c r="N90" s="616">
        <f t="shared" si="25"/>
        <v>12954.74</v>
      </c>
    </row>
    <row r="91" spans="1:15">
      <c r="A91" s="210">
        <f t="shared" si="21"/>
        <v>77</v>
      </c>
      <c r="B91" s="1045">
        <v>39009</v>
      </c>
      <c r="C91" s="232" t="s">
        <v>1045</v>
      </c>
      <c r="D91" s="321">
        <f>'[3]Gross Plant'!$Q167</f>
        <v>1246194.18</v>
      </c>
      <c r="E91" s="616">
        <v>0</v>
      </c>
      <c r="F91" s="616">
        <f t="shared" si="22"/>
        <v>1246194.18</v>
      </c>
      <c r="G91" s="335">
        <f t="shared" si="20"/>
        <v>1</v>
      </c>
      <c r="H91" s="335">
        <f t="shared" si="20"/>
        <v>1</v>
      </c>
      <c r="I91" s="616">
        <f t="shared" si="24"/>
        <v>1246194.18</v>
      </c>
      <c r="K91" s="321">
        <f>'[3]Gross Plant'!$C167</f>
        <v>1246194.18</v>
      </c>
      <c r="L91" s="335">
        <f t="shared" si="23"/>
        <v>1</v>
      </c>
      <c r="M91" s="335">
        <f t="shared" si="23"/>
        <v>1</v>
      </c>
      <c r="N91" s="616">
        <f t="shared" si="25"/>
        <v>1246194.18</v>
      </c>
    </row>
    <row r="92" spans="1:15">
      <c r="A92" s="210">
        <f t="shared" si="21"/>
        <v>78</v>
      </c>
      <c r="B92" s="1045">
        <v>39100</v>
      </c>
      <c r="C92" s="232" t="s">
        <v>786</v>
      </c>
      <c r="D92" s="321">
        <f>'[3]Gross Plant'!$Q168</f>
        <v>1794619.1</v>
      </c>
      <c r="E92" s="616">
        <v>0</v>
      </c>
      <c r="F92" s="616">
        <f t="shared" si="22"/>
        <v>1794619.1</v>
      </c>
      <c r="G92" s="335">
        <f t="shared" si="20"/>
        <v>1</v>
      </c>
      <c r="H92" s="335">
        <f t="shared" si="20"/>
        <v>1</v>
      </c>
      <c r="I92" s="616">
        <f t="shared" si="24"/>
        <v>1794619.1</v>
      </c>
      <c r="K92" s="321">
        <f>'[3]Gross Plant'!$C168</f>
        <v>1794619.1000000003</v>
      </c>
      <c r="L92" s="335">
        <f t="shared" si="23"/>
        <v>1</v>
      </c>
      <c r="M92" s="335">
        <f t="shared" si="23"/>
        <v>1</v>
      </c>
      <c r="N92" s="616">
        <f t="shared" si="25"/>
        <v>1794619.1000000003</v>
      </c>
    </row>
    <row r="93" spans="1:15">
      <c r="A93" s="210">
        <f t="shared" si="21"/>
        <v>79</v>
      </c>
      <c r="B93" s="1045">
        <v>39103</v>
      </c>
      <c r="C93" s="80" t="s">
        <v>787</v>
      </c>
      <c r="D93" s="321">
        <f>'[3]Gross Plant'!$Q169</f>
        <v>0</v>
      </c>
      <c r="E93" s="616">
        <v>0</v>
      </c>
      <c r="F93" s="616">
        <f t="shared" si="22"/>
        <v>0</v>
      </c>
      <c r="G93" s="335">
        <f t="shared" si="20"/>
        <v>1</v>
      </c>
      <c r="H93" s="335">
        <f t="shared" si="20"/>
        <v>1</v>
      </c>
      <c r="I93" s="616">
        <f t="shared" si="24"/>
        <v>0</v>
      </c>
      <c r="K93" s="321">
        <f>'[3]Gross Plant'!$C169</f>
        <v>0</v>
      </c>
      <c r="L93" s="335">
        <f t="shared" si="23"/>
        <v>1</v>
      </c>
      <c r="M93" s="335">
        <f t="shared" si="23"/>
        <v>1</v>
      </c>
      <c r="N93" s="616">
        <f t="shared" si="25"/>
        <v>0</v>
      </c>
    </row>
    <row r="94" spans="1:15">
      <c r="A94" s="210">
        <f t="shared" si="21"/>
        <v>80</v>
      </c>
      <c r="B94" s="1045">
        <v>39200</v>
      </c>
      <c r="C94" s="232" t="s">
        <v>1085</v>
      </c>
      <c r="D94" s="321">
        <f>'[3]Gross Plant'!$Q170</f>
        <v>220986.90000000002</v>
      </c>
      <c r="E94" s="616">
        <v>0</v>
      </c>
      <c r="F94" s="616">
        <f t="shared" si="22"/>
        <v>220986.90000000002</v>
      </c>
      <c r="G94" s="335">
        <f t="shared" si="20"/>
        <v>1</v>
      </c>
      <c r="H94" s="335">
        <f t="shared" si="20"/>
        <v>1</v>
      </c>
      <c r="I94" s="616">
        <f t="shared" si="24"/>
        <v>220986.90000000002</v>
      </c>
      <c r="K94" s="321">
        <f>'[3]Gross Plant'!$C170</f>
        <v>245236.79076923072</v>
      </c>
      <c r="L94" s="335">
        <f t="shared" si="23"/>
        <v>1</v>
      </c>
      <c r="M94" s="335">
        <f t="shared" si="23"/>
        <v>1</v>
      </c>
      <c r="N94" s="616">
        <f t="shared" si="25"/>
        <v>245236.79076923072</v>
      </c>
    </row>
    <row r="95" spans="1:15">
      <c r="A95" s="210">
        <f t="shared" si="21"/>
        <v>81</v>
      </c>
      <c r="B95" s="1045">
        <v>39202</v>
      </c>
      <c r="C95" s="232" t="s">
        <v>87</v>
      </c>
      <c r="D95" s="321">
        <f>'[3]Gross Plant'!$Q171</f>
        <v>0</v>
      </c>
      <c r="E95" s="616">
        <v>0</v>
      </c>
      <c r="F95" s="616">
        <f t="shared" si="22"/>
        <v>0</v>
      </c>
      <c r="G95" s="335">
        <f t="shared" si="20"/>
        <v>1</v>
      </c>
      <c r="H95" s="335">
        <f t="shared" si="20"/>
        <v>1</v>
      </c>
      <c r="I95" s="616">
        <f t="shared" si="24"/>
        <v>0</v>
      </c>
      <c r="K95" s="321">
        <f>'[3]Gross Plant'!$C171</f>
        <v>1322.6838461538462</v>
      </c>
      <c r="L95" s="335">
        <f t="shared" si="23"/>
        <v>1</v>
      </c>
      <c r="M95" s="335">
        <f t="shared" si="23"/>
        <v>1</v>
      </c>
      <c r="N95" s="616">
        <f t="shared" si="25"/>
        <v>1322.6838461538462</v>
      </c>
    </row>
    <row r="96" spans="1:15">
      <c r="A96" s="210">
        <f t="shared" si="21"/>
        <v>82</v>
      </c>
      <c r="B96" s="1045">
        <v>39400</v>
      </c>
      <c r="C96" s="232" t="s">
        <v>1044</v>
      </c>
      <c r="D96" s="321">
        <f>'[3]Gross Plant'!$Q172</f>
        <v>4189376.1161897252</v>
      </c>
      <c r="E96" s="616">
        <v>0</v>
      </c>
      <c r="F96" s="616">
        <f t="shared" si="22"/>
        <v>4189376.1161897252</v>
      </c>
      <c r="G96" s="335">
        <f t="shared" si="20"/>
        <v>1</v>
      </c>
      <c r="H96" s="335">
        <f t="shared" si="20"/>
        <v>1</v>
      </c>
      <c r="I96" s="616">
        <f t="shared" si="24"/>
        <v>4189376.1161897252</v>
      </c>
      <c r="K96" s="321">
        <f>'[3]Gross Plant'!$C172</f>
        <v>3457519.0385784637</v>
      </c>
      <c r="L96" s="335">
        <f t="shared" si="23"/>
        <v>1</v>
      </c>
      <c r="M96" s="335">
        <f t="shared" si="23"/>
        <v>1</v>
      </c>
      <c r="N96" s="616">
        <f t="shared" si="25"/>
        <v>3457519.0385784637</v>
      </c>
    </row>
    <row r="97" spans="1:14">
      <c r="A97" s="210">
        <f t="shared" si="21"/>
        <v>83</v>
      </c>
      <c r="B97" s="1045">
        <v>39603</v>
      </c>
      <c r="C97" s="232" t="s">
        <v>88</v>
      </c>
      <c r="D97" s="321">
        <f>'[3]Gross Plant'!$Q173</f>
        <v>39610.080000000002</v>
      </c>
      <c r="E97" s="616">
        <v>0</v>
      </c>
      <c r="F97" s="616">
        <f t="shared" si="22"/>
        <v>39610.080000000002</v>
      </c>
      <c r="G97" s="335">
        <f t="shared" si="20"/>
        <v>1</v>
      </c>
      <c r="H97" s="335">
        <f t="shared" si="20"/>
        <v>1</v>
      </c>
      <c r="I97" s="616">
        <f t="shared" si="24"/>
        <v>39610.080000000002</v>
      </c>
      <c r="K97" s="321">
        <f>'[3]Gross Plant'!$C173</f>
        <v>39610.080000000009</v>
      </c>
      <c r="L97" s="335">
        <f t="shared" si="23"/>
        <v>1</v>
      </c>
      <c r="M97" s="335">
        <f t="shared" si="23"/>
        <v>1</v>
      </c>
      <c r="N97" s="616">
        <f t="shared" si="25"/>
        <v>39610.080000000009</v>
      </c>
    </row>
    <row r="98" spans="1:14">
      <c r="A98" s="210">
        <f t="shared" si="21"/>
        <v>84</v>
      </c>
      <c r="B98" s="1045">
        <v>39604</v>
      </c>
      <c r="C98" s="232" t="s">
        <v>89</v>
      </c>
      <c r="D98" s="321">
        <f>'[3]Gross Plant'!$Q174</f>
        <v>62747.29</v>
      </c>
      <c r="E98" s="616">
        <v>0</v>
      </c>
      <c r="F98" s="616">
        <f t="shared" si="22"/>
        <v>62747.29</v>
      </c>
      <c r="G98" s="335">
        <f t="shared" si="20"/>
        <v>1</v>
      </c>
      <c r="H98" s="335">
        <f t="shared" si="20"/>
        <v>1</v>
      </c>
      <c r="I98" s="616">
        <f t="shared" si="24"/>
        <v>62747.29</v>
      </c>
      <c r="K98" s="321">
        <f>'[3]Gross Plant'!$C174</f>
        <v>62747.290000000008</v>
      </c>
      <c r="L98" s="335">
        <f t="shared" si="23"/>
        <v>1</v>
      </c>
      <c r="M98" s="335">
        <f t="shared" si="23"/>
        <v>1</v>
      </c>
      <c r="N98" s="616">
        <f t="shared" si="25"/>
        <v>62747.290000000008</v>
      </c>
    </row>
    <row r="99" spans="1:14">
      <c r="A99" s="210">
        <f t="shared" si="21"/>
        <v>85</v>
      </c>
      <c r="B99" s="1045">
        <v>39605</v>
      </c>
      <c r="C99" s="196" t="s">
        <v>90</v>
      </c>
      <c r="D99" s="321">
        <f>'[3]Gross Plant'!$Q175</f>
        <v>19427.23</v>
      </c>
      <c r="E99" s="616">
        <v>0</v>
      </c>
      <c r="F99" s="616">
        <f t="shared" si="22"/>
        <v>19427.23</v>
      </c>
      <c r="G99" s="335">
        <f t="shared" si="20"/>
        <v>1</v>
      </c>
      <c r="H99" s="335">
        <f t="shared" si="20"/>
        <v>1</v>
      </c>
      <c r="I99" s="616">
        <f t="shared" si="24"/>
        <v>19427.23</v>
      </c>
      <c r="K99" s="321">
        <f>'[3]Gross Plant'!$C175</f>
        <v>19427.230000000003</v>
      </c>
      <c r="L99" s="335">
        <f t="shared" si="23"/>
        <v>1</v>
      </c>
      <c r="M99" s="335">
        <f t="shared" si="23"/>
        <v>1</v>
      </c>
      <c r="N99" s="616">
        <f t="shared" si="25"/>
        <v>19427.230000000003</v>
      </c>
    </row>
    <row r="100" spans="1:14">
      <c r="A100" s="210">
        <f t="shared" si="21"/>
        <v>86</v>
      </c>
      <c r="B100" s="1045">
        <v>39700</v>
      </c>
      <c r="C100" s="232" t="s">
        <v>445</v>
      </c>
      <c r="D100" s="321">
        <f>'[3]Gross Plant'!$Q176</f>
        <v>358964.52</v>
      </c>
      <c r="E100" s="616">
        <v>0</v>
      </c>
      <c r="F100" s="616">
        <f t="shared" si="22"/>
        <v>358964.52</v>
      </c>
      <c r="G100" s="335">
        <f t="shared" si="20"/>
        <v>1</v>
      </c>
      <c r="H100" s="335">
        <f t="shared" si="20"/>
        <v>1</v>
      </c>
      <c r="I100" s="616">
        <f t="shared" si="24"/>
        <v>358964.52</v>
      </c>
      <c r="K100" s="321">
        <f>'[3]Gross Plant'!$C176</f>
        <v>358964.51999999996</v>
      </c>
      <c r="L100" s="335">
        <f t="shared" si="23"/>
        <v>1</v>
      </c>
      <c r="M100" s="335">
        <f t="shared" si="23"/>
        <v>1</v>
      </c>
      <c r="N100" s="616">
        <f t="shared" si="25"/>
        <v>358964.51999999996</v>
      </c>
    </row>
    <row r="101" spans="1:14">
      <c r="A101" s="210">
        <f t="shared" si="21"/>
        <v>87</v>
      </c>
      <c r="B101" s="1045">
        <v>39701</v>
      </c>
      <c r="C101" s="80" t="s">
        <v>1530</v>
      </c>
      <c r="D101" s="321">
        <f>'[3]Gross Plant'!$Q177</f>
        <v>0</v>
      </c>
      <c r="E101" s="616">
        <v>0</v>
      </c>
      <c r="F101" s="616">
        <f t="shared" si="22"/>
        <v>0</v>
      </c>
      <c r="G101" s="335">
        <f t="shared" si="20"/>
        <v>1</v>
      </c>
      <c r="H101" s="335">
        <f t="shared" si="20"/>
        <v>1</v>
      </c>
      <c r="I101" s="616">
        <f t="shared" si="24"/>
        <v>0</v>
      </c>
      <c r="K101" s="321">
        <f>'[3]Gross Plant'!$C177</f>
        <v>0</v>
      </c>
      <c r="L101" s="335">
        <f t="shared" si="23"/>
        <v>1</v>
      </c>
      <c r="M101" s="335">
        <f t="shared" si="23"/>
        <v>1</v>
      </c>
      <c r="N101" s="616">
        <f t="shared" si="25"/>
        <v>0</v>
      </c>
    </row>
    <row r="102" spans="1:14">
      <c r="A102" s="210">
        <f t="shared" si="21"/>
        <v>88</v>
      </c>
      <c r="B102" s="1045">
        <v>39702</v>
      </c>
      <c r="C102" s="80" t="s">
        <v>1530</v>
      </c>
      <c r="D102" s="321">
        <f>'[3]Gross Plant'!$Q178</f>
        <v>0</v>
      </c>
      <c r="E102" s="616">
        <v>0</v>
      </c>
      <c r="F102" s="616">
        <f t="shared" si="22"/>
        <v>0</v>
      </c>
      <c r="G102" s="335">
        <f t="shared" si="20"/>
        <v>1</v>
      </c>
      <c r="H102" s="335">
        <f t="shared" si="20"/>
        <v>1</v>
      </c>
      <c r="I102" s="616">
        <f t="shared" si="24"/>
        <v>0</v>
      </c>
      <c r="K102" s="321">
        <f>'[3]Gross Plant'!$C178</f>
        <v>0</v>
      </c>
      <c r="L102" s="335">
        <f t="shared" si="23"/>
        <v>1</v>
      </c>
      <c r="M102" s="335">
        <f t="shared" si="23"/>
        <v>1</v>
      </c>
      <c r="N102" s="616">
        <f t="shared" si="25"/>
        <v>0</v>
      </c>
    </row>
    <row r="103" spans="1:14">
      <c r="A103" s="210">
        <f t="shared" si="21"/>
        <v>89</v>
      </c>
      <c r="B103" s="1045">
        <v>39705</v>
      </c>
      <c r="C103" s="232" t="s">
        <v>728</v>
      </c>
      <c r="D103" s="321">
        <f>'[3]Gross Plant'!$Q179</f>
        <v>0</v>
      </c>
      <c r="E103" s="616">
        <v>0</v>
      </c>
      <c r="F103" s="616">
        <f t="shared" si="22"/>
        <v>0</v>
      </c>
      <c r="G103" s="335">
        <f t="shared" si="20"/>
        <v>1</v>
      </c>
      <c r="H103" s="335">
        <f t="shared" si="20"/>
        <v>1</v>
      </c>
      <c r="I103" s="616">
        <f t="shared" si="24"/>
        <v>0</v>
      </c>
      <c r="K103" s="321">
        <f>'[3]Gross Plant'!$C179</f>
        <v>0</v>
      </c>
      <c r="L103" s="335">
        <f t="shared" si="23"/>
        <v>1</v>
      </c>
      <c r="M103" s="335">
        <f t="shared" si="23"/>
        <v>1</v>
      </c>
      <c r="N103" s="616">
        <f t="shared" si="25"/>
        <v>0</v>
      </c>
    </row>
    <row r="104" spans="1:14">
      <c r="A104" s="210">
        <f t="shared" si="21"/>
        <v>90</v>
      </c>
      <c r="B104" s="1045">
        <v>39800</v>
      </c>
      <c r="C104" s="232" t="s">
        <v>656</v>
      </c>
      <c r="D104" s="321">
        <f>'[3]Gross Plant'!$Q180</f>
        <v>3832806.2211540877</v>
      </c>
      <c r="E104" s="616">
        <v>0</v>
      </c>
      <c r="F104" s="616">
        <f t="shared" si="22"/>
        <v>3832806.2211540877</v>
      </c>
      <c r="G104" s="335">
        <f t="shared" si="20"/>
        <v>1</v>
      </c>
      <c r="H104" s="335">
        <f t="shared" si="20"/>
        <v>1</v>
      </c>
      <c r="I104" s="616">
        <f t="shared" si="24"/>
        <v>3832806.2211540877</v>
      </c>
      <c r="K104" s="321">
        <f>'[3]Gross Plant'!$C180</f>
        <v>3858367.8156924802</v>
      </c>
      <c r="L104" s="335">
        <f t="shared" si="23"/>
        <v>1</v>
      </c>
      <c r="M104" s="335">
        <f t="shared" si="23"/>
        <v>1</v>
      </c>
      <c r="N104" s="616">
        <f t="shared" si="25"/>
        <v>3858367.8156924802</v>
      </c>
    </row>
    <row r="105" spans="1:14">
      <c r="A105" s="210">
        <f t="shared" si="21"/>
        <v>91</v>
      </c>
      <c r="B105" s="1045">
        <v>39901</v>
      </c>
      <c r="C105" s="80" t="s">
        <v>1531</v>
      </c>
      <c r="D105" s="321">
        <f>'[3]Gross Plant'!$Q181</f>
        <v>14389.76</v>
      </c>
      <c r="E105" s="616">
        <v>0</v>
      </c>
      <c r="F105" s="616">
        <f t="shared" si="22"/>
        <v>14389.76</v>
      </c>
      <c r="G105" s="335">
        <f t="shared" si="20"/>
        <v>1</v>
      </c>
      <c r="H105" s="335">
        <f t="shared" si="20"/>
        <v>1</v>
      </c>
      <c r="I105" s="616">
        <f t="shared" si="24"/>
        <v>14389.76</v>
      </c>
      <c r="K105" s="321">
        <f>'[3]Gross Plant'!$C181</f>
        <v>0</v>
      </c>
      <c r="L105" s="335">
        <f t="shared" si="23"/>
        <v>1</v>
      </c>
      <c r="M105" s="335">
        <f t="shared" si="23"/>
        <v>1</v>
      </c>
      <c r="N105" s="616">
        <f t="shared" si="25"/>
        <v>0</v>
      </c>
    </row>
    <row r="106" spans="1:14">
      <c r="A106" s="210">
        <f t="shared" si="21"/>
        <v>92</v>
      </c>
      <c r="B106" s="1045">
        <v>39902</v>
      </c>
      <c r="C106" s="80" t="s">
        <v>1532</v>
      </c>
      <c r="D106" s="321">
        <f>'[3]Gross Plant'!$Q182</f>
        <v>0</v>
      </c>
      <c r="E106" s="616">
        <v>0</v>
      </c>
      <c r="F106" s="616">
        <f t="shared" si="22"/>
        <v>0</v>
      </c>
      <c r="G106" s="335">
        <f t="shared" si="20"/>
        <v>1</v>
      </c>
      <c r="H106" s="335">
        <f t="shared" si="20"/>
        <v>1</v>
      </c>
      <c r="I106" s="616">
        <f t="shared" si="24"/>
        <v>0</v>
      </c>
      <c r="K106" s="321">
        <f>'[3]Gross Plant'!$C182</f>
        <v>0</v>
      </c>
      <c r="L106" s="335">
        <f t="shared" si="23"/>
        <v>1</v>
      </c>
      <c r="M106" s="335">
        <f t="shared" si="23"/>
        <v>1</v>
      </c>
      <c r="N106" s="616">
        <f t="shared" si="25"/>
        <v>0</v>
      </c>
    </row>
    <row r="107" spans="1:14">
      <c r="A107" s="210">
        <f t="shared" si="21"/>
        <v>93</v>
      </c>
      <c r="B107" s="1045">
        <v>39903</v>
      </c>
      <c r="C107" s="232" t="s">
        <v>1011</v>
      </c>
      <c r="D107" s="321">
        <f>'[3]Gross Plant'!$Q183</f>
        <v>134598.85999999999</v>
      </c>
      <c r="E107" s="616">
        <v>0</v>
      </c>
      <c r="F107" s="616">
        <f t="shared" si="22"/>
        <v>134598.85999999999</v>
      </c>
      <c r="G107" s="335">
        <f t="shared" si="20"/>
        <v>1</v>
      </c>
      <c r="H107" s="335">
        <f t="shared" si="20"/>
        <v>1</v>
      </c>
      <c r="I107" s="616">
        <f t="shared" si="24"/>
        <v>134598.85999999999</v>
      </c>
      <c r="K107" s="321">
        <f>'[3]Gross Plant'!$C183</f>
        <v>134598.85999999993</v>
      </c>
      <c r="L107" s="335">
        <f t="shared" si="23"/>
        <v>1</v>
      </c>
      <c r="M107" s="335">
        <f t="shared" si="23"/>
        <v>1</v>
      </c>
      <c r="N107" s="616">
        <f t="shared" si="25"/>
        <v>134598.85999999993</v>
      </c>
    </row>
    <row r="108" spans="1:14">
      <c r="A108" s="210">
        <f t="shared" si="21"/>
        <v>94</v>
      </c>
      <c r="B108" s="1045">
        <v>39906</v>
      </c>
      <c r="C108" s="232" t="s">
        <v>456</v>
      </c>
      <c r="D108" s="321">
        <f>'[3]Gross Plant'!$Q184</f>
        <v>1497304.664638296</v>
      </c>
      <c r="E108" s="616">
        <v>0</v>
      </c>
      <c r="F108" s="616">
        <f t="shared" si="22"/>
        <v>1497304.664638296</v>
      </c>
      <c r="G108" s="335">
        <f t="shared" si="20"/>
        <v>1</v>
      </c>
      <c r="H108" s="335">
        <f t="shared" si="20"/>
        <v>1</v>
      </c>
      <c r="I108" s="616">
        <f t="shared" si="24"/>
        <v>1497304.664638296</v>
      </c>
      <c r="K108" s="321">
        <f>'[3]Gross Plant'!$C184</f>
        <v>1330835.4375630915</v>
      </c>
      <c r="L108" s="335">
        <f t="shared" si="23"/>
        <v>1</v>
      </c>
      <c r="M108" s="335">
        <f t="shared" si="23"/>
        <v>1</v>
      </c>
      <c r="N108" s="616">
        <f t="shared" si="25"/>
        <v>1330835.4375630915</v>
      </c>
    </row>
    <row r="109" spans="1:14">
      <c r="A109" s="210">
        <f t="shared" si="21"/>
        <v>95</v>
      </c>
      <c r="B109" s="1045">
        <v>39907</v>
      </c>
      <c r="C109" s="232" t="s">
        <v>510</v>
      </c>
      <c r="D109" s="321">
        <f>'[3]Gross Plant'!$Q185</f>
        <v>0</v>
      </c>
      <c r="E109" s="616">
        <v>0</v>
      </c>
      <c r="F109" s="616">
        <f t="shared" si="22"/>
        <v>0</v>
      </c>
      <c r="G109" s="335">
        <f t="shared" si="20"/>
        <v>1</v>
      </c>
      <c r="H109" s="335">
        <f t="shared" si="20"/>
        <v>1</v>
      </c>
      <c r="I109" s="616">
        <f t="shared" si="24"/>
        <v>0</v>
      </c>
      <c r="K109" s="321">
        <f>'[3]Gross Plant'!$C185</f>
        <v>0</v>
      </c>
      <c r="L109" s="335">
        <f t="shared" si="23"/>
        <v>1</v>
      </c>
      <c r="M109" s="335">
        <f t="shared" si="23"/>
        <v>1</v>
      </c>
      <c r="N109" s="616">
        <f t="shared" si="25"/>
        <v>0</v>
      </c>
    </row>
    <row r="110" spans="1:14">
      <c r="A110" s="210">
        <f t="shared" si="21"/>
        <v>96</v>
      </c>
      <c r="B110" s="1045">
        <v>39908</v>
      </c>
      <c r="C110" s="232" t="s">
        <v>180</v>
      </c>
      <c r="D110" s="321">
        <f>'[3]Gross Plant'!$Q186</f>
        <v>123514.83</v>
      </c>
      <c r="E110" s="616">
        <v>0</v>
      </c>
      <c r="F110" s="616">
        <f t="shared" si="22"/>
        <v>123514.83</v>
      </c>
      <c r="G110" s="335">
        <f t="shared" si="20"/>
        <v>1</v>
      </c>
      <c r="H110" s="335">
        <f t="shared" si="20"/>
        <v>1</v>
      </c>
      <c r="I110" s="616">
        <f t="shared" si="24"/>
        <v>123514.83</v>
      </c>
      <c r="K110" s="321">
        <f>'[3]Gross Plant'!$C186</f>
        <v>123514.83000000002</v>
      </c>
      <c r="L110" s="335">
        <f t="shared" si="23"/>
        <v>1</v>
      </c>
      <c r="M110" s="335">
        <f t="shared" si="23"/>
        <v>1</v>
      </c>
      <c r="N110" s="616">
        <f t="shared" si="25"/>
        <v>123514.83000000002</v>
      </c>
    </row>
    <row r="111" spans="1:14">
      <c r="A111" s="210">
        <f t="shared" si="21"/>
        <v>97</v>
      </c>
      <c r="B111" s="1054"/>
      <c r="C111" s="232"/>
      <c r="D111" s="618"/>
      <c r="E111" s="618"/>
      <c r="F111" s="618"/>
      <c r="I111" s="618"/>
      <c r="K111" s="723"/>
      <c r="N111" s="618"/>
    </row>
    <row r="112" spans="1:14">
      <c r="A112" s="210">
        <f t="shared" si="21"/>
        <v>98</v>
      </c>
      <c r="B112" s="1054"/>
      <c r="C112" s="232" t="s">
        <v>4</v>
      </c>
      <c r="D112" s="359">
        <f>SUM(D86:D111)</f>
        <v>22785912.295470551</v>
      </c>
      <c r="E112" s="359">
        <f>SUM(E86:E111)</f>
        <v>0</v>
      </c>
      <c r="F112" s="359">
        <f>SUM(F86:F111)</f>
        <v>22785912.295470551</v>
      </c>
      <c r="G112" s="335"/>
      <c r="H112" s="335"/>
      <c r="I112" s="359">
        <f>SUM(I86:I111)</f>
        <v>22785912.295470551</v>
      </c>
      <c r="K112" s="359">
        <f>SUM(K86:K111)</f>
        <v>21922249.921728589</v>
      </c>
      <c r="N112" s="359">
        <f>SUM(N86:N111)</f>
        <v>21922249.921728589</v>
      </c>
    </row>
    <row r="113" spans="1:18">
      <c r="A113" s="210">
        <f t="shared" si="21"/>
        <v>99</v>
      </c>
      <c r="B113" s="1054"/>
      <c r="C113" s="232"/>
      <c r="K113" s="359"/>
    </row>
    <row r="114" spans="1:18" ht="15.75" thickBot="1">
      <c r="A114" s="210">
        <f t="shared" si="21"/>
        <v>100</v>
      </c>
      <c r="B114" s="1054"/>
      <c r="C114" s="232" t="s">
        <v>1338</v>
      </c>
      <c r="D114" s="1016">
        <f>D19+D26+D47+D59+D83+D112</f>
        <v>591053492.44722462</v>
      </c>
      <c r="E114" s="1016">
        <f>E19+E26+E47+E59+E83+E112</f>
        <v>0</v>
      </c>
      <c r="F114" s="1016">
        <f>F19+F26+F47+F59+F83+F112</f>
        <v>591053492.44722462</v>
      </c>
      <c r="I114" s="1016">
        <f>I19+I26+I47+I59+I83+I112</f>
        <v>591053492.44722462</v>
      </c>
      <c r="K114" s="1016">
        <f>K19+K26+K47+K59+K83+K112</f>
        <v>562188993.79519451</v>
      </c>
      <c r="N114" s="1016">
        <f>N19+N26+N47+N59+N83+N112</f>
        <v>562188993.79519451</v>
      </c>
    </row>
    <row r="115" spans="1:18" ht="15.75" thickTop="1">
      <c r="A115" s="210">
        <f t="shared" si="21"/>
        <v>101</v>
      </c>
      <c r="B115" s="1054"/>
      <c r="C115" s="232"/>
      <c r="K115" s="359"/>
    </row>
    <row r="116" spans="1:18">
      <c r="A116" s="210">
        <f t="shared" si="21"/>
        <v>102</v>
      </c>
      <c r="B116" s="1054"/>
      <c r="C116" s="196" t="s">
        <v>756</v>
      </c>
      <c r="D116" s="321">
        <f>'[3]Gross Plant'!$Q$216</f>
        <v>26845504.509999994</v>
      </c>
      <c r="E116" s="321">
        <v>0</v>
      </c>
      <c r="F116" s="321">
        <f>D116+E116</f>
        <v>26845504.509999994</v>
      </c>
      <c r="G116" s="615">
        <f>$G$16</f>
        <v>1</v>
      </c>
      <c r="H116" s="615">
        <f>$G$16</f>
        <v>1</v>
      </c>
      <c r="I116" s="321">
        <f>F116*G116*H116</f>
        <v>26845504.509999994</v>
      </c>
      <c r="K116" s="321">
        <f>'[3]Gross Plant'!$C$216</f>
        <v>21588717.546153843</v>
      </c>
      <c r="L116" s="335">
        <f>$G$16</f>
        <v>1</v>
      </c>
      <c r="M116" s="335">
        <f>$G$16</f>
        <v>1</v>
      </c>
      <c r="N116" s="321">
        <f>K116*L116*M116</f>
        <v>21588717.546153843</v>
      </c>
      <c r="R116" s="422"/>
    </row>
    <row r="117" spans="1:18">
      <c r="A117" s="210">
        <f t="shared" si="21"/>
        <v>103</v>
      </c>
      <c r="B117" s="1054"/>
      <c r="K117" s="359"/>
    </row>
    <row r="118" spans="1:18" ht="15.75">
      <c r="A118" s="210">
        <f t="shared" si="21"/>
        <v>104</v>
      </c>
      <c r="B118" s="1050" t="s">
        <v>7</v>
      </c>
      <c r="K118" s="359"/>
    </row>
    <row r="119" spans="1:18">
      <c r="A119" s="210">
        <f t="shared" si="21"/>
        <v>105</v>
      </c>
      <c r="B119" s="1054"/>
      <c r="K119" s="359"/>
    </row>
    <row r="120" spans="1:18">
      <c r="A120" s="210">
        <f t="shared" si="21"/>
        <v>106</v>
      </c>
      <c r="B120" s="1054"/>
      <c r="C120" s="619" t="s">
        <v>301</v>
      </c>
      <c r="K120" s="359"/>
    </row>
    <row r="121" spans="1:18">
      <c r="A121" s="210">
        <f t="shared" si="21"/>
        <v>107</v>
      </c>
      <c r="B121" s="1053">
        <v>30100</v>
      </c>
      <c r="C121" s="232" t="s">
        <v>295</v>
      </c>
      <c r="D121" s="321">
        <f>'[3]Gross Plant'!$Q84</f>
        <v>185309.27</v>
      </c>
      <c r="E121" s="359">
        <v>0</v>
      </c>
      <c r="F121" s="359">
        <f>D121+E121</f>
        <v>185309.27</v>
      </c>
      <c r="G121" s="335">
        <f>$G$16</f>
        <v>1</v>
      </c>
      <c r="H121" s="323">
        <f>Allocation!$H$17</f>
        <v>0.5025136071712456</v>
      </c>
      <c r="I121" s="359">
        <f>F121*G121*H121</f>
        <v>93120.429709970282</v>
      </c>
      <c r="K121" s="321">
        <f>'[3]Gross Plant'!$C84</f>
        <v>185309.27</v>
      </c>
      <c r="L121" s="335">
        <f t="shared" ref="L121:M122" si="26">G121</f>
        <v>1</v>
      </c>
      <c r="M121" s="323">
        <f t="shared" si="26"/>
        <v>0.5025136071712456</v>
      </c>
      <c r="N121" s="616">
        <f t="shared" ref="N121:N122" si="27">K121*L121*M121</f>
        <v>93120.429709970282</v>
      </c>
      <c r="R121" s="422"/>
    </row>
    <row r="122" spans="1:18">
      <c r="A122" s="210">
        <f t="shared" si="21"/>
        <v>108</v>
      </c>
      <c r="B122" s="1053">
        <v>30300</v>
      </c>
      <c r="C122" s="232" t="s">
        <v>548</v>
      </c>
      <c r="D122" s="321">
        <f>'[3]Gross Plant'!$Q85</f>
        <v>1109551.68</v>
      </c>
      <c r="E122" s="1059">
        <v>0</v>
      </c>
      <c r="F122" s="1059">
        <f>D122+E122</f>
        <v>1109551.68</v>
      </c>
      <c r="G122" s="335">
        <f>$G$16</f>
        <v>1</v>
      </c>
      <c r="H122" s="323">
        <f>$H$121</f>
        <v>0.5025136071712456</v>
      </c>
      <c r="I122" s="1052">
        <f>F122*G122*H122</f>
        <v>557564.81705971563</v>
      </c>
      <c r="K122" s="321">
        <f>'[3]Gross Plant'!$C85</f>
        <v>1109551.68</v>
      </c>
      <c r="L122" s="335">
        <f t="shared" si="26"/>
        <v>1</v>
      </c>
      <c r="M122" s="323">
        <f t="shared" si="26"/>
        <v>0.5025136071712456</v>
      </c>
      <c r="N122" s="616">
        <f t="shared" si="27"/>
        <v>557564.81705971563</v>
      </c>
      <c r="R122" s="422"/>
    </row>
    <row r="123" spans="1:18">
      <c r="A123" s="210">
        <f t="shared" si="21"/>
        <v>109</v>
      </c>
      <c r="B123" s="1054"/>
      <c r="C123" s="232"/>
      <c r="D123" s="618"/>
      <c r="E123" s="618"/>
      <c r="F123" s="618"/>
      <c r="I123" s="618"/>
      <c r="K123" s="723"/>
      <c r="N123" s="618"/>
    </row>
    <row r="124" spans="1:18">
      <c r="A124" s="210">
        <f t="shared" si="21"/>
        <v>110</v>
      </c>
      <c r="B124" s="1054"/>
      <c r="C124" s="232" t="s">
        <v>302</v>
      </c>
      <c r="D124" s="359">
        <f>SUM(D121:D123)</f>
        <v>1294860.95</v>
      </c>
      <c r="E124" s="359">
        <f>SUM(E121:E123)</f>
        <v>0</v>
      </c>
      <c r="F124" s="359">
        <f>SUM(F121:F123)</f>
        <v>1294860.95</v>
      </c>
      <c r="G124" s="335"/>
      <c r="H124" s="335"/>
      <c r="I124" s="359">
        <f>SUM(I121:I123)</f>
        <v>650685.24676968588</v>
      </c>
      <c r="K124" s="359">
        <f>SUM(K121:K123)</f>
        <v>1294860.95</v>
      </c>
      <c r="N124" s="359">
        <f>SUM(N121:N123)</f>
        <v>650685.24676968588</v>
      </c>
    </row>
    <row r="125" spans="1:18">
      <c r="A125" s="210">
        <f t="shared" si="21"/>
        <v>111</v>
      </c>
      <c r="B125" s="1054"/>
      <c r="K125" s="359"/>
    </row>
    <row r="126" spans="1:18">
      <c r="A126" s="210">
        <f t="shared" si="21"/>
        <v>112</v>
      </c>
      <c r="B126" s="1054"/>
      <c r="C126" s="619" t="s">
        <v>303</v>
      </c>
      <c r="K126" s="359"/>
    </row>
    <row r="127" spans="1:18">
      <c r="A127" s="210">
        <f t="shared" si="21"/>
        <v>113</v>
      </c>
      <c r="B127" s="1053">
        <v>37400</v>
      </c>
      <c r="C127" s="232" t="s">
        <v>1157</v>
      </c>
      <c r="D127" s="359">
        <v>0</v>
      </c>
      <c r="E127" s="359">
        <v>0</v>
      </c>
      <c r="F127" s="359">
        <f>D127+E127</f>
        <v>0</v>
      </c>
      <c r="G127" s="335">
        <f>$G$16</f>
        <v>1</v>
      </c>
      <c r="H127" s="323">
        <f>$H$121</f>
        <v>0.5025136071712456</v>
      </c>
      <c r="I127" s="359">
        <f>F127*G127*H127</f>
        <v>0</v>
      </c>
      <c r="K127" s="359">
        <v>0</v>
      </c>
      <c r="L127" s="335">
        <f>G127</f>
        <v>1</v>
      </c>
      <c r="M127" s="323">
        <f>H127</f>
        <v>0.5025136071712456</v>
      </c>
      <c r="N127" s="359">
        <f>K127*L127*M127</f>
        <v>0</v>
      </c>
    </row>
    <row r="128" spans="1:18">
      <c r="A128" s="210">
        <f t="shared" si="21"/>
        <v>114</v>
      </c>
      <c r="B128" s="1053">
        <v>35010</v>
      </c>
      <c r="C128" s="232" t="s">
        <v>296</v>
      </c>
      <c r="D128" s="616">
        <v>0</v>
      </c>
      <c r="E128" s="616">
        <v>0</v>
      </c>
      <c r="F128" s="616">
        <f>D128+E128</f>
        <v>0</v>
      </c>
      <c r="G128" s="335">
        <f>$G$16</f>
        <v>1</v>
      </c>
      <c r="H128" s="323">
        <f>$H$121</f>
        <v>0.5025136071712456</v>
      </c>
      <c r="I128" s="616">
        <f>F128*G128*H128</f>
        <v>0</v>
      </c>
      <c r="K128" s="616">
        <v>0</v>
      </c>
      <c r="L128" s="335">
        <f t="shared" ref="L128:L147" si="28">G128</f>
        <v>1</v>
      </c>
      <c r="M128" s="323">
        <f t="shared" ref="M128:M147" si="29">H128</f>
        <v>0.5025136071712456</v>
      </c>
      <c r="N128" s="616">
        <f t="shared" ref="N128:N147" si="30">K128*L128*M128</f>
        <v>0</v>
      </c>
    </row>
    <row r="129" spans="1:14">
      <c r="A129" s="210">
        <f t="shared" si="21"/>
        <v>115</v>
      </c>
      <c r="B129" s="1053">
        <v>37402</v>
      </c>
      <c r="C129" s="232" t="s">
        <v>1007</v>
      </c>
      <c r="D129" s="616">
        <v>0</v>
      </c>
      <c r="E129" s="616">
        <v>0</v>
      </c>
      <c r="F129" s="616">
        <f t="shared" ref="F129:F147" si="31">D129+E129</f>
        <v>0</v>
      </c>
      <c r="G129" s="335">
        <f t="shared" ref="G129:G147" si="32">$G$16</f>
        <v>1</v>
      </c>
      <c r="H129" s="323">
        <f t="shared" ref="H129:H147" si="33">$H$121</f>
        <v>0.5025136071712456</v>
      </c>
      <c r="I129" s="616">
        <f t="shared" ref="I129:I147" si="34">F129*G129*H129</f>
        <v>0</v>
      </c>
      <c r="K129" s="616">
        <v>0</v>
      </c>
      <c r="L129" s="335">
        <f t="shared" si="28"/>
        <v>1</v>
      </c>
      <c r="M129" s="323">
        <f t="shared" si="29"/>
        <v>0.5025136071712456</v>
      </c>
      <c r="N129" s="616">
        <f t="shared" si="30"/>
        <v>0</v>
      </c>
    </row>
    <row r="130" spans="1:14">
      <c r="A130" s="210">
        <f t="shared" si="21"/>
        <v>116</v>
      </c>
      <c r="B130" s="1053">
        <v>37403</v>
      </c>
      <c r="C130" s="232" t="s">
        <v>1004</v>
      </c>
      <c r="D130" s="616">
        <v>0</v>
      </c>
      <c r="E130" s="616">
        <v>0</v>
      </c>
      <c r="F130" s="616">
        <f t="shared" si="31"/>
        <v>0</v>
      </c>
      <c r="G130" s="335">
        <f t="shared" si="32"/>
        <v>1</v>
      </c>
      <c r="H130" s="323">
        <f t="shared" si="33"/>
        <v>0.5025136071712456</v>
      </c>
      <c r="I130" s="616">
        <f t="shared" si="34"/>
        <v>0</v>
      </c>
      <c r="K130" s="616">
        <v>0</v>
      </c>
      <c r="L130" s="335">
        <f t="shared" si="28"/>
        <v>1</v>
      </c>
      <c r="M130" s="323">
        <f t="shared" si="29"/>
        <v>0.5025136071712456</v>
      </c>
      <c r="N130" s="616">
        <f t="shared" si="30"/>
        <v>0</v>
      </c>
    </row>
    <row r="131" spans="1:14">
      <c r="A131" s="210">
        <f t="shared" si="21"/>
        <v>117</v>
      </c>
      <c r="B131" s="1053">
        <v>36602</v>
      </c>
      <c r="C131" s="232" t="s">
        <v>863</v>
      </c>
      <c r="D131" s="616">
        <v>0</v>
      </c>
      <c r="E131" s="616">
        <v>0</v>
      </c>
      <c r="F131" s="616">
        <f t="shared" si="31"/>
        <v>0</v>
      </c>
      <c r="G131" s="335">
        <f t="shared" si="32"/>
        <v>1</v>
      </c>
      <c r="H131" s="323">
        <f t="shared" si="33"/>
        <v>0.5025136071712456</v>
      </c>
      <c r="I131" s="616">
        <f t="shared" si="34"/>
        <v>0</v>
      </c>
      <c r="K131" s="616">
        <v>0</v>
      </c>
      <c r="L131" s="335">
        <f t="shared" si="28"/>
        <v>1</v>
      </c>
      <c r="M131" s="323">
        <f t="shared" si="29"/>
        <v>0.5025136071712456</v>
      </c>
      <c r="N131" s="616">
        <f t="shared" si="30"/>
        <v>0</v>
      </c>
    </row>
    <row r="132" spans="1:14">
      <c r="A132" s="210">
        <f t="shared" si="21"/>
        <v>118</v>
      </c>
      <c r="B132" s="1053">
        <v>37402</v>
      </c>
      <c r="C132" s="232" t="s">
        <v>1007</v>
      </c>
      <c r="D132" s="616">
        <v>0</v>
      </c>
      <c r="E132" s="616">
        <v>0</v>
      </c>
      <c r="F132" s="616">
        <f>D132+E132</f>
        <v>0</v>
      </c>
      <c r="G132" s="335">
        <f t="shared" si="32"/>
        <v>1</v>
      </c>
      <c r="H132" s="323">
        <f t="shared" si="33"/>
        <v>0.5025136071712456</v>
      </c>
      <c r="I132" s="616">
        <f>F132*G132*H132</f>
        <v>0</v>
      </c>
      <c r="K132" s="616">
        <v>0</v>
      </c>
      <c r="L132" s="335">
        <f>G132</f>
        <v>1</v>
      </c>
      <c r="M132" s="323">
        <f>H132</f>
        <v>0.5025136071712456</v>
      </c>
      <c r="N132" s="616">
        <f>K132*L132*M132</f>
        <v>0</v>
      </c>
    </row>
    <row r="133" spans="1:14">
      <c r="A133" s="210">
        <f t="shared" si="21"/>
        <v>119</v>
      </c>
      <c r="B133" s="1053">
        <v>37501</v>
      </c>
      <c r="C133" s="232" t="s">
        <v>1005</v>
      </c>
      <c r="D133" s="616">
        <v>0</v>
      </c>
      <c r="E133" s="616">
        <v>0</v>
      </c>
      <c r="F133" s="616">
        <f t="shared" si="31"/>
        <v>0</v>
      </c>
      <c r="G133" s="335">
        <f t="shared" si="32"/>
        <v>1</v>
      </c>
      <c r="H133" s="323">
        <f t="shared" si="33"/>
        <v>0.5025136071712456</v>
      </c>
      <c r="I133" s="616">
        <f t="shared" si="34"/>
        <v>0</v>
      </c>
      <c r="K133" s="616">
        <v>0</v>
      </c>
      <c r="L133" s="335">
        <f t="shared" si="28"/>
        <v>1</v>
      </c>
      <c r="M133" s="323">
        <f t="shared" si="29"/>
        <v>0.5025136071712456</v>
      </c>
      <c r="N133" s="616">
        <f t="shared" si="30"/>
        <v>0</v>
      </c>
    </row>
    <row r="134" spans="1:14">
      <c r="A134" s="210">
        <f t="shared" si="21"/>
        <v>120</v>
      </c>
      <c r="B134" s="1053">
        <v>37503</v>
      </c>
      <c r="C134" s="232" t="s">
        <v>1006</v>
      </c>
      <c r="D134" s="616">
        <v>0</v>
      </c>
      <c r="E134" s="616">
        <v>0</v>
      </c>
      <c r="F134" s="616">
        <f t="shared" si="31"/>
        <v>0</v>
      </c>
      <c r="G134" s="335">
        <f t="shared" si="32"/>
        <v>1</v>
      </c>
      <c r="H134" s="323">
        <f t="shared" si="33"/>
        <v>0.5025136071712456</v>
      </c>
      <c r="I134" s="616">
        <f t="shared" si="34"/>
        <v>0</v>
      </c>
      <c r="K134" s="616">
        <v>0</v>
      </c>
      <c r="L134" s="335">
        <f t="shared" si="28"/>
        <v>1</v>
      </c>
      <c r="M134" s="323">
        <f t="shared" si="29"/>
        <v>0.5025136071712456</v>
      </c>
      <c r="N134" s="616">
        <f t="shared" si="30"/>
        <v>0</v>
      </c>
    </row>
    <row r="135" spans="1:14">
      <c r="A135" s="210">
        <f t="shared" si="21"/>
        <v>121</v>
      </c>
      <c r="B135" s="1053">
        <v>36700</v>
      </c>
      <c r="C135" s="232" t="s">
        <v>851</v>
      </c>
      <c r="D135" s="616">
        <v>0</v>
      </c>
      <c r="E135" s="616">
        <v>0</v>
      </c>
      <c r="F135" s="616">
        <f t="shared" si="31"/>
        <v>0</v>
      </c>
      <c r="G135" s="335">
        <f t="shared" si="32"/>
        <v>1</v>
      </c>
      <c r="H135" s="323">
        <f t="shared" si="33"/>
        <v>0.5025136071712456</v>
      </c>
      <c r="I135" s="616">
        <f t="shared" si="34"/>
        <v>0</v>
      </c>
      <c r="K135" s="616">
        <v>0</v>
      </c>
      <c r="L135" s="335">
        <f t="shared" si="28"/>
        <v>1</v>
      </c>
      <c r="M135" s="323">
        <f t="shared" si="29"/>
        <v>0.5025136071712456</v>
      </c>
      <c r="N135" s="616">
        <f t="shared" si="30"/>
        <v>0</v>
      </c>
    </row>
    <row r="136" spans="1:14">
      <c r="A136" s="210">
        <f t="shared" si="21"/>
        <v>122</v>
      </c>
      <c r="B136" s="1053">
        <v>36701</v>
      </c>
      <c r="C136" s="232" t="s">
        <v>16</v>
      </c>
      <c r="D136" s="616">
        <v>0</v>
      </c>
      <c r="E136" s="616">
        <v>0</v>
      </c>
      <c r="F136" s="616">
        <f t="shared" si="31"/>
        <v>0</v>
      </c>
      <c r="G136" s="335">
        <f t="shared" si="32"/>
        <v>1</v>
      </c>
      <c r="H136" s="323">
        <f t="shared" si="33"/>
        <v>0.5025136071712456</v>
      </c>
      <c r="I136" s="616">
        <f t="shared" si="34"/>
        <v>0</v>
      </c>
      <c r="K136" s="616">
        <v>0</v>
      </c>
      <c r="L136" s="335">
        <f t="shared" si="28"/>
        <v>1</v>
      </c>
      <c r="M136" s="323">
        <f t="shared" si="29"/>
        <v>0.5025136071712456</v>
      </c>
      <c r="N136" s="616">
        <f t="shared" si="30"/>
        <v>0</v>
      </c>
    </row>
    <row r="137" spans="1:14">
      <c r="A137" s="210">
        <f t="shared" si="21"/>
        <v>123</v>
      </c>
      <c r="B137" s="1053">
        <v>37602</v>
      </c>
      <c r="C137" s="232" t="s">
        <v>852</v>
      </c>
      <c r="D137" s="616">
        <v>0</v>
      </c>
      <c r="E137" s="616">
        <v>0</v>
      </c>
      <c r="F137" s="616">
        <f t="shared" si="31"/>
        <v>0</v>
      </c>
      <c r="G137" s="335">
        <f t="shared" si="32"/>
        <v>1</v>
      </c>
      <c r="H137" s="323">
        <f t="shared" si="33"/>
        <v>0.5025136071712456</v>
      </c>
      <c r="I137" s="616">
        <f t="shared" si="34"/>
        <v>0</v>
      </c>
      <c r="K137" s="616">
        <v>0</v>
      </c>
      <c r="L137" s="335">
        <f t="shared" si="28"/>
        <v>1</v>
      </c>
      <c r="M137" s="323">
        <f t="shared" si="29"/>
        <v>0.5025136071712456</v>
      </c>
      <c r="N137" s="616">
        <f t="shared" si="30"/>
        <v>0</v>
      </c>
    </row>
    <row r="138" spans="1:14">
      <c r="A138" s="210">
        <f t="shared" si="21"/>
        <v>124</v>
      </c>
      <c r="B138" s="1053">
        <v>37800</v>
      </c>
      <c r="C138" s="232" t="s">
        <v>230</v>
      </c>
      <c r="D138" s="616">
        <v>0</v>
      </c>
      <c r="E138" s="616">
        <v>0</v>
      </c>
      <c r="F138" s="616">
        <f t="shared" si="31"/>
        <v>0</v>
      </c>
      <c r="G138" s="335">
        <f t="shared" si="32"/>
        <v>1</v>
      </c>
      <c r="H138" s="323">
        <f t="shared" si="33"/>
        <v>0.5025136071712456</v>
      </c>
      <c r="I138" s="616">
        <f t="shared" si="34"/>
        <v>0</v>
      </c>
      <c r="K138" s="616">
        <v>0</v>
      </c>
      <c r="L138" s="335">
        <f t="shared" si="28"/>
        <v>1</v>
      </c>
      <c r="M138" s="323">
        <f t="shared" si="29"/>
        <v>0.5025136071712456</v>
      </c>
      <c r="N138" s="616">
        <f t="shared" si="30"/>
        <v>0</v>
      </c>
    </row>
    <row r="139" spans="1:14">
      <c r="A139" s="210">
        <f t="shared" si="21"/>
        <v>125</v>
      </c>
      <c r="B139" s="1053">
        <v>37900</v>
      </c>
      <c r="C139" s="232" t="s">
        <v>1200</v>
      </c>
      <c r="D139" s="616">
        <v>0</v>
      </c>
      <c r="E139" s="616">
        <v>0</v>
      </c>
      <c r="F139" s="616">
        <f t="shared" si="31"/>
        <v>0</v>
      </c>
      <c r="G139" s="335">
        <f t="shared" si="32"/>
        <v>1</v>
      </c>
      <c r="H139" s="323">
        <f t="shared" si="33"/>
        <v>0.5025136071712456</v>
      </c>
      <c r="I139" s="616">
        <f t="shared" si="34"/>
        <v>0</v>
      </c>
      <c r="K139" s="616">
        <v>0</v>
      </c>
      <c r="L139" s="335">
        <f t="shared" si="28"/>
        <v>1</v>
      </c>
      <c r="M139" s="323">
        <f t="shared" si="29"/>
        <v>0.5025136071712456</v>
      </c>
      <c r="N139" s="616">
        <f t="shared" si="30"/>
        <v>0</v>
      </c>
    </row>
    <row r="140" spans="1:14">
      <c r="A140" s="210">
        <f t="shared" si="21"/>
        <v>126</v>
      </c>
      <c r="B140" s="1053">
        <v>37905</v>
      </c>
      <c r="C140" s="232" t="s">
        <v>732</v>
      </c>
      <c r="D140" s="616">
        <v>0</v>
      </c>
      <c r="E140" s="616">
        <v>0</v>
      </c>
      <c r="F140" s="616">
        <f t="shared" si="31"/>
        <v>0</v>
      </c>
      <c r="G140" s="335">
        <f t="shared" si="32"/>
        <v>1</v>
      </c>
      <c r="H140" s="323">
        <f t="shared" si="33"/>
        <v>0.5025136071712456</v>
      </c>
      <c r="I140" s="616">
        <f t="shared" si="34"/>
        <v>0</v>
      </c>
      <c r="K140" s="616">
        <v>0</v>
      </c>
      <c r="L140" s="335">
        <f t="shared" si="28"/>
        <v>1</v>
      </c>
      <c r="M140" s="323">
        <f t="shared" si="29"/>
        <v>0.5025136071712456</v>
      </c>
      <c r="N140" s="616">
        <f t="shared" si="30"/>
        <v>0</v>
      </c>
    </row>
    <row r="141" spans="1:14">
      <c r="A141" s="210">
        <f t="shared" si="21"/>
        <v>127</v>
      </c>
      <c r="B141" s="1053">
        <v>38000</v>
      </c>
      <c r="C141" s="232" t="s">
        <v>1061</v>
      </c>
      <c r="D141" s="616">
        <v>0</v>
      </c>
      <c r="E141" s="616">
        <v>0</v>
      </c>
      <c r="F141" s="616">
        <f t="shared" si="31"/>
        <v>0</v>
      </c>
      <c r="G141" s="335">
        <f t="shared" si="32"/>
        <v>1</v>
      </c>
      <c r="H141" s="323">
        <f t="shared" si="33"/>
        <v>0.5025136071712456</v>
      </c>
      <c r="I141" s="616">
        <f t="shared" si="34"/>
        <v>0</v>
      </c>
      <c r="K141" s="616">
        <v>0</v>
      </c>
      <c r="L141" s="335">
        <f t="shared" si="28"/>
        <v>1</v>
      </c>
      <c r="M141" s="323">
        <f t="shared" si="29"/>
        <v>0.5025136071712456</v>
      </c>
      <c r="N141" s="616">
        <f t="shared" si="30"/>
        <v>0</v>
      </c>
    </row>
    <row r="142" spans="1:14">
      <c r="A142" s="210">
        <f t="shared" si="21"/>
        <v>128</v>
      </c>
      <c r="B142" s="1053">
        <v>38100</v>
      </c>
      <c r="C142" s="232" t="s">
        <v>853</v>
      </c>
      <c r="D142" s="616">
        <v>0</v>
      </c>
      <c r="E142" s="616">
        <v>0</v>
      </c>
      <c r="F142" s="616">
        <f t="shared" si="31"/>
        <v>0</v>
      </c>
      <c r="G142" s="335">
        <f t="shared" si="32"/>
        <v>1</v>
      </c>
      <c r="H142" s="323">
        <f t="shared" si="33"/>
        <v>0.5025136071712456</v>
      </c>
      <c r="I142" s="616">
        <f t="shared" si="34"/>
        <v>0</v>
      </c>
      <c r="K142" s="616">
        <v>0</v>
      </c>
      <c r="L142" s="335">
        <f t="shared" si="28"/>
        <v>1</v>
      </c>
      <c r="M142" s="323">
        <f t="shared" si="29"/>
        <v>0.5025136071712456</v>
      </c>
      <c r="N142" s="616">
        <f t="shared" si="30"/>
        <v>0</v>
      </c>
    </row>
    <row r="143" spans="1:14">
      <c r="A143" s="210">
        <f t="shared" si="21"/>
        <v>129</v>
      </c>
      <c r="B143" s="1053">
        <v>38200</v>
      </c>
      <c r="C143" s="232" t="s">
        <v>447</v>
      </c>
      <c r="D143" s="616">
        <v>0</v>
      </c>
      <c r="E143" s="616">
        <v>0</v>
      </c>
      <c r="F143" s="616">
        <f t="shared" si="31"/>
        <v>0</v>
      </c>
      <c r="G143" s="335">
        <f t="shared" si="32"/>
        <v>1</v>
      </c>
      <c r="H143" s="323">
        <f t="shared" si="33"/>
        <v>0.5025136071712456</v>
      </c>
      <c r="I143" s="616">
        <f t="shared" si="34"/>
        <v>0</v>
      </c>
      <c r="K143" s="616">
        <v>0</v>
      </c>
      <c r="L143" s="335">
        <f t="shared" si="28"/>
        <v>1</v>
      </c>
      <c r="M143" s="323">
        <f t="shared" si="29"/>
        <v>0.5025136071712456</v>
      </c>
      <c r="N143" s="616">
        <f t="shared" si="30"/>
        <v>0</v>
      </c>
    </row>
    <row r="144" spans="1:14">
      <c r="A144" s="210">
        <f t="shared" si="21"/>
        <v>130</v>
      </c>
      <c r="B144" s="1053">
        <v>38300</v>
      </c>
      <c r="C144" s="232" t="s">
        <v>1062</v>
      </c>
      <c r="D144" s="616">
        <v>0</v>
      </c>
      <c r="E144" s="616">
        <v>0</v>
      </c>
      <c r="F144" s="616">
        <f t="shared" si="31"/>
        <v>0</v>
      </c>
      <c r="G144" s="335">
        <f t="shared" si="32"/>
        <v>1</v>
      </c>
      <c r="H144" s="323">
        <f t="shared" si="33"/>
        <v>0.5025136071712456</v>
      </c>
      <c r="I144" s="616">
        <f t="shared" si="34"/>
        <v>0</v>
      </c>
      <c r="K144" s="616">
        <v>0</v>
      </c>
      <c r="L144" s="335">
        <f t="shared" si="28"/>
        <v>1</v>
      </c>
      <c r="M144" s="323">
        <f t="shared" si="29"/>
        <v>0.5025136071712456</v>
      </c>
      <c r="N144" s="616">
        <f t="shared" si="30"/>
        <v>0</v>
      </c>
    </row>
    <row r="145" spans="1:18">
      <c r="A145" s="210">
        <f t="shared" si="21"/>
        <v>131</v>
      </c>
      <c r="B145" s="1053">
        <v>38400</v>
      </c>
      <c r="C145" s="232" t="s">
        <v>448</v>
      </c>
      <c r="D145" s="616">
        <v>0</v>
      </c>
      <c r="E145" s="616">
        <v>0</v>
      </c>
      <c r="F145" s="616">
        <f t="shared" si="31"/>
        <v>0</v>
      </c>
      <c r="G145" s="335">
        <f t="shared" si="32"/>
        <v>1</v>
      </c>
      <c r="H145" s="323">
        <f t="shared" si="33"/>
        <v>0.5025136071712456</v>
      </c>
      <c r="I145" s="616">
        <f t="shared" si="34"/>
        <v>0</v>
      </c>
      <c r="K145" s="616">
        <v>0</v>
      </c>
      <c r="L145" s="335">
        <f t="shared" si="28"/>
        <v>1</v>
      </c>
      <c r="M145" s="323">
        <f t="shared" si="29"/>
        <v>0.5025136071712456</v>
      </c>
      <c r="N145" s="616">
        <f t="shared" si="30"/>
        <v>0</v>
      </c>
    </row>
    <row r="146" spans="1:18">
      <c r="A146" s="210">
        <f t="shared" si="21"/>
        <v>132</v>
      </c>
      <c r="B146" s="1053">
        <v>38500</v>
      </c>
      <c r="C146" s="232" t="s">
        <v>449</v>
      </c>
      <c r="D146" s="616">
        <v>0</v>
      </c>
      <c r="E146" s="616">
        <v>0</v>
      </c>
      <c r="F146" s="616">
        <f t="shared" si="31"/>
        <v>0</v>
      </c>
      <c r="G146" s="335">
        <f t="shared" si="32"/>
        <v>1</v>
      </c>
      <c r="H146" s="323">
        <f t="shared" si="33"/>
        <v>0.5025136071712456</v>
      </c>
      <c r="I146" s="616">
        <f t="shared" si="34"/>
        <v>0</v>
      </c>
      <c r="K146" s="616">
        <v>0</v>
      </c>
      <c r="L146" s="335">
        <f t="shared" si="28"/>
        <v>1</v>
      </c>
      <c r="M146" s="323">
        <f t="shared" si="29"/>
        <v>0.5025136071712456</v>
      </c>
      <c r="N146" s="616">
        <f t="shared" si="30"/>
        <v>0</v>
      </c>
    </row>
    <row r="147" spans="1:18">
      <c r="A147" s="210">
        <f t="shared" si="21"/>
        <v>133</v>
      </c>
      <c r="B147" s="1053">
        <v>38600</v>
      </c>
      <c r="C147" s="232" t="s">
        <v>107</v>
      </c>
      <c r="D147" s="1052">
        <v>0</v>
      </c>
      <c r="E147" s="1052">
        <v>0</v>
      </c>
      <c r="F147" s="1052">
        <f t="shared" si="31"/>
        <v>0</v>
      </c>
      <c r="G147" s="335">
        <f t="shared" si="32"/>
        <v>1</v>
      </c>
      <c r="H147" s="323">
        <f t="shared" si="33"/>
        <v>0.5025136071712456</v>
      </c>
      <c r="I147" s="1052">
        <f t="shared" si="34"/>
        <v>0</v>
      </c>
      <c r="K147" s="1052">
        <v>0</v>
      </c>
      <c r="L147" s="335">
        <f t="shared" si="28"/>
        <v>1</v>
      </c>
      <c r="M147" s="323">
        <f t="shared" si="29"/>
        <v>0.5025136071712456</v>
      </c>
      <c r="N147" s="1052">
        <f t="shared" si="30"/>
        <v>0</v>
      </c>
    </row>
    <row r="148" spans="1:18">
      <c r="A148" s="210">
        <f t="shared" si="21"/>
        <v>134</v>
      </c>
      <c r="B148" s="1054"/>
      <c r="C148" s="232"/>
      <c r="M148" s="323"/>
    </row>
    <row r="149" spans="1:18">
      <c r="A149" s="210">
        <f t="shared" si="21"/>
        <v>135</v>
      </c>
      <c r="B149" s="1054"/>
      <c r="C149" s="232" t="s">
        <v>304</v>
      </c>
      <c r="D149" s="359">
        <f>SUM(D127:D148)</f>
        <v>0</v>
      </c>
      <c r="E149" s="359">
        <f>SUM(E127:E148)</f>
        <v>0</v>
      </c>
      <c r="F149" s="359">
        <f>SUM(F127:F148)</f>
        <v>0</v>
      </c>
      <c r="I149" s="359">
        <f>SUM(I127:I148)</f>
        <v>0</v>
      </c>
      <c r="K149" s="359">
        <f>SUM(K127:K148)</f>
        <v>0</v>
      </c>
      <c r="M149" s="323"/>
      <c r="N149" s="359">
        <f>SUM(N127:N148)</f>
        <v>0</v>
      </c>
    </row>
    <row r="150" spans="1:18">
      <c r="A150" s="210">
        <f t="shared" si="21"/>
        <v>136</v>
      </c>
      <c r="B150" s="1054"/>
      <c r="C150" s="232"/>
      <c r="M150" s="323"/>
    </row>
    <row r="151" spans="1:18">
      <c r="A151" s="210">
        <f t="shared" ref="A151:A167" si="35">A150+1</f>
        <v>137</v>
      </c>
      <c r="B151" s="1054"/>
      <c r="C151" s="619" t="s">
        <v>305</v>
      </c>
      <c r="M151" s="323"/>
    </row>
    <row r="152" spans="1:18">
      <c r="A152" s="210">
        <f t="shared" si="35"/>
        <v>138</v>
      </c>
      <c r="B152" s="1053">
        <v>39001</v>
      </c>
      <c r="C152" s="232" t="s">
        <v>546</v>
      </c>
      <c r="D152" s="321">
        <f>'[3]Gross Plant'!$Q86</f>
        <v>179338.52</v>
      </c>
      <c r="E152" s="616">
        <v>0</v>
      </c>
      <c r="F152" s="616">
        <f>D152+E152</f>
        <v>179338.52</v>
      </c>
      <c r="G152" s="335">
        <f>$G$16</f>
        <v>1</v>
      </c>
      <c r="H152" s="323">
        <f>$H$121</f>
        <v>0.5025136071712456</v>
      </c>
      <c r="I152" s="616">
        <f>F152*G152*H152</f>
        <v>90120.046589952573</v>
      </c>
      <c r="K152" s="321">
        <f>'[3]Gross Plant'!$C86</f>
        <v>179338.52</v>
      </c>
      <c r="L152" s="335">
        <f t="shared" ref="L152:L172" si="36">G152</f>
        <v>1</v>
      </c>
      <c r="M152" s="323">
        <f t="shared" ref="M152:M172" si="37">H152</f>
        <v>0.5025136071712456</v>
      </c>
      <c r="N152" s="616">
        <f t="shared" ref="N152:N172" si="38">K152*L152*M152</f>
        <v>90120.046589952573</v>
      </c>
      <c r="R152" s="422"/>
    </row>
    <row r="153" spans="1:18">
      <c r="A153" s="210">
        <f t="shared" si="35"/>
        <v>139</v>
      </c>
      <c r="B153" s="1053">
        <v>39004</v>
      </c>
      <c r="C153" s="232" t="s">
        <v>450</v>
      </c>
      <c r="D153" s="321">
        <f>'[3]Gross Plant'!$Q87</f>
        <v>15383.91</v>
      </c>
      <c r="E153" s="616">
        <v>0</v>
      </c>
      <c r="F153" s="616">
        <f t="shared" ref="F153:F172" si="39">D153+E153</f>
        <v>15383.91</v>
      </c>
      <c r="G153" s="335">
        <f t="shared" ref="G153:G172" si="40">$G$16</f>
        <v>1</v>
      </c>
      <c r="H153" s="323">
        <f t="shared" ref="H153:H172" si="41">$H$121</f>
        <v>0.5025136071712456</v>
      </c>
      <c r="I153" s="616">
        <f t="shared" ref="I153:I155" si="42">F153*G153*H153</f>
        <v>7730.6241064977967</v>
      </c>
      <c r="K153" s="321">
        <f>'[3]Gross Plant'!$C87</f>
        <v>15383.910000000002</v>
      </c>
      <c r="L153" s="335">
        <f t="shared" si="36"/>
        <v>1</v>
      </c>
      <c r="M153" s="323">
        <f t="shared" si="37"/>
        <v>0.5025136071712456</v>
      </c>
      <c r="N153" s="616">
        <f t="shared" si="38"/>
        <v>7730.6241064977976</v>
      </c>
      <c r="R153" s="422"/>
    </row>
    <row r="154" spans="1:18">
      <c r="A154" s="210">
        <f t="shared" si="35"/>
        <v>140</v>
      </c>
      <c r="B154" s="1053">
        <v>39009</v>
      </c>
      <c r="C154" s="232" t="s">
        <v>1045</v>
      </c>
      <c r="D154" s="321">
        <f>'[3]Gross Plant'!$Q88</f>
        <v>38834</v>
      </c>
      <c r="E154" s="616">
        <v>0</v>
      </c>
      <c r="F154" s="616">
        <f t="shared" si="39"/>
        <v>38834</v>
      </c>
      <c r="G154" s="335">
        <f t="shared" si="40"/>
        <v>1</v>
      </c>
      <c r="H154" s="323">
        <f t="shared" si="41"/>
        <v>0.5025136071712456</v>
      </c>
      <c r="I154" s="616">
        <f t="shared" si="42"/>
        <v>19514.613420888152</v>
      </c>
      <c r="K154" s="321">
        <f>'[3]Gross Plant'!$C88</f>
        <v>38834</v>
      </c>
      <c r="L154" s="335">
        <f t="shared" si="36"/>
        <v>1</v>
      </c>
      <c r="M154" s="323">
        <f t="shared" si="37"/>
        <v>0.5025136071712456</v>
      </c>
      <c r="N154" s="616">
        <f t="shared" si="38"/>
        <v>19514.613420888152</v>
      </c>
      <c r="R154" s="422"/>
    </row>
    <row r="155" spans="1:18">
      <c r="A155" s="210">
        <f t="shared" si="35"/>
        <v>141</v>
      </c>
      <c r="B155" s="1053">
        <v>39100</v>
      </c>
      <c r="C155" s="232" t="s">
        <v>786</v>
      </c>
      <c r="D155" s="321">
        <f>'[3]Gross Plant'!$Q89</f>
        <v>41397.21</v>
      </c>
      <c r="E155" s="616">
        <v>0</v>
      </c>
      <c r="F155" s="616">
        <f t="shared" si="39"/>
        <v>41397.21</v>
      </c>
      <c r="G155" s="335">
        <f t="shared" si="40"/>
        <v>1</v>
      </c>
      <c r="H155" s="323">
        <f t="shared" si="41"/>
        <v>0.5025136071712456</v>
      </c>
      <c r="I155" s="616">
        <f t="shared" si="42"/>
        <v>20802.66132392556</v>
      </c>
      <c r="K155" s="321">
        <f>'[3]Gross Plant'!$C89</f>
        <v>41397.210000000006</v>
      </c>
      <c r="L155" s="335">
        <f t="shared" si="36"/>
        <v>1</v>
      </c>
      <c r="M155" s="323">
        <f t="shared" si="37"/>
        <v>0.5025136071712456</v>
      </c>
      <c r="N155" s="616">
        <f t="shared" si="38"/>
        <v>20802.661323925564</v>
      </c>
      <c r="R155" s="422"/>
    </row>
    <row r="156" spans="1:18">
      <c r="A156" s="210">
        <f t="shared" si="35"/>
        <v>142</v>
      </c>
      <c r="B156" s="1053">
        <v>39101</v>
      </c>
      <c r="C156" s="232" t="s">
        <v>1533</v>
      </c>
      <c r="D156" s="321">
        <f>'[3]Gross Plant'!$Q90</f>
        <v>0</v>
      </c>
      <c r="E156" s="616">
        <v>0</v>
      </c>
      <c r="F156" s="616">
        <f t="shared" si="39"/>
        <v>0</v>
      </c>
      <c r="G156" s="335">
        <f t="shared" si="40"/>
        <v>1</v>
      </c>
      <c r="H156" s="323">
        <f t="shared" si="41"/>
        <v>0.5025136071712456</v>
      </c>
      <c r="I156" s="616">
        <f t="shared" ref="I156:I172" si="43">F156*G156*H156</f>
        <v>0</v>
      </c>
      <c r="K156" s="321">
        <f>'[3]Gross Plant'!$C90</f>
        <v>0</v>
      </c>
      <c r="L156" s="335">
        <f t="shared" ref="L156:L168" si="44">G156</f>
        <v>1</v>
      </c>
      <c r="M156" s="323">
        <f t="shared" ref="M156:M168" si="45">H156</f>
        <v>0.5025136071712456</v>
      </c>
      <c r="N156" s="616">
        <f t="shared" ref="N156:N168" si="46">K156*L156*M156</f>
        <v>0</v>
      </c>
      <c r="R156" s="422"/>
    </row>
    <row r="157" spans="1:18">
      <c r="A157" s="210">
        <f t="shared" si="35"/>
        <v>143</v>
      </c>
      <c r="B157" s="1053">
        <v>39103</v>
      </c>
      <c r="C157" s="232" t="s">
        <v>787</v>
      </c>
      <c r="D157" s="321">
        <f>'[3]Gross Plant'!$Q91</f>
        <v>0</v>
      </c>
      <c r="E157" s="616">
        <v>0</v>
      </c>
      <c r="F157" s="616">
        <f t="shared" si="39"/>
        <v>0</v>
      </c>
      <c r="G157" s="335">
        <f t="shared" si="40"/>
        <v>1</v>
      </c>
      <c r="H157" s="323">
        <f t="shared" si="41"/>
        <v>0.5025136071712456</v>
      </c>
      <c r="I157" s="616">
        <f t="shared" si="43"/>
        <v>0</v>
      </c>
      <c r="K157" s="321">
        <f>'[3]Gross Plant'!$C91</f>
        <v>0</v>
      </c>
      <c r="L157" s="335">
        <f t="shared" si="44"/>
        <v>1</v>
      </c>
      <c r="M157" s="323">
        <f t="shared" si="45"/>
        <v>0.5025136071712456</v>
      </c>
      <c r="N157" s="616">
        <f t="shared" si="46"/>
        <v>0</v>
      </c>
      <c r="R157" s="422"/>
    </row>
    <row r="158" spans="1:18">
      <c r="A158" s="210">
        <f t="shared" si="35"/>
        <v>144</v>
      </c>
      <c r="B158" s="1053">
        <v>39200</v>
      </c>
      <c r="C158" s="232" t="s">
        <v>1085</v>
      </c>
      <c r="D158" s="321">
        <f>'[3]Gross Plant'!$Q92</f>
        <v>27284.69</v>
      </c>
      <c r="E158" s="616">
        <v>0</v>
      </c>
      <c r="F158" s="616">
        <f t="shared" si="39"/>
        <v>27284.69</v>
      </c>
      <c r="G158" s="335">
        <f t="shared" si="40"/>
        <v>1</v>
      </c>
      <c r="H158" s="323">
        <f t="shared" si="41"/>
        <v>0.5025136071712456</v>
      </c>
      <c r="I158" s="616">
        <f t="shared" si="43"/>
        <v>13710.927992449213</v>
      </c>
      <c r="K158" s="321">
        <f>'[3]Gross Plant'!$C92</f>
        <v>27284.69</v>
      </c>
      <c r="L158" s="335">
        <f t="shared" si="44"/>
        <v>1</v>
      </c>
      <c r="M158" s="323">
        <f t="shared" si="45"/>
        <v>0.5025136071712456</v>
      </c>
      <c r="N158" s="616">
        <f t="shared" si="46"/>
        <v>13710.927992449213</v>
      </c>
      <c r="R158" s="422"/>
    </row>
    <row r="159" spans="1:18">
      <c r="A159" s="210">
        <f t="shared" si="35"/>
        <v>145</v>
      </c>
      <c r="B159" s="1053">
        <v>39300</v>
      </c>
      <c r="C159" s="232" t="s">
        <v>655</v>
      </c>
      <c r="D159" s="321">
        <f>'[3]Gross Plant'!$Q93</f>
        <v>0</v>
      </c>
      <c r="E159" s="616">
        <v>0</v>
      </c>
      <c r="F159" s="616">
        <f t="shared" si="39"/>
        <v>0</v>
      </c>
      <c r="G159" s="335">
        <f t="shared" si="40"/>
        <v>1</v>
      </c>
      <c r="H159" s="323">
        <f t="shared" si="41"/>
        <v>0.5025136071712456</v>
      </c>
      <c r="I159" s="616">
        <f t="shared" si="43"/>
        <v>0</v>
      </c>
      <c r="K159" s="321">
        <f>'[3]Gross Plant'!$C93</f>
        <v>0</v>
      </c>
      <c r="L159" s="335">
        <f t="shared" si="44"/>
        <v>1</v>
      </c>
      <c r="M159" s="323">
        <f t="shared" si="45"/>
        <v>0.5025136071712456</v>
      </c>
      <c r="N159" s="616">
        <f t="shared" si="46"/>
        <v>0</v>
      </c>
      <c r="R159" s="422"/>
    </row>
    <row r="160" spans="1:18">
      <c r="A160" s="210">
        <f t="shared" si="35"/>
        <v>146</v>
      </c>
      <c r="B160" s="1053">
        <v>39400</v>
      </c>
      <c r="C160" s="232" t="s">
        <v>1044</v>
      </c>
      <c r="D160" s="321">
        <f>'[3]Gross Plant'!$Q94</f>
        <v>175867.44</v>
      </c>
      <c r="E160" s="616">
        <v>0</v>
      </c>
      <c r="F160" s="616">
        <f t="shared" si="39"/>
        <v>175867.44</v>
      </c>
      <c r="G160" s="335">
        <f t="shared" si="40"/>
        <v>1</v>
      </c>
      <c r="H160" s="323">
        <f t="shared" si="41"/>
        <v>0.5025136071712456</v>
      </c>
      <c r="I160" s="616">
        <f t="shared" si="43"/>
        <v>88375.781658372609</v>
      </c>
      <c r="K160" s="321">
        <f>'[3]Gross Plant'!$C94</f>
        <v>172787.49461538458</v>
      </c>
      <c r="L160" s="335">
        <f t="shared" si="44"/>
        <v>1</v>
      </c>
      <c r="M160" s="323">
        <f t="shared" si="45"/>
        <v>0.5025136071712456</v>
      </c>
      <c r="N160" s="616">
        <f t="shared" si="46"/>
        <v>86828.067193259078</v>
      </c>
      <c r="R160" s="422"/>
    </row>
    <row r="161" spans="1:18">
      <c r="A161" s="210">
        <f t="shared" si="35"/>
        <v>147</v>
      </c>
      <c r="B161" s="1053">
        <v>39600</v>
      </c>
      <c r="C161" s="232" t="s">
        <v>547</v>
      </c>
      <c r="D161" s="321">
        <f>'[3]Gross Plant'!$Q95</f>
        <v>20515.689999999999</v>
      </c>
      <c r="E161" s="616">
        <v>0</v>
      </c>
      <c r="F161" s="616">
        <f t="shared" si="39"/>
        <v>20515.689999999999</v>
      </c>
      <c r="G161" s="335">
        <f t="shared" si="40"/>
        <v>1</v>
      </c>
      <c r="H161" s="323">
        <f t="shared" si="41"/>
        <v>0.5025136071712456</v>
      </c>
      <c r="I161" s="616">
        <f t="shared" si="43"/>
        <v>10309.41338550705</v>
      </c>
      <c r="K161" s="321">
        <f>'[3]Gross Plant'!$C95</f>
        <v>20515.689999999999</v>
      </c>
      <c r="L161" s="335">
        <f t="shared" si="44"/>
        <v>1</v>
      </c>
      <c r="M161" s="323">
        <f t="shared" si="45"/>
        <v>0.5025136071712456</v>
      </c>
      <c r="N161" s="616">
        <f t="shared" si="46"/>
        <v>10309.41338550705</v>
      </c>
      <c r="R161" s="422"/>
    </row>
    <row r="162" spans="1:18">
      <c r="A162" s="210">
        <f t="shared" si="35"/>
        <v>148</v>
      </c>
      <c r="B162" s="1053">
        <v>39700</v>
      </c>
      <c r="C162" s="232" t="s">
        <v>445</v>
      </c>
      <c r="D162" s="321">
        <f>'[3]Gross Plant'!$Q96</f>
        <v>37541</v>
      </c>
      <c r="E162" s="616">
        <v>0</v>
      </c>
      <c r="F162" s="616">
        <f t="shared" si="39"/>
        <v>37541</v>
      </c>
      <c r="G162" s="335">
        <f t="shared" si="40"/>
        <v>1</v>
      </c>
      <c r="H162" s="323">
        <f t="shared" si="41"/>
        <v>0.5025136071712456</v>
      </c>
      <c r="I162" s="616">
        <f t="shared" si="43"/>
        <v>18864.863326815732</v>
      </c>
      <c r="K162" s="321">
        <f>'[3]Gross Plant'!$C96</f>
        <v>34653.230769230766</v>
      </c>
      <c r="L162" s="335">
        <f t="shared" si="44"/>
        <v>1</v>
      </c>
      <c r="M162" s="323">
        <f t="shared" si="45"/>
        <v>0.5025136071712456</v>
      </c>
      <c r="N162" s="616">
        <f t="shared" si="46"/>
        <v>17413.719993983752</v>
      </c>
      <c r="R162" s="422"/>
    </row>
    <row r="163" spans="1:18">
      <c r="A163" s="210">
        <f t="shared" si="35"/>
        <v>149</v>
      </c>
      <c r="B163" s="1053">
        <v>39701</v>
      </c>
      <c r="C163" s="232" t="s">
        <v>1530</v>
      </c>
      <c r="D163" s="321">
        <f>'[3]Gross Plant'!$Q97</f>
        <v>0</v>
      </c>
      <c r="E163" s="616">
        <v>0</v>
      </c>
      <c r="F163" s="616">
        <f t="shared" si="39"/>
        <v>0</v>
      </c>
      <c r="G163" s="335">
        <f t="shared" si="40"/>
        <v>1</v>
      </c>
      <c r="H163" s="323">
        <f t="shared" si="41"/>
        <v>0.5025136071712456</v>
      </c>
      <c r="I163" s="616">
        <f t="shared" si="43"/>
        <v>0</v>
      </c>
      <c r="K163" s="321">
        <f>'[3]Gross Plant'!$C97</f>
        <v>0</v>
      </c>
      <c r="L163" s="335">
        <f t="shared" si="44"/>
        <v>1</v>
      </c>
      <c r="M163" s="323">
        <f t="shared" si="45"/>
        <v>0.5025136071712456</v>
      </c>
      <c r="N163" s="616">
        <f t="shared" si="46"/>
        <v>0</v>
      </c>
      <c r="R163" s="422"/>
    </row>
    <row r="164" spans="1:18">
      <c r="A164" s="210">
        <f t="shared" si="35"/>
        <v>150</v>
      </c>
      <c r="B164" s="1053">
        <v>39702</v>
      </c>
      <c r="C164" s="232" t="s">
        <v>1530</v>
      </c>
      <c r="D164" s="321">
        <f>'[3]Gross Plant'!$Q98</f>
        <v>0</v>
      </c>
      <c r="E164" s="616">
        <v>0</v>
      </c>
      <c r="F164" s="616">
        <f t="shared" si="39"/>
        <v>0</v>
      </c>
      <c r="G164" s="335">
        <f t="shared" si="40"/>
        <v>1</v>
      </c>
      <c r="H164" s="323">
        <f t="shared" si="41"/>
        <v>0.5025136071712456</v>
      </c>
      <c r="I164" s="616">
        <f t="shared" si="43"/>
        <v>0</v>
      </c>
      <c r="K164" s="321">
        <f>'[3]Gross Plant'!$C98</f>
        <v>0</v>
      </c>
      <c r="L164" s="335">
        <f t="shared" si="44"/>
        <v>1</v>
      </c>
      <c r="M164" s="323">
        <f t="shared" si="45"/>
        <v>0.5025136071712456</v>
      </c>
      <c r="N164" s="616">
        <f t="shared" si="46"/>
        <v>0</v>
      </c>
      <c r="R164" s="422"/>
    </row>
    <row r="165" spans="1:18">
      <c r="A165" s="210">
        <f t="shared" si="35"/>
        <v>151</v>
      </c>
      <c r="B165" s="1053">
        <v>39800</v>
      </c>
      <c r="C165" s="232" t="s">
        <v>656</v>
      </c>
      <c r="D165" s="321">
        <f>'[3]Gross Plant'!$Q99</f>
        <v>814166.88</v>
      </c>
      <c r="E165" s="616">
        <v>0</v>
      </c>
      <c r="F165" s="616">
        <f t="shared" si="39"/>
        <v>814166.88</v>
      </c>
      <c r="G165" s="335">
        <f t="shared" si="40"/>
        <v>1</v>
      </c>
      <c r="H165" s="323">
        <f t="shared" si="41"/>
        <v>0.5025136071712456</v>
      </c>
      <c r="I165" s="616">
        <f t="shared" si="43"/>
        <v>409129.93570815865</v>
      </c>
      <c r="K165" s="321">
        <f>'[3]Gross Plant'!$C99</f>
        <v>814166.88000000012</v>
      </c>
      <c r="L165" s="335">
        <f t="shared" si="44"/>
        <v>1</v>
      </c>
      <c r="M165" s="323">
        <f t="shared" si="45"/>
        <v>0.5025136071712456</v>
      </c>
      <c r="N165" s="616">
        <f t="shared" si="46"/>
        <v>409129.93570815871</v>
      </c>
      <c r="R165" s="422"/>
    </row>
    <row r="166" spans="1:18">
      <c r="A166" s="210">
        <f t="shared" si="35"/>
        <v>152</v>
      </c>
      <c r="B166" s="1053">
        <v>39900</v>
      </c>
      <c r="C166" s="232" t="s">
        <v>1162</v>
      </c>
      <c r="D166" s="321">
        <f>'[3]Gross Plant'!$Q100</f>
        <v>0</v>
      </c>
      <c r="E166" s="616">
        <v>0</v>
      </c>
      <c r="F166" s="616">
        <f t="shared" si="39"/>
        <v>0</v>
      </c>
      <c r="G166" s="335">
        <f t="shared" si="40"/>
        <v>1</v>
      </c>
      <c r="H166" s="323">
        <f t="shared" si="41"/>
        <v>0.5025136071712456</v>
      </c>
      <c r="I166" s="616">
        <f t="shared" si="43"/>
        <v>0</v>
      </c>
      <c r="K166" s="321">
        <f>'[3]Gross Plant'!$C100</f>
        <v>0</v>
      </c>
      <c r="L166" s="335">
        <f t="shared" si="44"/>
        <v>1</v>
      </c>
      <c r="M166" s="323">
        <f t="shared" si="45"/>
        <v>0.5025136071712456</v>
      </c>
      <c r="N166" s="616">
        <f t="shared" si="46"/>
        <v>0</v>
      </c>
      <c r="R166" s="422"/>
    </row>
    <row r="167" spans="1:18">
      <c r="A167" s="210">
        <f t="shared" si="35"/>
        <v>153</v>
      </c>
      <c r="B167" s="1053">
        <v>39901</v>
      </c>
      <c r="C167" s="232" t="s">
        <v>479</v>
      </c>
      <c r="D167" s="321">
        <f>'[3]Gross Plant'!$Q101</f>
        <v>0</v>
      </c>
      <c r="E167" s="616">
        <v>0</v>
      </c>
      <c r="F167" s="616">
        <f t="shared" si="39"/>
        <v>0</v>
      </c>
      <c r="G167" s="335">
        <f t="shared" si="40"/>
        <v>1</v>
      </c>
      <c r="H167" s="323">
        <f t="shared" si="41"/>
        <v>0.5025136071712456</v>
      </c>
      <c r="I167" s="616">
        <f t="shared" si="43"/>
        <v>0</v>
      </c>
      <c r="K167" s="321">
        <f>'[3]Gross Plant'!$C101</f>
        <v>0</v>
      </c>
      <c r="L167" s="335">
        <f t="shared" si="44"/>
        <v>1</v>
      </c>
      <c r="M167" s="323">
        <f t="shared" si="45"/>
        <v>0.5025136071712456</v>
      </c>
      <c r="N167" s="616">
        <f t="shared" si="46"/>
        <v>0</v>
      </c>
      <c r="R167" s="422"/>
    </row>
    <row r="168" spans="1:18">
      <c r="A168" s="210">
        <f t="shared" ref="A168:A236" si="47">A167+1</f>
        <v>154</v>
      </c>
      <c r="B168" s="1053">
        <v>39902</v>
      </c>
      <c r="C168" s="232" t="s">
        <v>968</v>
      </c>
      <c r="D168" s="321">
        <f>'[3]Gross Plant'!$Q102</f>
        <v>0</v>
      </c>
      <c r="E168" s="616">
        <v>0</v>
      </c>
      <c r="F168" s="616">
        <f t="shared" si="39"/>
        <v>0</v>
      </c>
      <c r="G168" s="335">
        <f t="shared" si="40"/>
        <v>1</v>
      </c>
      <c r="H168" s="323">
        <f t="shared" si="41"/>
        <v>0.5025136071712456</v>
      </c>
      <c r="I168" s="616">
        <f t="shared" si="43"/>
        <v>0</v>
      </c>
      <c r="K168" s="321">
        <f>'[3]Gross Plant'!$C102</f>
        <v>0</v>
      </c>
      <c r="L168" s="335">
        <f t="shared" si="44"/>
        <v>1</v>
      </c>
      <c r="M168" s="323">
        <f t="shared" si="45"/>
        <v>0.5025136071712456</v>
      </c>
      <c r="N168" s="616">
        <f t="shared" si="46"/>
        <v>0</v>
      </c>
      <c r="R168" s="422"/>
    </row>
    <row r="169" spans="1:18">
      <c r="A169" s="210">
        <f t="shared" si="47"/>
        <v>155</v>
      </c>
      <c r="B169" s="1053">
        <v>39903</v>
      </c>
      <c r="C169" s="232" t="s">
        <v>1011</v>
      </c>
      <c r="D169" s="321">
        <f>'[3]Gross Plant'!$Q103</f>
        <v>0</v>
      </c>
      <c r="E169" s="616">
        <v>0</v>
      </c>
      <c r="F169" s="616">
        <f t="shared" si="39"/>
        <v>0</v>
      </c>
      <c r="G169" s="335">
        <f t="shared" si="40"/>
        <v>1</v>
      </c>
      <c r="H169" s="323">
        <f t="shared" si="41"/>
        <v>0.5025136071712456</v>
      </c>
      <c r="I169" s="616">
        <f t="shared" si="43"/>
        <v>0</v>
      </c>
      <c r="K169" s="321">
        <f>'[3]Gross Plant'!$C103</f>
        <v>0</v>
      </c>
      <c r="L169" s="335">
        <f t="shared" si="36"/>
        <v>1</v>
      </c>
      <c r="M169" s="323">
        <f t="shared" si="37"/>
        <v>0.5025136071712456</v>
      </c>
      <c r="N169" s="616">
        <f t="shared" si="38"/>
        <v>0</v>
      </c>
      <c r="R169" s="422"/>
    </row>
    <row r="170" spans="1:18">
      <c r="A170" s="210">
        <f t="shared" si="47"/>
        <v>156</v>
      </c>
      <c r="B170" s="1053">
        <v>39906</v>
      </c>
      <c r="C170" s="232" t="s">
        <v>456</v>
      </c>
      <c r="D170" s="321">
        <f>'[3]Gross Plant'!$Q104</f>
        <v>74189.619999999966</v>
      </c>
      <c r="E170" s="616">
        <v>0</v>
      </c>
      <c r="F170" s="616">
        <f t="shared" si="39"/>
        <v>74189.619999999966</v>
      </c>
      <c r="G170" s="335">
        <f t="shared" si="40"/>
        <v>1</v>
      </c>
      <c r="H170" s="323">
        <f t="shared" si="41"/>
        <v>0.5025136071712456</v>
      </c>
      <c r="I170" s="616">
        <f t="shared" si="43"/>
        <v>37281.293560863967</v>
      </c>
      <c r="K170" s="321">
        <f>'[3]Gross Plant'!$C104</f>
        <v>74189.619999999981</v>
      </c>
      <c r="L170" s="335">
        <f t="shared" si="36"/>
        <v>1</v>
      </c>
      <c r="M170" s="323">
        <f t="shared" si="37"/>
        <v>0.5025136071712456</v>
      </c>
      <c r="N170" s="616">
        <f t="shared" si="38"/>
        <v>37281.293560863975</v>
      </c>
      <c r="R170" s="422"/>
    </row>
    <row r="171" spans="1:18">
      <c r="A171" s="210">
        <f t="shared" si="47"/>
        <v>157</v>
      </c>
      <c r="B171" s="1053">
        <v>39907</v>
      </c>
      <c r="C171" s="232" t="s">
        <v>510</v>
      </c>
      <c r="D171" s="321">
        <f>'[3]Gross Plant'!$Q105</f>
        <v>35063.769999999997</v>
      </c>
      <c r="E171" s="616">
        <v>0</v>
      </c>
      <c r="F171" s="616">
        <f t="shared" si="39"/>
        <v>35063.769999999997</v>
      </c>
      <c r="G171" s="335">
        <f t="shared" si="40"/>
        <v>1</v>
      </c>
      <c r="H171" s="323">
        <f t="shared" si="41"/>
        <v>0.5025136071712456</v>
      </c>
      <c r="I171" s="616">
        <f t="shared" si="43"/>
        <v>17620.021543722905</v>
      </c>
      <c r="K171" s="321">
        <f>'[3]Gross Plant'!$C105</f>
        <v>35063.770000000004</v>
      </c>
      <c r="L171" s="335">
        <f t="shared" si="36"/>
        <v>1</v>
      </c>
      <c r="M171" s="323">
        <f t="shared" si="37"/>
        <v>0.5025136071712456</v>
      </c>
      <c r="N171" s="616">
        <f t="shared" si="38"/>
        <v>17620.021543722909</v>
      </c>
      <c r="R171" s="422"/>
    </row>
    <row r="172" spans="1:18">
      <c r="A172" s="210">
        <f t="shared" si="47"/>
        <v>158</v>
      </c>
      <c r="B172" s="1053">
        <v>39908</v>
      </c>
      <c r="C172" s="232" t="s">
        <v>180</v>
      </c>
      <c r="D172" s="321">
        <f>'[3]Gross Plant'!$Q106</f>
        <v>828509.36</v>
      </c>
      <c r="E172" s="1052">
        <v>0</v>
      </c>
      <c r="F172" s="1052">
        <f t="shared" si="39"/>
        <v>828509.36</v>
      </c>
      <c r="G172" s="335">
        <f t="shared" si="40"/>
        <v>1</v>
      </c>
      <c r="H172" s="323">
        <f t="shared" si="41"/>
        <v>0.5025136071712456</v>
      </c>
      <c r="I172" s="616">
        <f t="shared" si="43"/>
        <v>416337.22706874012</v>
      </c>
      <c r="K172" s="321">
        <f>'[3]Gross Plant'!$C106</f>
        <v>828509.36</v>
      </c>
      <c r="L172" s="335">
        <f t="shared" si="36"/>
        <v>1</v>
      </c>
      <c r="M172" s="323">
        <f t="shared" si="37"/>
        <v>0.5025136071712456</v>
      </c>
      <c r="N172" s="1052">
        <f t="shared" si="38"/>
        <v>416337.22706874012</v>
      </c>
      <c r="R172" s="422"/>
    </row>
    <row r="173" spans="1:18">
      <c r="A173" s="210">
        <f t="shared" si="47"/>
        <v>159</v>
      </c>
      <c r="B173" s="1054"/>
      <c r="C173" s="232"/>
      <c r="D173" s="618"/>
      <c r="E173" s="618"/>
      <c r="F173" s="618"/>
      <c r="I173" s="618"/>
      <c r="K173" s="618"/>
      <c r="N173" s="618"/>
    </row>
    <row r="174" spans="1:18">
      <c r="A174" s="210">
        <f t="shared" si="47"/>
        <v>160</v>
      </c>
      <c r="B174" s="1054"/>
      <c r="C174" s="232" t="s">
        <v>4</v>
      </c>
      <c r="D174" s="359">
        <f>SUM(D152:D173)</f>
        <v>2288092.09</v>
      </c>
      <c r="E174" s="359">
        <f>SUM(E152:E173)</f>
        <v>0</v>
      </c>
      <c r="F174" s="359">
        <f>SUM(F152:F173)</f>
        <v>2288092.09</v>
      </c>
      <c r="I174" s="321">
        <f>SUM(I152:I173)</f>
        <v>1149797.4096858944</v>
      </c>
      <c r="K174" s="321">
        <f>SUM(K152:K173)</f>
        <v>2282124.3753846153</v>
      </c>
      <c r="N174" s="321">
        <f>SUM(N152:N173)</f>
        <v>1146798.5518879488</v>
      </c>
    </row>
    <row r="175" spans="1:18">
      <c r="A175" s="210">
        <f t="shared" si="47"/>
        <v>161</v>
      </c>
      <c r="B175" s="1054"/>
      <c r="C175" s="232"/>
    </row>
    <row r="176" spans="1:18" ht="15.75" thickBot="1">
      <c r="A176" s="210">
        <f t="shared" si="47"/>
        <v>162</v>
      </c>
      <c r="B176" s="1054"/>
      <c r="C176" s="232" t="s">
        <v>1337</v>
      </c>
      <c r="D176" s="1016">
        <f>D124+D149+D174</f>
        <v>3582953.04</v>
      </c>
      <c r="E176" s="1016">
        <f>E124+E149+E174</f>
        <v>0</v>
      </c>
      <c r="F176" s="1016">
        <f>F124+F149+F174</f>
        <v>3582953.04</v>
      </c>
      <c r="I176" s="1016">
        <f>I124+I149+I174</f>
        <v>1800482.6564555801</v>
      </c>
      <c r="K176" s="1016">
        <f>K124+K149+K174</f>
        <v>3576985.325384615</v>
      </c>
      <c r="N176" s="1016">
        <f>N124+N149+N174</f>
        <v>1797483.7986576348</v>
      </c>
    </row>
    <row r="177" spans="1:18" ht="15.75" thickTop="1">
      <c r="A177" s="210">
        <f t="shared" si="47"/>
        <v>163</v>
      </c>
      <c r="B177" s="1054"/>
      <c r="C177" s="232"/>
      <c r="D177" s="321"/>
      <c r="E177" s="321"/>
      <c r="F177" s="321"/>
      <c r="I177" s="321"/>
    </row>
    <row r="178" spans="1:18">
      <c r="A178" s="210">
        <f t="shared" si="47"/>
        <v>164</v>
      </c>
      <c r="B178" s="1054"/>
      <c r="C178" s="196" t="s">
        <v>756</v>
      </c>
      <c r="D178" s="321">
        <f>'[3]Gross Plant'!$Q$212</f>
        <v>-10502.07</v>
      </c>
      <c r="E178" s="321">
        <v>0</v>
      </c>
      <c r="F178" s="321">
        <f>D178+E178</f>
        <v>-10502.07</v>
      </c>
      <c r="G178" s="335">
        <f>$G$16</f>
        <v>1</v>
      </c>
      <c r="H178" s="323">
        <f>$H$121</f>
        <v>0.5025136071712456</v>
      </c>
      <c r="I178" s="321">
        <f>F178*G178*H178</f>
        <v>-5277.4330784649228</v>
      </c>
      <c r="K178" s="321">
        <f>'[3]Gross Plant'!$C$212</f>
        <v>-3344.0230769230757</v>
      </c>
      <c r="L178" s="335">
        <f>G178</f>
        <v>1</v>
      </c>
      <c r="M178" s="323">
        <f>H178</f>
        <v>0.5025136071712456</v>
      </c>
      <c r="N178" s="321">
        <f>K178*L178*M178</f>
        <v>-1680.4170988485025</v>
      </c>
    </row>
    <row r="179" spans="1:18">
      <c r="A179" s="210">
        <f t="shared" si="47"/>
        <v>165</v>
      </c>
      <c r="B179" s="1054"/>
    </row>
    <row r="180" spans="1:18" ht="15.75">
      <c r="A180" s="210">
        <f t="shared" si="47"/>
        <v>166</v>
      </c>
      <c r="B180" s="1050" t="s">
        <v>8</v>
      </c>
    </row>
    <row r="181" spans="1:18">
      <c r="A181" s="210">
        <f t="shared" si="47"/>
        <v>167</v>
      </c>
      <c r="B181" s="1054"/>
      <c r="H181" s="323"/>
    </row>
    <row r="182" spans="1:18">
      <c r="A182" s="210">
        <f t="shared" si="47"/>
        <v>168</v>
      </c>
      <c r="B182" s="1054"/>
      <c r="C182" s="619" t="s">
        <v>305</v>
      </c>
    </row>
    <row r="183" spans="1:18" ht="14.25" customHeight="1">
      <c r="A183" s="210">
        <f t="shared" si="47"/>
        <v>169</v>
      </c>
      <c r="B183" s="1053">
        <v>39000</v>
      </c>
      <c r="C183" s="232" t="s">
        <v>863</v>
      </c>
      <c r="D183" s="321">
        <f>'[3]Gross Plant'!$Q7</f>
        <v>1411420.9444197712</v>
      </c>
      <c r="E183" s="359">
        <v>0</v>
      </c>
      <c r="F183" s="359">
        <f>D183+E183</f>
        <v>1411420.9444197712</v>
      </c>
      <c r="G183" s="323">
        <f>Allocation!$G$14</f>
        <v>0.10349999999999999</v>
      </c>
      <c r="H183" s="323">
        <f>Allocation!$H$14</f>
        <v>0.5025136071712456</v>
      </c>
      <c r="I183" s="359">
        <f>F183*G183*H183</f>
        <v>73408.226806803519</v>
      </c>
      <c r="K183" s="321">
        <f>'[3]Gross Plant'!$C7</f>
        <v>1636435.493973881</v>
      </c>
      <c r="L183" s="323">
        <f>G183</f>
        <v>0.10349999999999999</v>
      </c>
      <c r="M183" s="323">
        <f>H183</f>
        <v>0.5025136071712456</v>
      </c>
      <c r="N183" s="359">
        <f>K183*L183*M183</f>
        <v>85111.269158416966</v>
      </c>
      <c r="R183" s="422"/>
    </row>
    <row r="184" spans="1:18">
      <c r="A184" s="210">
        <f t="shared" si="47"/>
        <v>170</v>
      </c>
      <c r="B184" s="1053">
        <v>39005</v>
      </c>
      <c r="C184" s="232" t="s">
        <v>1206</v>
      </c>
      <c r="D184" s="321">
        <f>'[3]Gross Plant'!$Q8</f>
        <v>9133014.5899999999</v>
      </c>
      <c r="E184" s="620">
        <v>0</v>
      </c>
      <c r="F184" s="616">
        <f>D184+E184</f>
        <v>9133014.5899999999</v>
      </c>
      <c r="G184" s="465">
        <v>1</v>
      </c>
      <c r="H184" s="465">
        <f>Allocation!$I$20</f>
        <v>1.550753E-2</v>
      </c>
      <c r="I184" s="616">
        <f>F184*G184*H184</f>
        <v>141630.49774486269</v>
      </c>
      <c r="K184" s="321">
        <f>'[3]Gross Plant'!$C8</f>
        <v>9133014.5900000017</v>
      </c>
      <c r="L184" s="323">
        <f>G184</f>
        <v>1</v>
      </c>
      <c r="M184" s="323">
        <f t="shared" ref="M184:M218" si="48">H184</f>
        <v>1.550753E-2</v>
      </c>
      <c r="N184" s="616">
        <f t="shared" ref="N184:N220" si="49">K184*L184*M184</f>
        <v>141630.49774486272</v>
      </c>
      <c r="R184" s="422"/>
    </row>
    <row r="185" spans="1:18">
      <c r="A185" s="210">
        <f t="shared" si="47"/>
        <v>171</v>
      </c>
      <c r="B185" s="1053">
        <v>39009</v>
      </c>
      <c r="C185" s="232" t="s">
        <v>1045</v>
      </c>
      <c r="D185" s="321">
        <f>'[3]Gross Plant'!$Q9</f>
        <v>9490592.8250148408</v>
      </c>
      <c r="E185" s="620">
        <v>0</v>
      </c>
      <c r="F185" s="616">
        <f t="shared" ref="F185:F220" si="50">D185+E185</f>
        <v>9490592.8250148408</v>
      </c>
      <c r="G185" s="323">
        <f>G183</f>
        <v>0.10349999999999999</v>
      </c>
      <c r="H185" s="323">
        <f>H183</f>
        <v>0.5025136071712456</v>
      </c>
      <c r="I185" s="616">
        <f t="shared" ref="I185:I220" si="51">F185*G185*H185</f>
        <v>493607.2355905961</v>
      </c>
      <c r="K185" s="321">
        <f>'[3]Gross Plant'!$C9</f>
        <v>9332933.2638449538</v>
      </c>
      <c r="L185" s="323">
        <f t="shared" ref="L185:L215" si="52">G185</f>
        <v>0.10349999999999999</v>
      </c>
      <c r="M185" s="323">
        <f t="shared" si="48"/>
        <v>0.5025136071712456</v>
      </c>
      <c r="N185" s="616">
        <f t="shared" si="49"/>
        <v>485407.33684998471</v>
      </c>
      <c r="R185" s="422"/>
    </row>
    <row r="186" spans="1:18">
      <c r="A186" s="210">
        <f t="shared" si="47"/>
        <v>172</v>
      </c>
      <c r="B186" s="1053">
        <v>39020</v>
      </c>
      <c r="C186" s="232" t="s">
        <v>1534</v>
      </c>
      <c r="D186" s="321">
        <f>'[3]Gross Plant'!$Q10</f>
        <v>0</v>
      </c>
      <c r="E186" s="620">
        <v>0</v>
      </c>
      <c r="F186" s="616">
        <f t="shared" si="50"/>
        <v>0</v>
      </c>
      <c r="G186" s="323">
        <f t="shared" ref="G186" si="53">G184</f>
        <v>1</v>
      </c>
      <c r="H186" s="323">
        <f>Allocation!E22</f>
        <v>6.437198999999999E-2</v>
      </c>
      <c r="I186" s="616">
        <f t="shared" si="51"/>
        <v>0</v>
      </c>
      <c r="K186" s="321">
        <f>'[3]Gross Plant'!$C10</f>
        <v>0</v>
      </c>
      <c r="L186" s="323">
        <f t="shared" ref="L186:L187" si="54">G186</f>
        <v>1</v>
      </c>
      <c r="M186" s="323">
        <f t="shared" si="48"/>
        <v>6.437198999999999E-2</v>
      </c>
      <c r="N186" s="616">
        <f t="shared" si="49"/>
        <v>0</v>
      </c>
      <c r="R186" s="422"/>
    </row>
    <row r="187" spans="1:18">
      <c r="A187" s="210">
        <f t="shared" si="47"/>
        <v>173</v>
      </c>
      <c r="B187" s="1053">
        <v>39029</v>
      </c>
      <c r="C187" s="232" t="s">
        <v>1535</v>
      </c>
      <c r="D187" s="321">
        <f>'[3]Gross Plant'!$Q11</f>
        <v>0</v>
      </c>
      <c r="E187" s="620">
        <v>0</v>
      </c>
      <c r="F187" s="616">
        <f t="shared" si="50"/>
        <v>0</v>
      </c>
      <c r="G187" s="323">
        <f t="shared" ref="G187" si="55">G185</f>
        <v>0.10349999999999999</v>
      </c>
      <c r="H187" s="323">
        <f>H186</f>
        <v>6.437198999999999E-2</v>
      </c>
      <c r="I187" s="616">
        <f t="shared" si="51"/>
        <v>0</v>
      </c>
      <c r="K187" s="321">
        <f>'[3]Gross Plant'!$C11</f>
        <v>0</v>
      </c>
      <c r="L187" s="323">
        <f t="shared" si="54"/>
        <v>0.10349999999999999</v>
      </c>
      <c r="M187" s="323">
        <f t="shared" si="48"/>
        <v>6.437198999999999E-2</v>
      </c>
      <c r="N187" s="616">
        <f t="shared" si="49"/>
        <v>0</v>
      </c>
      <c r="R187" s="422"/>
    </row>
    <row r="188" spans="1:18">
      <c r="A188" s="210">
        <f t="shared" si="47"/>
        <v>174</v>
      </c>
      <c r="B188" s="1053">
        <v>39100</v>
      </c>
      <c r="C188" s="232" t="s">
        <v>786</v>
      </c>
      <c r="D188" s="321">
        <f>'[3]Gross Plant'!$Q12</f>
        <v>5092631.8061178466</v>
      </c>
      <c r="E188" s="620">
        <v>0</v>
      </c>
      <c r="F188" s="616">
        <f t="shared" si="50"/>
        <v>5092631.8061178466</v>
      </c>
      <c r="G188" s="323">
        <f>G185</f>
        <v>0.10349999999999999</v>
      </c>
      <c r="H188" s="323">
        <f>H185</f>
        <v>0.5025136071712456</v>
      </c>
      <c r="I188" s="616">
        <f t="shared" si="51"/>
        <v>264868.58661483502</v>
      </c>
      <c r="K188" s="321">
        <f>'[3]Gross Plant'!$C12</f>
        <v>6119580.5634966083</v>
      </c>
      <c r="L188" s="323">
        <f t="shared" si="52"/>
        <v>0.10349999999999999</v>
      </c>
      <c r="M188" s="323">
        <f t="shared" si="48"/>
        <v>0.5025136071712456</v>
      </c>
      <c r="N188" s="616">
        <f t="shared" si="49"/>
        <v>318280.35409545444</v>
      </c>
      <c r="R188" s="422"/>
    </row>
    <row r="189" spans="1:18">
      <c r="A189" s="210">
        <f t="shared" si="47"/>
        <v>175</v>
      </c>
      <c r="B189" s="1053">
        <v>39102</v>
      </c>
      <c r="C189" s="232" t="s">
        <v>532</v>
      </c>
      <c r="D189" s="321">
        <f>'[3]Gross Plant'!$Q13</f>
        <v>0</v>
      </c>
      <c r="E189" s="620">
        <v>0</v>
      </c>
      <c r="F189" s="616">
        <f t="shared" si="50"/>
        <v>0</v>
      </c>
      <c r="G189" s="323">
        <f t="shared" ref="G189:G205" si="56">G188</f>
        <v>0.10349999999999999</v>
      </c>
      <c r="H189" s="323">
        <f t="shared" ref="H189:H190" si="57">H188</f>
        <v>0.5025136071712456</v>
      </c>
      <c r="I189" s="616">
        <f t="shared" si="51"/>
        <v>0</v>
      </c>
      <c r="K189" s="321">
        <f>'[3]Gross Plant'!$C13</f>
        <v>0</v>
      </c>
      <c r="L189" s="323">
        <f t="shared" si="52"/>
        <v>0.10349999999999999</v>
      </c>
      <c r="M189" s="323">
        <f t="shared" si="48"/>
        <v>0.5025136071712456</v>
      </c>
      <c r="N189" s="616">
        <f t="shared" si="49"/>
        <v>0</v>
      </c>
      <c r="R189" s="422"/>
    </row>
    <row r="190" spans="1:18">
      <c r="A190" s="210">
        <f t="shared" si="47"/>
        <v>176</v>
      </c>
      <c r="B190" s="1053">
        <v>39103</v>
      </c>
      <c r="C190" s="232" t="s">
        <v>787</v>
      </c>
      <c r="D190" s="321">
        <f>'[3]Gross Plant'!$Q14</f>
        <v>0</v>
      </c>
      <c r="E190" s="620">
        <v>0</v>
      </c>
      <c r="F190" s="616">
        <f t="shared" si="50"/>
        <v>0</v>
      </c>
      <c r="G190" s="323">
        <f t="shared" si="56"/>
        <v>0.10349999999999999</v>
      </c>
      <c r="H190" s="323">
        <f t="shared" si="57"/>
        <v>0.5025136071712456</v>
      </c>
      <c r="I190" s="616">
        <f t="shared" si="51"/>
        <v>0</v>
      </c>
      <c r="K190" s="321">
        <f>'[3]Gross Plant'!$C14</f>
        <v>0</v>
      </c>
      <c r="L190" s="323">
        <f t="shared" si="52"/>
        <v>0.10349999999999999</v>
      </c>
      <c r="M190" s="323">
        <f t="shared" si="48"/>
        <v>0.5025136071712456</v>
      </c>
      <c r="N190" s="616">
        <f t="shared" si="49"/>
        <v>0</v>
      </c>
      <c r="R190" s="422"/>
    </row>
    <row r="191" spans="1:18">
      <c r="A191" s="210">
        <f t="shared" si="47"/>
        <v>177</v>
      </c>
      <c r="B191" s="1053">
        <v>39104</v>
      </c>
      <c r="C191" s="232" t="s">
        <v>1207</v>
      </c>
      <c r="D191" s="321">
        <f>'[3]Gross Plant'!$Q15</f>
        <v>63740.85</v>
      </c>
      <c r="E191" s="620">
        <v>0</v>
      </c>
      <c r="F191" s="616">
        <f t="shared" si="50"/>
        <v>63740.85</v>
      </c>
      <c r="G191" s="465">
        <v>1</v>
      </c>
      <c r="H191" s="465">
        <f>$H$184</f>
        <v>1.550753E-2</v>
      </c>
      <c r="I191" s="616">
        <f t="shared" si="51"/>
        <v>988.46314360049996</v>
      </c>
      <c r="K191" s="321">
        <f>'[3]Gross Plant'!$C15</f>
        <v>63740.849999999984</v>
      </c>
      <c r="L191" s="323">
        <f t="shared" ref="L191" si="58">G191</f>
        <v>1</v>
      </c>
      <c r="M191" s="323">
        <f t="shared" si="48"/>
        <v>1.550753E-2</v>
      </c>
      <c r="N191" s="616">
        <f t="shared" si="49"/>
        <v>988.46314360049973</v>
      </c>
      <c r="R191" s="422"/>
    </row>
    <row r="192" spans="1:18">
      <c r="A192" s="210">
        <f t="shared" si="47"/>
        <v>178</v>
      </c>
      <c r="B192" s="1053">
        <v>39120</v>
      </c>
      <c r="C192" s="232" t="s">
        <v>1536</v>
      </c>
      <c r="D192" s="321">
        <f>'[3]Gross Plant'!$Q16</f>
        <v>263337.89</v>
      </c>
      <c r="E192" s="620">
        <v>0</v>
      </c>
      <c r="F192" s="616">
        <f t="shared" si="50"/>
        <v>263337.89</v>
      </c>
      <c r="G192" s="465">
        <v>1</v>
      </c>
      <c r="H192" s="465">
        <f>Allocation!E22</f>
        <v>6.437198999999999E-2</v>
      </c>
      <c r="I192" s="616">
        <f t="shared" si="51"/>
        <v>16951.584021701099</v>
      </c>
      <c r="K192" s="321">
        <f>'[3]Gross Plant'!$C16</f>
        <v>263337.89000000007</v>
      </c>
      <c r="L192" s="323">
        <v>1</v>
      </c>
      <c r="M192" s="323">
        <f t="shared" si="48"/>
        <v>6.437198999999999E-2</v>
      </c>
      <c r="N192" s="616">
        <f t="shared" si="49"/>
        <v>16951.584021701103</v>
      </c>
      <c r="R192" s="422"/>
    </row>
    <row r="193" spans="1:18">
      <c r="A193" s="210">
        <f t="shared" si="47"/>
        <v>179</v>
      </c>
      <c r="B193" s="1053">
        <v>39200</v>
      </c>
      <c r="C193" s="232" t="s">
        <v>1085</v>
      </c>
      <c r="D193" s="321">
        <f>'[3]Gross Plant'!$Q17</f>
        <v>7125.41</v>
      </c>
      <c r="E193" s="620">
        <v>0</v>
      </c>
      <c r="F193" s="616">
        <f t="shared" si="50"/>
        <v>7125.41</v>
      </c>
      <c r="G193" s="323">
        <f>G190</f>
        <v>0.10349999999999999</v>
      </c>
      <c r="H193" s="323">
        <f>H190</f>
        <v>0.5025136071712456</v>
      </c>
      <c r="I193" s="616">
        <f t="shared" si="51"/>
        <v>370.59370235326571</v>
      </c>
      <c r="K193" s="321">
        <f>'[3]Gross Plant'!$C17</f>
        <v>7125.4100000000026</v>
      </c>
      <c r="L193" s="323">
        <f t="shared" si="52"/>
        <v>0.10349999999999999</v>
      </c>
      <c r="M193" s="323">
        <f t="shared" si="48"/>
        <v>0.5025136071712456</v>
      </c>
      <c r="N193" s="616">
        <f t="shared" si="49"/>
        <v>370.59370235326583</v>
      </c>
      <c r="R193" s="422"/>
    </row>
    <row r="194" spans="1:18">
      <c r="A194" s="210">
        <f t="shared" si="47"/>
        <v>180</v>
      </c>
      <c r="B194" s="1053">
        <v>39300</v>
      </c>
      <c r="C194" s="232" t="s">
        <v>655</v>
      </c>
      <c r="D194" s="321">
        <f>'[3]Gross Plant'!$Q18</f>
        <v>0</v>
      </c>
      <c r="E194" s="620">
        <v>0</v>
      </c>
      <c r="F194" s="616">
        <f t="shared" si="50"/>
        <v>0</v>
      </c>
      <c r="G194" s="323">
        <f t="shared" si="56"/>
        <v>0.10349999999999999</v>
      </c>
      <c r="H194" s="323">
        <f t="shared" ref="H194:H210" si="59">H193</f>
        <v>0.5025136071712456</v>
      </c>
      <c r="I194" s="616">
        <f t="shared" si="51"/>
        <v>0</v>
      </c>
      <c r="K194" s="321">
        <f>'[3]Gross Plant'!$C18</f>
        <v>0</v>
      </c>
      <c r="L194" s="323">
        <f t="shared" si="52"/>
        <v>0.10349999999999999</v>
      </c>
      <c r="M194" s="323">
        <f t="shared" si="48"/>
        <v>0.5025136071712456</v>
      </c>
      <c r="N194" s="616">
        <f t="shared" si="49"/>
        <v>0</v>
      </c>
      <c r="R194" s="422"/>
    </row>
    <row r="195" spans="1:18">
      <c r="A195" s="210">
        <f t="shared" si="47"/>
        <v>181</v>
      </c>
      <c r="B195" s="1053">
        <v>39400</v>
      </c>
      <c r="C195" s="232" t="s">
        <v>1044</v>
      </c>
      <c r="D195" s="321">
        <f>'[3]Gross Plant'!$Q19</f>
        <v>96505.604240730449</v>
      </c>
      <c r="E195" s="620">
        <v>0</v>
      </c>
      <c r="F195" s="616">
        <f t="shared" si="50"/>
        <v>96505.604240730449</v>
      </c>
      <c r="G195" s="323">
        <f t="shared" si="56"/>
        <v>0.10349999999999999</v>
      </c>
      <c r="H195" s="323">
        <f t="shared" si="59"/>
        <v>0.5025136071712456</v>
      </c>
      <c r="I195" s="616">
        <f t="shared" si="51"/>
        <v>5019.2717574723865</v>
      </c>
      <c r="K195" s="321">
        <f>'[3]Gross Plant'!$C19</f>
        <v>121578.56679983175</v>
      </c>
      <c r="L195" s="323">
        <f t="shared" si="52"/>
        <v>0.10349999999999999</v>
      </c>
      <c r="M195" s="323">
        <f t="shared" si="48"/>
        <v>0.5025136071712456</v>
      </c>
      <c r="N195" s="616">
        <f t="shared" si="49"/>
        <v>6323.3205102798975</v>
      </c>
      <c r="R195" s="422"/>
    </row>
    <row r="196" spans="1:18">
      <c r="A196" s="210">
        <f t="shared" si="47"/>
        <v>182</v>
      </c>
      <c r="B196" s="1053">
        <v>39420</v>
      </c>
      <c r="C196" s="232" t="s">
        <v>1537</v>
      </c>
      <c r="D196" s="321">
        <f>'[3]Gross Plant'!$Q20</f>
        <v>176760.13144960572</v>
      </c>
      <c r="E196" s="620">
        <v>0</v>
      </c>
      <c r="F196" s="616">
        <f t="shared" si="50"/>
        <v>176760.13144960572</v>
      </c>
      <c r="G196" s="323">
        <v>1</v>
      </c>
      <c r="H196" s="323">
        <f>H192</f>
        <v>6.437198999999999E-2</v>
      </c>
      <c r="I196" s="616">
        <f t="shared" si="51"/>
        <v>11378.401414072703</v>
      </c>
      <c r="K196" s="321">
        <f>'[3]Gross Plant'!$C20</f>
        <v>76748.881889557291</v>
      </c>
      <c r="L196" s="323">
        <v>1</v>
      </c>
      <c r="M196" s="323">
        <f t="shared" si="48"/>
        <v>6.437198999999999E-2</v>
      </c>
      <c r="N196" s="616">
        <f t="shared" si="49"/>
        <v>4940.4782575057625</v>
      </c>
      <c r="R196" s="422"/>
    </row>
    <row r="197" spans="1:18">
      <c r="A197" s="210">
        <f t="shared" si="47"/>
        <v>183</v>
      </c>
      <c r="B197" s="1053">
        <v>39500</v>
      </c>
      <c r="C197" s="232" t="s">
        <v>1208</v>
      </c>
      <c r="D197" s="321">
        <f>'[3]Gross Plant'!$Q21</f>
        <v>0</v>
      </c>
      <c r="E197" s="620">
        <v>0</v>
      </c>
      <c r="F197" s="616">
        <f t="shared" si="50"/>
        <v>0</v>
      </c>
      <c r="G197" s="323">
        <f>G195</f>
        <v>0.10349999999999999</v>
      </c>
      <c r="H197" s="323">
        <f>H195</f>
        <v>0.5025136071712456</v>
      </c>
      <c r="I197" s="616">
        <f t="shared" si="51"/>
        <v>0</v>
      </c>
      <c r="K197" s="321">
        <f>'[3]Gross Plant'!$C21</f>
        <v>0</v>
      </c>
      <c r="L197" s="323">
        <f t="shared" si="52"/>
        <v>0.10349999999999999</v>
      </c>
      <c r="M197" s="323">
        <f t="shared" si="48"/>
        <v>0.5025136071712456</v>
      </c>
      <c r="N197" s="616">
        <f t="shared" si="49"/>
        <v>0</v>
      </c>
      <c r="R197" s="422"/>
    </row>
    <row r="198" spans="1:18">
      <c r="A198" s="210">
        <f t="shared" si="47"/>
        <v>184</v>
      </c>
      <c r="B198" s="1053">
        <v>39700</v>
      </c>
      <c r="C198" s="232" t="s">
        <v>445</v>
      </c>
      <c r="D198" s="321">
        <f>'[3]Gross Plant'!$Q22</f>
        <v>1788308.12</v>
      </c>
      <c r="E198" s="620">
        <v>0</v>
      </c>
      <c r="F198" s="616">
        <f t="shared" si="50"/>
        <v>1788308.12</v>
      </c>
      <c r="G198" s="323">
        <f t="shared" si="56"/>
        <v>0.10349999999999999</v>
      </c>
      <c r="H198" s="323">
        <f t="shared" si="59"/>
        <v>0.5025136071712456</v>
      </c>
      <c r="I198" s="616">
        <f t="shared" si="51"/>
        <v>93010.188485884777</v>
      </c>
      <c r="K198" s="321">
        <f>'[3]Gross Plant'!$C22</f>
        <v>1788308.1200000008</v>
      </c>
      <c r="L198" s="323">
        <f t="shared" si="52"/>
        <v>0.10349999999999999</v>
      </c>
      <c r="M198" s="323">
        <f t="shared" si="48"/>
        <v>0.5025136071712456</v>
      </c>
      <c r="N198" s="616">
        <f t="shared" si="49"/>
        <v>93010.188485884806</v>
      </c>
      <c r="R198" s="422"/>
    </row>
    <row r="199" spans="1:18">
      <c r="A199" s="210">
        <f t="shared" si="47"/>
        <v>185</v>
      </c>
      <c r="B199" s="1053">
        <v>39720</v>
      </c>
      <c r="C199" s="232" t="s">
        <v>1538</v>
      </c>
      <c r="D199" s="321">
        <f>'[3]Gross Plant'!$Q23</f>
        <v>8824.34</v>
      </c>
      <c r="E199" s="620">
        <v>0</v>
      </c>
      <c r="F199" s="616">
        <f t="shared" si="50"/>
        <v>8824.34</v>
      </c>
      <c r="G199" s="323">
        <v>1</v>
      </c>
      <c r="H199" s="323">
        <f>H192</f>
        <v>6.437198999999999E-2</v>
      </c>
      <c r="I199" s="616">
        <f t="shared" si="51"/>
        <v>568.04032623659987</v>
      </c>
      <c r="K199" s="321">
        <f>'[3]Gross Plant'!$C23</f>
        <v>8824.3399999999983</v>
      </c>
      <c r="L199" s="323">
        <v>1</v>
      </c>
      <c r="M199" s="323">
        <f t="shared" si="48"/>
        <v>6.437198999999999E-2</v>
      </c>
      <c r="N199" s="616">
        <f t="shared" si="49"/>
        <v>568.04032623659975</v>
      </c>
      <c r="R199" s="422"/>
    </row>
    <row r="200" spans="1:18">
      <c r="A200" s="210">
        <f t="shared" si="47"/>
        <v>186</v>
      </c>
      <c r="B200" s="1053">
        <v>39800</v>
      </c>
      <c r="C200" s="232" t="s">
        <v>656</v>
      </c>
      <c r="D200" s="321">
        <f>'[3]Gross Plant'!$Q24</f>
        <v>136509.51999999999</v>
      </c>
      <c r="E200" s="620">
        <v>0</v>
      </c>
      <c r="F200" s="616">
        <f t="shared" si="50"/>
        <v>136509.51999999999</v>
      </c>
      <c r="G200" s="323">
        <f>G198</f>
        <v>0.10349999999999999</v>
      </c>
      <c r="H200" s="323">
        <f>H198</f>
        <v>0.5025136071712456</v>
      </c>
      <c r="I200" s="616">
        <f t="shared" si="51"/>
        <v>7099.8817504209819</v>
      </c>
      <c r="K200" s="321">
        <f>'[3]Gross Plant'!$C24</f>
        <v>136509.51999999999</v>
      </c>
      <c r="L200" s="323">
        <f t="shared" si="52"/>
        <v>0.10349999999999999</v>
      </c>
      <c r="M200" s="323">
        <f t="shared" si="48"/>
        <v>0.5025136071712456</v>
      </c>
      <c r="N200" s="616">
        <f t="shared" si="49"/>
        <v>7099.8817504209819</v>
      </c>
      <c r="R200" s="422"/>
    </row>
    <row r="201" spans="1:18">
      <c r="A201" s="210">
        <f t="shared" si="47"/>
        <v>187</v>
      </c>
      <c r="B201" s="1053">
        <v>39820</v>
      </c>
      <c r="C201" s="232" t="s">
        <v>1539</v>
      </c>
      <c r="D201" s="321">
        <f>'[3]Gross Plant'!$Q25</f>
        <v>7388.39</v>
      </c>
      <c r="E201" s="620">
        <v>0</v>
      </c>
      <c r="F201" s="616">
        <f t="shared" si="50"/>
        <v>7388.39</v>
      </c>
      <c r="G201" s="323">
        <v>1</v>
      </c>
      <c r="H201" s="323">
        <f>H192</f>
        <v>6.437198999999999E-2</v>
      </c>
      <c r="I201" s="616">
        <f t="shared" si="51"/>
        <v>475.60536719609996</v>
      </c>
      <c r="K201" s="321">
        <f>'[3]Gross Plant'!$C25</f>
        <v>7388.39</v>
      </c>
      <c r="L201" s="323">
        <v>1</v>
      </c>
      <c r="M201" s="323">
        <f t="shared" si="48"/>
        <v>6.437198999999999E-2</v>
      </c>
      <c r="N201" s="616">
        <f t="shared" si="49"/>
        <v>475.60536719609996</v>
      </c>
      <c r="R201" s="422"/>
    </row>
    <row r="202" spans="1:18">
      <c r="A202" s="210">
        <f t="shared" si="47"/>
        <v>188</v>
      </c>
      <c r="B202" s="1053">
        <v>39900</v>
      </c>
      <c r="C202" s="232" t="s">
        <v>1162</v>
      </c>
      <c r="D202" s="321">
        <f>'[3]Gross Plant'!$Q26</f>
        <v>162267.97</v>
      </c>
      <c r="E202" s="620">
        <v>0</v>
      </c>
      <c r="F202" s="616">
        <f t="shared" si="50"/>
        <v>162267.97</v>
      </c>
      <c r="G202" s="323">
        <f>G200</f>
        <v>0.10349999999999999</v>
      </c>
      <c r="H202" s="323">
        <f>H200</f>
        <v>0.5025136071712456</v>
      </c>
      <c r="I202" s="616">
        <f t="shared" si="51"/>
        <v>8439.58281357124</v>
      </c>
      <c r="K202" s="321">
        <f>'[3]Gross Plant'!$C26</f>
        <v>162267.97</v>
      </c>
      <c r="L202" s="323">
        <f t="shared" si="52"/>
        <v>0.10349999999999999</v>
      </c>
      <c r="M202" s="323">
        <f t="shared" si="48"/>
        <v>0.5025136071712456</v>
      </c>
      <c r="N202" s="616">
        <f t="shared" si="49"/>
        <v>8439.58281357124</v>
      </c>
      <c r="R202" s="422"/>
    </row>
    <row r="203" spans="1:18">
      <c r="A203" s="210">
        <f t="shared" si="47"/>
        <v>189</v>
      </c>
      <c r="B203" s="1053">
        <v>39901</v>
      </c>
      <c r="C203" s="232" t="s">
        <v>479</v>
      </c>
      <c r="D203" s="321">
        <f>'[3]Gross Plant'!$Q27</f>
        <v>35071126.966007173</v>
      </c>
      <c r="E203" s="620">
        <v>0</v>
      </c>
      <c r="F203" s="616">
        <f t="shared" si="50"/>
        <v>35071126.966007173</v>
      </c>
      <c r="G203" s="323">
        <f t="shared" si="56"/>
        <v>0.10349999999999999</v>
      </c>
      <c r="H203" s="323">
        <f t="shared" si="59"/>
        <v>0.5025136071712456</v>
      </c>
      <c r="I203" s="616">
        <f t="shared" si="51"/>
        <v>1824054.8667422722</v>
      </c>
      <c r="K203" s="321">
        <f>'[3]Gross Plant'!$C27</f>
        <v>34681158.660527818</v>
      </c>
      <c r="L203" s="323">
        <f t="shared" si="52"/>
        <v>0.10349999999999999</v>
      </c>
      <c r="M203" s="323">
        <f t="shared" si="48"/>
        <v>0.5025136071712456</v>
      </c>
      <c r="N203" s="616">
        <f t="shared" si="49"/>
        <v>1803772.5534258422</v>
      </c>
      <c r="R203" s="422"/>
    </row>
    <row r="204" spans="1:18">
      <c r="A204" s="210">
        <f t="shared" si="47"/>
        <v>190</v>
      </c>
      <c r="B204" s="1053">
        <v>39902</v>
      </c>
      <c r="C204" s="232" t="s">
        <v>968</v>
      </c>
      <c r="D204" s="321">
        <f>'[3]Gross Plant'!$Q28</f>
        <v>19005572.419999998</v>
      </c>
      <c r="E204" s="620">
        <v>0</v>
      </c>
      <c r="F204" s="616">
        <f t="shared" si="50"/>
        <v>19005572.419999998</v>
      </c>
      <c r="G204" s="323">
        <f t="shared" si="56"/>
        <v>0.10349999999999999</v>
      </c>
      <c r="H204" s="323">
        <f t="shared" si="59"/>
        <v>0.5025136071712456</v>
      </c>
      <c r="I204" s="616">
        <f t="shared" si="51"/>
        <v>988482.83094880369</v>
      </c>
      <c r="K204" s="321">
        <f>'[3]Gross Plant'!$C28</f>
        <v>19005572.419999994</v>
      </c>
      <c r="L204" s="323">
        <f t="shared" si="52"/>
        <v>0.10349999999999999</v>
      </c>
      <c r="M204" s="323">
        <f t="shared" si="48"/>
        <v>0.5025136071712456</v>
      </c>
      <c r="N204" s="616">
        <f t="shared" si="49"/>
        <v>988482.83094880346</v>
      </c>
      <c r="R204" s="422"/>
    </row>
    <row r="205" spans="1:18">
      <c r="A205" s="210">
        <f t="shared" si="47"/>
        <v>191</v>
      </c>
      <c r="B205" s="1053">
        <v>39903</v>
      </c>
      <c r="C205" s="232" t="s">
        <v>1011</v>
      </c>
      <c r="D205" s="321">
        <f>'[3]Gross Plant'!$Q29</f>
        <v>3548953.23</v>
      </c>
      <c r="E205" s="620">
        <v>0</v>
      </c>
      <c r="F205" s="616">
        <f t="shared" si="50"/>
        <v>3548953.23</v>
      </c>
      <c r="G205" s="323">
        <f t="shared" si="56"/>
        <v>0.10349999999999999</v>
      </c>
      <c r="H205" s="323">
        <f t="shared" si="59"/>
        <v>0.5025136071712456</v>
      </c>
      <c r="I205" s="616">
        <f t="shared" si="51"/>
        <v>184581.61944144702</v>
      </c>
      <c r="K205" s="321">
        <f>'[3]Gross Plant'!$C29</f>
        <v>3548953.2299999991</v>
      </c>
      <c r="L205" s="323">
        <f t="shared" si="52"/>
        <v>0.10349999999999999</v>
      </c>
      <c r="M205" s="323">
        <f t="shared" si="48"/>
        <v>0.5025136071712456</v>
      </c>
      <c r="N205" s="616">
        <f t="shared" si="49"/>
        <v>184581.61944144696</v>
      </c>
      <c r="R205" s="422"/>
    </row>
    <row r="206" spans="1:18">
      <c r="A206" s="210">
        <f t="shared" si="47"/>
        <v>192</v>
      </c>
      <c r="B206" s="1053">
        <v>39904</v>
      </c>
      <c r="C206" s="232" t="s">
        <v>1187</v>
      </c>
      <c r="D206" s="321">
        <f>'[3]Gross Plant'!$Q30</f>
        <v>0</v>
      </c>
      <c r="E206" s="620">
        <v>0</v>
      </c>
      <c r="F206" s="616">
        <f t="shared" si="50"/>
        <v>0</v>
      </c>
      <c r="G206" s="323">
        <f t="shared" ref="G206:G210" si="60">G205</f>
        <v>0.10349999999999999</v>
      </c>
      <c r="H206" s="323">
        <f t="shared" si="59"/>
        <v>0.5025136071712456</v>
      </c>
      <c r="I206" s="616">
        <f t="shared" si="51"/>
        <v>0</v>
      </c>
      <c r="K206" s="321">
        <f>'[3]Gross Plant'!$C30</f>
        <v>0</v>
      </c>
      <c r="L206" s="323">
        <f t="shared" si="52"/>
        <v>0.10349999999999999</v>
      </c>
      <c r="M206" s="323">
        <f t="shared" si="48"/>
        <v>0.5025136071712456</v>
      </c>
      <c r="N206" s="616">
        <f t="shared" si="49"/>
        <v>0</v>
      </c>
      <c r="R206" s="422"/>
    </row>
    <row r="207" spans="1:18">
      <c r="A207" s="210">
        <f t="shared" si="47"/>
        <v>193</v>
      </c>
      <c r="B207" s="1053">
        <v>39905</v>
      </c>
      <c r="C207" s="232" t="s">
        <v>502</v>
      </c>
      <c r="D207" s="321">
        <f>'[3]Gross Plant'!$Q31</f>
        <v>0</v>
      </c>
      <c r="E207" s="620">
        <v>0</v>
      </c>
      <c r="F207" s="616">
        <f t="shared" si="50"/>
        <v>0</v>
      </c>
      <c r="G207" s="323">
        <f t="shared" si="60"/>
        <v>0.10349999999999999</v>
      </c>
      <c r="H207" s="323">
        <f t="shared" si="59"/>
        <v>0.5025136071712456</v>
      </c>
      <c r="I207" s="616">
        <f t="shared" si="51"/>
        <v>0</v>
      </c>
      <c r="K207" s="321">
        <f>'[3]Gross Plant'!$C31</f>
        <v>0</v>
      </c>
      <c r="L207" s="323">
        <f t="shared" si="52"/>
        <v>0.10349999999999999</v>
      </c>
      <c r="M207" s="323">
        <f t="shared" si="48"/>
        <v>0.5025136071712456</v>
      </c>
      <c r="N207" s="616">
        <f t="shared" si="49"/>
        <v>0</v>
      </c>
      <c r="R207" s="422"/>
    </row>
    <row r="208" spans="1:18">
      <c r="A208" s="210">
        <f t="shared" si="47"/>
        <v>194</v>
      </c>
      <c r="B208" s="1053">
        <v>39906</v>
      </c>
      <c r="C208" s="232" t="s">
        <v>456</v>
      </c>
      <c r="D208" s="321">
        <f>'[3]Gross Plant'!$Q32</f>
        <v>1832419.679885576</v>
      </c>
      <c r="E208" s="620">
        <v>0</v>
      </c>
      <c r="F208" s="616">
        <f t="shared" si="50"/>
        <v>1832419.679885576</v>
      </c>
      <c r="G208" s="323">
        <f t="shared" si="60"/>
        <v>0.10349999999999999</v>
      </c>
      <c r="H208" s="323">
        <f t="shared" si="59"/>
        <v>0.5025136071712456</v>
      </c>
      <c r="I208" s="616">
        <f t="shared" si="51"/>
        <v>95304.43770025608</v>
      </c>
      <c r="K208" s="321">
        <f>'[3]Gross Plant'!$C32</f>
        <v>1812255.4885791345</v>
      </c>
      <c r="L208" s="323">
        <f t="shared" si="52"/>
        <v>0.10349999999999999</v>
      </c>
      <c r="M208" s="323">
        <f t="shared" si="48"/>
        <v>0.5025136071712456</v>
      </c>
      <c r="N208" s="616">
        <f t="shared" si="49"/>
        <v>94255.694917565153</v>
      </c>
      <c r="R208" s="422"/>
    </row>
    <row r="209" spans="1:18">
      <c r="A209" s="210">
        <f t="shared" si="47"/>
        <v>195</v>
      </c>
      <c r="B209" s="1053">
        <v>39907</v>
      </c>
      <c r="C209" s="232" t="s">
        <v>510</v>
      </c>
      <c r="D209" s="321">
        <f>'[3]Gross Plant'!$Q33</f>
        <v>1472508.4687512559</v>
      </c>
      <c r="E209" s="620">
        <v>0</v>
      </c>
      <c r="F209" s="616">
        <f t="shared" si="50"/>
        <v>1472508.4687512559</v>
      </c>
      <c r="G209" s="323">
        <f t="shared" si="60"/>
        <v>0.10349999999999999</v>
      </c>
      <c r="H209" s="323">
        <f t="shared" si="59"/>
        <v>0.5025136071712456</v>
      </c>
      <c r="I209" s="616">
        <f t="shared" si="51"/>
        <v>76585.398620018488</v>
      </c>
      <c r="K209" s="321">
        <f>'[3]Gross Plant'!$C33</f>
        <v>1473097.1146971728</v>
      </c>
      <c r="L209" s="323">
        <f t="shared" si="52"/>
        <v>0.10349999999999999</v>
      </c>
      <c r="M209" s="323">
        <f t="shared" si="48"/>
        <v>0.5025136071712456</v>
      </c>
      <c r="N209" s="616">
        <f t="shared" si="49"/>
        <v>76616.014188873145</v>
      </c>
      <c r="R209" s="422"/>
    </row>
    <row r="210" spans="1:18">
      <c r="A210" s="210">
        <f t="shared" si="47"/>
        <v>196</v>
      </c>
      <c r="B210" s="1053">
        <v>39908</v>
      </c>
      <c r="C210" s="232" t="s">
        <v>180</v>
      </c>
      <c r="D210" s="321">
        <f>'[3]Gross Plant'!$Q34</f>
        <v>66470184.967220388</v>
      </c>
      <c r="E210" s="620">
        <v>0</v>
      </c>
      <c r="F210" s="616">
        <f t="shared" si="50"/>
        <v>66470184.967220388</v>
      </c>
      <c r="G210" s="323">
        <f t="shared" si="60"/>
        <v>0.10349999999999999</v>
      </c>
      <c r="H210" s="323">
        <f t="shared" si="59"/>
        <v>0.5025136071712456</v>
      </c>
      <c r="I210" s="616">
        <f t="shared" si="51"/>
        <v>3457124.8451820444</v>
      </c>
      <c r="K210" s="321">
        <f>'[3]Gross Plant'!$C34</f>
        <v>63125893.091210872</v>
      </c>
      <c r="L210" s="323">
        <f t="shared" si="52"/>
        <v>0.10349999999999999</v>
      </c>
      <c r="M210" s="323">
        <f t="shared" si="48"/>
        <v>0.5025136071712456</v>
      </c>
      <c r="N210" s="616">
        <f t="shared" si="49"/>
        <v>3283187.6951681762</v>
      </c>
      <c r="R210" s="422"/>
    </row>
    <row r="211" spans="1:18">
      <c r="A211" s="210">
        <f t="shared" si="47"/>
        <v>197</v>
      </c>
      <c r="B211" s="1053">
        <v>39909</v>
      </c>
      <c r="C211" s="232" t="s">
        <v>346</v>
      </c>
      <c r="D211" s="321">
        <f>'[3]Gross Plant'!$Q35</f>
        <v>39251.620000000003</v>
      </c>
      <c r="E211" s="620">
        <v>0</v>
      </c>
      <c r="F211" s="616">
        <f t="shared" si="50"/>
        <v>39251.620000000003</v>
      </c>
      <c r="G211" s="323">
        <f>G209</f>
        <v>0.10349999999999999</v>
      </c>
      <c r="H211" s="323">
        <f>H209</f>
        <v>0.5025136071712456</v>
      </c>
      <c r="I211" s="616">
        <f t="shared" si="51"/>
        <v>2041.4829713888034</v>
      </c>
      <c r="K211" s="321">
        <f>'[3]Gross Plant'!$C35</f>
        <v>39251.620000000003</v>
      </c>
      <c r="L211" s="323">
        <f t="shared" ref="L211" si="61">G211</f>
        <v>0.10349999999999999</v>
      </c>
      <c r="M211" s="323">
        <f>H211</f>
        <v>0.5025136071712456</v>
      </c>
      <c r="N211" s="616">
        <f t="shared" si="49"/>
        <v>2041.4829713888034</v>
      </c>
      <c r="R211" s="422"/>
    </row>
    <row r="212" spans="1:18">
      <c r="A212" s="210">
        <f t="shared" si="47"/>
        <v>198</v>
      </c>
      <c r="B212" s="1053">
        <v>39921</v>
      </c>
      <c r="C212" s="232" t="s">
        <v>1540</v>
      </c>
      <c r="D212" s="321">
        <f>'[3]Gross Plant'!$Q36</f>
        <v>1628899.91</v>
      </c>
      <c r="E212" s="620">
        <v>0</v>
      </c>
      <c r="F212" s="616">
        <f t="shared" si="50"/>
        <v>1628899.91</v>
      </c>
      <c r="G212" s="323">
        <v>1</v>
      </c>
      <c r="H212" s="323">
        <f>$H$192</f>
        <v>6.437198999999999E-2</v>
      </c>
      <c r="I212" s="616">
        <f t="shared" si="51"/>
        <v>104855.52871752088</v>
      </c>
      <c r="K212" s="321">
        <f>'[3]Gross Plant'!$C36</f>
        <v>1628899.91</v>
      </c>
      <c r="L212" s="323">
        <v>1</v>
      </c>
      <c r="M212" s="323">
        <f t="shared" si="48"/>
        <v>6.437198999999999E-2</v>
      </c>
      <c r="N212" s="616">
        <f t="shared" si="49"/>
        <v>104855.52871752088</v>
      </c>
      <c r="R212" s="422"/>
    </row>
    <row r="213" spans="1:18">
      <c r="A213" s="210">
        <f t="shared" si="47"/>
        <v>199</v>
      </c>
      <c r="B213" s="1053">
        <v>39922</v>
      </c>
      <c r="C213" s="232" t="s">
        <v>1541</v>
      </c>
      <c r="D213" s="321">
        <f>'[3]Gross Plant'!$Q37</f>
        <v>961255.64</v>
      </c>
      <c r="E213" s="620">
        <v>0</v>
      </c>
      <c r="F213" s="616">
        <f t="shared" si="50"/>
        <v>961255.64</v>
      </c>
      <c r="G213" s="323">
        <v>1</v>
      </c>
      <c r="H213" s="323">
        <f t="shared" ref="H213:H214" si="62">$H$192</f>
        <v>6.437198999999999E-2</v>
      </c>
      <c r="I213" s="616">
        <f t="shared" si="51"/>
        <v>61877.938445523592</v>
      </c>
      <c r="K213" s="321">
        <f>'[3]Gross Plant'!$C37</f>
        <v>961255.64000000013</v>
      </c>
      <c r="L213" s="323">
        <v>1</v>
      </c>
      <c r="M213" s="323">
        <f t="shared" si="48"/>
        <v>6.437198999999999E-2</v>
      </c>
      <c r="N213" s="616">
        <f t="shared" si="49"/>
        <v>61877.9384455236</v>
      </c>
      <c r="R213" s="422"/>
    </row>
    <row r="214" spans="1:18">
      <c r="A214" s="210">
        <f t="shared" si="47"/>
        <v>200</v>
      </c>
      <c r="B214" s="1053">
        <v>39923</v>
      </c>
      <c r="C214" s="232" t="s">
        <v>1542</v>
      </c>
      <c r="D214" s="321">
        <f>'[3]Gross Plant'!$Q38</f>
        <v>60170.36</v>
      </c>
      <c r="E214" s="620">
        <v>0</v>
      </c>
      <c r="F214" s="616">
        <f t="shared" si="50"/>
        <v>60170.36</v>
      </c>
      <c r="G214" s="323">
        <v>1</v>
      </c>
      <c r="H214" s="323">
        <f t="shared" si="62"/>
        <v>6.437198999999999E-2</v>
      </c>
      <c r="I214" s="616">
        <f t="shared" si="51"/>
        <v>3873.2858122163993</v>
      </c>
      <c r="K214" s="321">
        <f>'[3]Gross Plant'!$C38</f>
        <v>60170.359999999993</v>
      </c>
      <c r="L214" s="323">
        <v>1</v>
      </c>
      <c r="M214" s="323">
        <f t="shared" si="48"/>
        <v>6.437198999999999E-2</v>
      </c>
      <c r="N214" s="616">
        <f t="shared" si="49"/>
        <v>3873.2858122163989</v>
      </c>
      <c r="R214" s="422"/>
    </row>
    <row r="215" spans="1:18">
      <c r="A215" s="210">
        <f t="shared" si="47"/>
        <v>201</v>
      </c>
      <c r="B215" s="1053">
        <v>39924</v>
      </c>
      <c r="C215" s="232" t="s">
        <v>1411</v>
      </c>
      <c r="D215" s="321">
        <f>'[3]Gross Plant'!$Q39</f>
        <v>0</v>
      </c>
      <c r="E215" s="620">
        <v>0</v>
      </c>
      <c r="F215" s="616">
        <f t="shared" si="50"/>
        <v>0</v>
      </c>
      <c r="G215" s="323">
        <f>G210</f>
        <v>0.10349999999999999</v>
      </c>
      <c r="H215" s="323">
        <f>H210</f>
        <v>0.5025136071712456</v>
      </c>
      <c r="I215" s="616">
        <f t="shared" si="51"/>
        <v>0</v>
      </c>
      <c r="K215" s="321">
        <f>'[3]Gross Plant'!$C39</f>
        <v>0</v>
      </c>
      <c r="L215" s="323">
        <f t="shared" si="52"/>
        <v>0.10349999999999999</v>
      </c>
      <c r="M215" s="323">
        <f t="shared" si="48"/>
        <v>0.5025136071712456</v>
      </c>
      <c r="N215" s="616">
        <f t="shared" si="49"/>
        <v>0</v>
      </c>
      <c r="R215" s="422"/>
    </row>
    <row r="216" spans="1:18">
      <c r="A216" s="210">
        <f t="shared" si="47"/>
        <v>202</v>
      </c>
      <c r="B216" s="1053">
        <v>39926</v>
      </c>
      <c r="C216" s="232" t="s">
        <v>1551</v>
      </c>
      <c r="D216" s="321">
        <f>'[3]Gross Plant'!$Q40</f>
        <v>351204.64984342962</v>
      </c>
      <c r="E216" s="620">
        <v>0</v>
      </c>
      <c r="F216" s="616">
        <f t="shared" si="50"/>
        <v>351204.64984342962</v>
      </c>
      <c r="G216" s="323">
        <v>1</v>
      </c>
      <c r="H216" s="323">
        <f>$H$214</f>
        <v>6.437198999999999E-2</v>
      </c>
      <c r="I216" s="616">
        <f t="shared" si="51"/>
        <v>22607.74220767475</v>
      </c>
      <c r="K216" s="321">
        <f>'[3]Gross Plant'!$C40</f>
        <v>326577.04995390249</v>
      </c>
      <c r="L216" s="323">
        <v>1</v>
      </c>
      <c r="M216" s="323">
        <f t="shared" si="48"/>
        <v>6.437198999999999E-2</v>
      </c>
      <c r="N216" s="616">
        <f t="shared" si="49"/>
        <v>21022.414593862108</v>
      </c>
      <c r="R216" s="422"/>
    </row>
    <row r="217" spans="1:18">
      <c r="A217" s="210">
        <f t="shared" si="47"/>
        <v>203</v>
      </c>
      <c r="B217" s="1053">
        <v>39928</v>
      </c>
      <c r="C217" s="232" t="s">
        <v>1552</v>
      </c>
      <c r="D217" s="321">
        <f>'[3]Gross Plant'!$Q41</f>
        <v>19396382.179999996</v>
      </c>
      <c r="E217" s="620">
        <v>0</v>
      </c>
      <c r="F217" s="616">
        <f t="shared" si="50"/>
        <v>19396382.179999996</v>
      </c>
      <c r="G217" s="323">
        <v>1</v>
      </c>
      <c r="H217" s="323">
        <f t="shared" ref="H217" si="63">$H$214</f>
        <v>6.437198999999999E-2</v>
      </c>
      <c r="I217" s="616">
        <f t="shared" si="51"/>
        <v>1248583.7197271378</v>
      </c>
      <c r="K217" s="321">
        <f>'[3]Gross Plant'!$C41</f>
        <v>19325874.901538465</v>
      </c>
      <c r="L217" s="323">
        <v>1</v>
      </c>
      <c r="M217" s="323">
        <f t="shared" si="48"/>
        <v>6.437198999999999E-2</v>
      </c>
      <c r="N217" s="616">
        <f t="shared" si="49"/>
        <v>1244045.0259030848</v>
      </c>
      <c r="R217" s="422"/>
    </row>
    <row r="218" spans="1:18">
      <c r="A218" s="210">
        <f t="shared" si="47"/>
        <v>204</v>
      </c>
      <c r="B218" s="1053">
        <v>39931</v>
      </c>
      <c r="C218" s="232" t="s">
        <v>1553</v>
      </c>
      <c r="D218" s="321">
        <f>'[3]Gross Plant'!$Q42</f>
        <v>299424.38376368739</v>
      </c>
      <c r="E218" s="620">
        <v>0</v>
      </c>
      <c r="F218" s="616">
        <f t="shared" si="50"/>
        <v>299424.38376368739</v>
      </c>
      <c r="G218" s="323">
        <v>1</v>
      </c>
      <c r="H218" s="323">
        <f>Allocation!$E$23</f>
        <v>0</v>
      </c>
      <c r="I218" s="616">
        <f t="shared" si="51"/>
        <v>0</v>
      </c>
      <c r="K218" s="321">
        <f>'[3]Gross Plant'!$C42</f>
        <v>297703.32704114646</v>
      </c>
      <c r="L218" s="323">
        <v>1</v>
      </c>
      <c r="M218" s="323">
        <f t="shared" si="48"/>
        <v>0</v>
      </c>
      <c r="N218" s="616">
        <f t="shared" si="49"/>
        <v>0</v>
      </c>
      <c r="R218" s="422"/>
    </row>
    <row r="219" spans="1:18">
      <c r="A219" s="210">
        <f t="shared" si="47"/>
        <v>205</v>
      </c>
      <c r="B219" s="1053">
        <v>39932</v>
      </c>
      <c r="C219" s="232" t="s">
        <v>1554</v>
      </c>
      <c r="D219" s="321">
        <f>'[3]Gross Plant'!$Q43</f>
        <v>348448.79839658114</v>
      </c>
      <c r="E219" s="620">
        <v>0</v>
      </c>
      <c r="F219" s="616">
        <f t="shared" si="50"/>
        <v>348448.79839658114</v>
      </c>
      <c r="G219" s="323">
        <v>1</v>
      </c>
      <c r="H219" s="323">
        <f>Allocation!$E$23</f>
        <v>0</v>
      </c>
      <c r="I219" s="616">
        <f t="shared" si="51"/>
        <v>0</v>
      </c>
      <c r="K219" s="321">
        <f>'[3]Gross Plant'!$C43</f>
        <v>346279.97708579502</v>
      </c>
      <c r="L219" s="323">
        <v>1</v>
      </c>
      <c r="M219" s="323">
        <f t="shared" ref="M219:M220" si="64">H219</f>
        <v>0</v>
      </c>
      <c r="N219" s="616">
        <f t="shared" si="49"/>
        <v>0</v>
      </c>
      <c r="R219" s="422"/>
    </row>
    <row r="220" spans="1:18">
      <c r="A220" s="210">
        <f t="shared" si="47"/>
        <v>206</v>
      </c>
      <c r="B220" s="1053">
        <v>39938</v>
      </c>
      <c r="C220" s="232" t="s">
        <v>1555</v>
      </c>
      <c r="D220" s="321">
        <f>'[3]Gross Plant'!$Q44</f>
        <v>17687656.864889119</v>
      </c>
      <c r="E220" s="620">
        <v>0</v>
      </c>
      <c r="F220" s="616">
        <f t="shared" si="50"/>
        <v>17687656.864889119</v>
      </c>
      <c r="G220" s="323">
        <v>1</v>
      </c>
      <c r="H220" s="323">
        <f>Allocation!$E$23</f>
        <v>0</v>
      </c>
      <c r="I220" s="616">
        <f t="shared" si="51"/>
        <v>0</v>
      </c>
      <c r="K220" s="321">
        <f>'[3]Gross Plant'!$C44</f>
        <v>17551622.810899321</v>
      </c>
      <c r="L220" s="323">
        <v>1</v>
      </c>
      <c r="M220" s="323">
        <f t="shared" si="64"/>
        <v>0</v>
      </c>
      <c r="N220" s="616">
        <f t="shared" si="49"/>
        <v>0</v>
      </c>
      <c r="R220" s="422"/>
    </row>
    <row r="221" spans="1:18">
      <c r="A221" s="210">
        <f t="shared" si="47"/>
        <v>207</v>
      </c>
      <c r="B221" s="1054"/>
      <c r="C221" s="232"/>
      <c r="D221" s="618"/>
      <c r="E221" s="618"/>
      <c r="F221" s="618"/>
      <c r="H221" s="323"/>
      <c r="K221" s="618"/>
      <c r="N221" s="618"/>
    </row>
    <row r="222" spans="1:18" ht="15.75" thickBot="1">
      <c r="A222" s="210">
        <f t="shared" si="47"/>
        <v>208</v>
      </c>
      <c r="B222" s="1054"/>
      <c r="C222" s="232" t="s">
        <v>1339</v>
      </c>
      <c r="D222" s="510">
        <f>SUM(D183:D220)</f>
        <v>196011888.53000003</v>
      </c>
      <c r="E222" s="510">
        <f>SUM(E183:E220)</f>
        <v>0</v>
      </c>
      <c r="F222" s="510">
        <f>SUM(F183:F220)</f>
        <v>196011888.53000003</v>
      </c>
      <c r="G222" s="1032"/>
      <c r="H222" s="1032"/>
      <c r="I222" s="510">
        <f>SUM(I183:I220)</f>
        <v>9187789.8560559098</v>
      </c>
      <c r="J222" s="809"/>
      <c r="K222" s="510">
        <f>SUM(K183:K220)</f>
        <v>193042359.45153844</v>
      </c>
      <c r="L222" s="1032"/>
      <c r="M222" s="1032"/>
      <c r="N222" s="510">
        <f>SUM(N183:N220)</f>
        <v>9038209.2807617728</v>
      </c>
    </row>
    <row r="223" spans="1:18" ht="15.75" thickTop="1">
      <c r="A223" s="210">
        <f t="shared" si="47"/>
        <v>209</v>
      </c>
      <c r="B223" s="1054"/>
      <c r="C223" s="232"/>
      <c r="D223" s="321"/>
      <c r="E223" s="321"/>
      <c r="F223" s="321"/>
      <c r="I223" s="321"/>
    </row>
    <row r="224" spans="1:18">
      <c r="A224" s="210">
        <f t="shared" si="47"/>
        <v>210</v>
      </c>
      <c r="B224" s="1054"/>
      <c r="C224" s="196" t="s">
        <v>756</v>
      </c>
      <c r="D224" s="321">
        <f>'[3]Gross Plant'!$Q$204</f>
        <v>8866626.7499999981</v>
      </c>
      <c r="E224" s="321">
        <v>0</v>
      </c>
      <c r="F224" s="321">
        <f>D224+E224</f>
        <v>8866626.7499999981</v>
      </c>
      <c r="G224" s="323">
        <f>G215</f>
        <v>0.10349999999999999</v>
      </c>
      <c r="H224" s="323">
        <f>H215</f>
        <v>0.5025136071712456</v>
      </c>
      <c r="I224" s="321">
        <f>F224*G224*H224</f>
        <v>461154.66122889816</v>
      </c>
      <c r="K224" s="321">
        <f>'[3]Gross Plant'!$C$204</f>
        <v>7920492.2315384597</v>
      </c>
      <c r="L224" s="323">
        <f>G224</f>
        <v>0.10349999999999999</v>
      </c>
      <c r="M224" s="323">
        <f>H224</f>
        <v>0.5025136071712456</v>
      </c>
      <c r="N224" s="321">
        <f>K224*L224*M224</f>
        <v>411946.05511066975</v>
      </c>
    </row>
    <row r="225" spans="1:18">
      <c r="A225" s="210">
        <f t="shared" si="47"/>
        <v>211</v>
      </c>
      <c r="B225" s="1054"/>
    </row>
    <row r="226" spans="1:18" ht="15.75">
      <c r="A226" s="210">
        <f t="shared" si="47"/>
        <v>212</v>
      </c>
      <c r="B226" s="1050" t="s">
        <v>9</v>
      </c>
    </row>
    <row r="227" spans="1:18">
      <c r="A227" s="210">
        <f t="shared" si="47"/>
        <v>213</v>
      </c>
      <c r="B227" s="1054"/>
    </row>
    <row r="228" spans="1:18">
      <c r="A228" s="210">
        <f t="shared" si="47"/>
        <v>214</v>
      </c>
      <c r="B228" s="1054"/>
      <c r="C228" s="619" t="s">
        <v>305</v>
      </c>
    </row>
    <row r="229" spans="1:18">
      <c r="A229" s="210">
        <f t="shared" si="47"/>
        <v>215</v>
      </c>
      <c r="B229" s="1053">
        <v>38900</v>
      </c>
      <c r="C229" s="232" t="s">
        <v>296</v>
      </c>
      <c r="D229" s="321">
        <f>'[3]Gross Plant'!$Q50</f>
        <v>2874239.86</v>
      </c>
      <c r="E229" s="359">
        <v>0</v>
      </c>
      <c r="F229" s="359">
        <f>D229+E229</f>
        <v>2874239.86</v>
      </c>
      <c r="G229" s="323">
        <f>Allocation!$G$15</f>
        <v>0.10929999999999999</v>
      </c>
      <c r="H229" s="323">
        <f>Allocation!$H$15</f>
        <v>0.51883860656465508</v>
      </c>
      <c r="I229" s="359">
        <f>F229*G229*H229</f>
        <v>162995.43980572233</v>
      </c>
      <c r="K229" s="321">
        <f>'[3]Gross Plant'!$C50</f>
        <v>2874239.86</v>
      </c>
      <c r="L229" s="323">
        <f>G229</f>
        <v>0.10929999999999999</v>
      </c>
      <c r="M229" s="323">
        <f>H229</f>
        <v>0.51883860656465508</v>
      </c>
      <c r="N229" s="359">
        <f>K229*L229*M229</f>
        <v>162995.43980572233</v>
      </c>
      <c r="P229" s="1053"/>
      <c r="R229" s="422"/>
    </row>
    <row r="230" spans="1:18">
      <c r="A230" s="210">
        <f t="shared" si="47"/>
        <v>216</v>
      </c>
      <c r="B230" s="1053">
        <v>38910</v>
      </c>
      <c r="C230" s="232" t="s">
        <v>1209</v>
      </c>
      <c r="D230" s="321">
        <f>'[3]Gross Plant'!$Q51</f>
        <v>1887122.88</v>
      </c>
      <c r="E230" s="616">
        <v>0</v>
      </c>
      <c r="F230" s="617">
        <f>D230+E230</f>
        <v>1887122.88</v>
      </c>
      <c r="G230" s="465">
        <v>1</v>
      </c>
      <c r="H230" s="465">
        <f>Allocation!$I$21</f>
        <v>2.3324339999999999E-2</v>
      </c>
      <c r="I230" s="616">
        <f>F230*G230*H230</f>
        <v>44015.895674899199</v>
      </c>
      <c r="K230" s="321">
        <f>'[3]Gross Plant'!$C51</f>
        <v>1887122.8799999992</v>
      </c>
      <c r="L230" s="323">
        <f>G230</f>
        <v>1</v>
      </c>
      <c r="M230" s="323">
        <f>H230</f>
        <v>2.3324339999999999E-2</v>
      </c>
      <c r="N230" s="616">
        <f>K230*L230*M230</f>
        <v>44015.895674899177</v>
      </c>
      <c r="P230" s="1053"/>
      <c r="R230" s="422"/>
    </row>
    <row r="231" spans="1:18">
      <c r="A231" s="210">
        <f t="shared" si="47"/>
        <v>217</v>
      </c>
      <c r="B231" s="1053">
        <v>39000</v>
      </c>
      <c r="C231" s="232" t="s">
        <v>863</v>
      </c>
      <c r="D231" s="321">
        <f>'[3]Gross Plant'!$Q52</f>
        <v>12620665.26</v>
      </c>
      <c r="E231" s="616">
        <v>0</v>
      </c>
      <c r="F231" s="617">
        <f t="shared" ref="F231:F252" si="65">D231+E231</f>
        <v>12620665.26</v>
      </c>
      <c r="G231" s="323">
        <f>$G$229</f>
        <v>0.10929999999999999</v>
      </c>
      <c r="H231" s="323">
        <f>$H$229</f>
        <v>0.51883860656465508</v>
      </c>
      <c r="I231" s="616">
        <f t="shared" ref="I231:I257" si="66">F231*G231*H231</f>
        <v>715706.05965171626</v>
      </c>
      <c r="K231" s="321">
        <f>'[3]Gross Plant'!$C52</f>
        <v>12620665.26</v>
      </c>
      <c r="L231" s="323">
        <f t="shared" ref="L231:L252" si="67">G231</f>
        <v>0.10929999999999999</v>
      </c>
      <c r="M231" s="323">
        <f t="shared" ref="M231:M252" si="68">H231</f>
        <v>0.51883860656465508</v>
      </c>
      <c r="N231" s="616">
        <f t="shared" ref="N231:N257" si="69">K231*L231*M231</f>
        <v>715706.05965171626</v>
      </c>
      <c r="P231" s="1053"/>
      <c r="R231" s="422"/>
    </row>
    <row r="232" spans="1:18">
      <c r="A232" s="210">
        <f t="shared" si="47"/>
        <v>218</v>
      </c>
      <c r="B232" s="1053">
        <v>39009</v>
      </c>
      <c r="C232" s="232" t="s">
        <v>1045</v>
      </c>
      <c r="D232" s="321">
        <f>'[3]Gross Plant'!$Q53</f>
        <v>2820613.55</v>
      </c>
      <c r="E232" s="616">
        <v>0</v>
      </c>
      <c r="F232" s="617">
        <f t="shared" si="65"/>
        <v>2820613.55</v>
      </c>
      <c r="G232" s="323">
        <f>$G$229</f>
        <v>0.10929999999999999</v>
      </c>
      <c r="H232" s="323">
        <f>$H$229</f>
        <v>0.51883860656465508</v>
      </c>
      <c r="I232" s="616">
        <f t="shared" si="66"/>
        <v>159954.34219057477</v>
      </c>
      <c r="K232" s="321">
        <f>'[3]Gross Plant'!$C53</f>
        <v>2820613.55</v>
      </c>
      <c r="L232" s="323">
        <f t="shared" si="67"/>
        <v>0.10929999999999999</v>
      </c>
      <c r="M232" s="323">
        <f t="shared" si="68"/>
        <v>0.51883860656465508</v>
      </c>
      <c r="N232" s="616">
        <f t="shared" si="69"/>
        <v>159954.34219057477</v>
      </c>
      <c r="P232" s="1053"/>
      <c r="R232" s="422"/>
    </row>
    <row r="233" spans="1:18">
      <c r="A233" s="210">
        <f t="shared" si="47"/>
        <v>219</v>
      </c>
      <c r="B233" s="1053">
        <v>39010</v>
      </c>
      <c r="C233" s="232" t="s">
        <v>1210</v>
      </c>
      <c r="D233" s="321">
        <f>'[3]Gross Plant'!$Q54</f>
        <v>15226913.214719897</v>
      </c>
      <c r="E233" s="616">
        <v>0</v>
      </c>
      <c r="F233" s="617">
        <f t="shared" ref="F233" si="70">D233+E233</f>
        <v>15226913.214719897</v>
      </c>
      <c r="G233" s="465">
        <v>1</v>
      </c>
      <c r="H233" s="465">
        <f>$H$230</f>
        <v>2.3324339999999999E-2</v>
      </c>
      <c r="I233" s="616">
        <f t="shared" si="66"/>
        <v>355157.70097061986</v>
      </c>
      <c r="K233" s="321">
        <f>'[3]Gross Plant'!$C54</f>
        <v>12646969.404175978</v>
      </c>
      <c r="L233" s="323">
        <f t="shared" ref="L233" si="71">G233</f>
        <v>1</v>
      </c>
      <c r="M233" s="323">
        <f t="shared" ref="M233" si="72">H233</f>
        <v>2.3324339999999999E-2</v>
      </c>
      <c r="N233" s="616">
        <f t="shared" si="69"/>
        <v>294982.21435259795</v>
      </c>
      <c r="P233" s="1053"/>
      <c r="R233" s="422"/>
    </row>
    <row r="234" spans="1:18">
      <c r="A234" s="210">
        <f t="shared" si="47"/>
        <v>220</v>
      </c>
      <c r="B234" s="1053">
        <v>39100</v>
      </c>
      <c r="C234" s="232" t="s">
        <v>786</v>
      </c>
      <c r="D234" s="321">
        <f>'[3]Gross Plant'!$Q55</f>
        <v>2393125.4633110939</v>
      </c>
      <c r="E234" s="616">
        <v>0</v>
      </c>
      <c r="F234" s="617">
        <f t="shared" si="65"/>
        <v>2393125.4633110939</v>
      </c>
      <c r="G234" s="323">
        <f>$G$229</f>
        <v>0.10929999999999999</v>
      </c>
      <c r="H234" s="323">
        <f>$H$229</f>
        <v>0.51883860656465508</v>
      </c>
      <c r="I234" s="616">
        <f t="shared" si="66"/>
        <v>135711.89476255636</v>
      </c>
      <c r="K234" s="321">
        <f>'[3]Gross Plant'!$C55</f>
        <v>2374128.36787776</v>
      </c>
      <c r="L234" s="323">
        <f t="shared" si="67"/>
        <v>0.10929999999999999</v>
      </c>
      <c r="M234" s="323">
        <f t="shared" si="68"/>
        <v>0.51883860656465508</v>
      </c>
      <c r="N234" s="616">
        <f t="shared" si="69"/>
        <v>134634.58734354802</v>
      </c>
      <c r="P234" s="1053"/>
      <c r="R234" s="422"/>
    </row>
    <row r="235" spans="1:18">
      <c r="A235" s="210">
        <f t="shared" si="47"/>
        <v>221</v>
      </c>
      <c r="B235" s="1053">
        <v>39101</v>
      </c>
      <c r="C235" s="232" t="s">
        <v>1533</v>
      </c>
      <c r="D235" s="321">
        <f>'[3]Gross Plant'!$Q56</f>
        <v>0</v>
      </c>
      <c r="E235" s="616">
        <v>0</v>
      </c>
      <c r="F235" s="617">
        <f t="shared" si="65"/>
        <v>0</v>
      </c>
      <c r="G235" s="323">
        <f t="shared" ref="G235:G236" si="73">$G$229</f>
        <v>0.10929999999999999</v>
      </c>
      <c r="H235" s="323">
        <f t="shared" ref="H235:H236" si="74">$H$229</f>
        <v>0.51883860656465508</v>
      </c>
      <c r="I235" s="616">
        <f t="shared" si="66"/>
        <v>0</v>
      </c>
      <c r="K235" s="321">
        <f>'[3]Gross Plant'!$C56</f>
        <v>0</v>
      </c>
      <c r="L235" s="323">
        <f t="shared" ref="L235:L236" si="75">G235</f>
        <v>0.10929999999999999</v>
      </c>
      <c r="M235" s="323">
        <f t="shared" ref="M235:M236" si="76">H235</f>
        <v>0.51883860656465508</v>
      </c>
      <c r="N235" s="616">
        <f t="shared" si="69"/>
        <v>0</v>
      </c>
      <c r="P235" s="1053"/>
      <c r="R235" s="422"/>
    </row>
    <row r="236" spans="1:18">
      <c r="A236" s="210">
        <f t="shared" si="47"/>
        <v>222</v>
      </c>
      <c r="B236" s="1053">
        <v>39102</v>
      </c>
      <c r="C236" s="232" t="s">
        <v>1543</v>
      </c>
      <c r="D236" s="321">
        <f>'[3]Gross Plant'!$Q57</f>
        <v>0</v>
      </c>
      <c r="E236" s="616">
        <v>0</v>
      </c>
      <c r="F236" s="617">
        <f t="shared" si="65"/>
        <v>0</v>
      </c>
      <c r="G236" s="323">
        <f t="shared" si="73"/>
        <v>0.10929999999999999</v>
      </c>
      <c r="H236" s="323">
        <f t="shared" si="74"/>
        <v>0.51883860656465508</v>
      </c>
      <c r="I236" s="616">
        <f t="shared" si="66"/>
        <v>0</v>
      </c>
      <c r="K236" s="321">
        <f>'[3]Gross Plant'!$C57</f>
        <v>0</v>
      </c>
      <c r="L236" s="323">
        <f t="shared" si="75"/>
        <v>0.10929999999999999</v>
      </c>
      <c r="M236" s="323">
        <f t="shared" si="76"/>
        <v>0.51883860656465508</v>
      </c>
      <c r="N236" s="616">
        <f t="shared" si="69"/>
        <v>0</v>
      </c>
      <c r="P236" s="1053"/>
      <c r="R236" s="422"/>
    </row>
    <row r="237" spans="1:18">
      <c r="A237" s="210">
        <f t="shared" ref="A237:A247" si="77">A236+1</f>
        <v>223</v>
      </c>
      <c r="B237" s="1053">
        <v>39103</v>
      </c>
      <c r="C237" s="232" t="s">
        <v>1341</v>
      </c>
      <c r="D237" s="321">
        <f>'[3]Gross Plant'!$Q58</f>
        <v>0</v>
      </c>
      <c r="E237" s="616">
        <v>0</v>
      </c>
      <c r="F237" s="617">
        <f t="shared" ref="F237:F241" si="78">D237+E237</f>
        <v>0</v>
      </c>
      <c r="G237" s="323">
        <f>$G$229</f>
        <v>0.10929999999999999</v>
      </c>
      <c r="H237" s="323">
        <f>$H$229</f>
        <v>0.51883860656465508</v>
      </c>
      <c r="I237" s="616">
        <f t="shared" si="66"/>
        <v>0</v>
      </c>
      <c r="K237" s="321">
        <f>'[3]Gross Plant'!$C58</f>
        <v>0</v>
      </c>
      <c r="L237" s="323">
        <f t="shared" ref="L237:L238" si="79">G237</f>
        <v>0.10929999999999999</v>
      </c>
      <c r="M237" s="323">
        <f t="shared" ref="M237:M238" si="80">H237</f>
        <v>0.51883860656465508</v>
      </c>
      <c r="N237" s="616">
        <f t="shared" si="69"/>
        <v>0</v>
      </c>
      <c r="P237" s="1053"/>
      <c r="R237" s="422"/>
    </row>
    <row r="238" spans="1:18">
      <c r="A238" s="210">
        <f t="shared" si="77"/>
        <v>224</v>
      </c>
      <c r="B238" s="1053">
        <v>39110</v>
      </c>
      <c r="C238" s="232" t="s">
        <v>1544</v>
      </c>
      <c r="D238" s="321">
        <f>'[3]Gross Plant'!$Q59</f>
        <v>895316.76979955123</v>
      </c>
      <c r="E238" s="616">
        <v>0</v>
      </c>
      <c r="F238" s="617">
        <f t="shared" si="78"/>
        <v>895316.76979955123</v>
      </c>
      <c r="G238" s="465">
        <v>1</v>
      </c>
      <c r="H238" s="465">
        <f>$H$230</f>
        <v>2.3324339999999999E-2</v>
      </c>
      <c r="I238" s="616">
        <f t="shared" si="66"/>
        <v>20882.672746506465</v>
      </c>
      <c r="K238" s="321">
        <f>'[3]Gross Plant'!$C59</f>
        <v>443356.88050766505</v>
      </c>
      <c r="L238" s="323">
        <f t="shared" si="79"/>
        <v>1</v>
      </c>
      <c r="M238" s="323">
        <f t="shared" si="80"/>
        <v>2.3324339999999999E-2</v>
      </c>
      <c r="N238" s="616">
        <f t="shared" si="69"/>
        <v>10341.006622300152</v>
      </c>
      <c r="P238" s="1053"/>
      <c r="R238" s="422"/>
    </row>
    <row r="239" spans="1:18">
      <c r="A239" s="210">
        <f t="shared" si="77"/>
        <v>225</v>
      </c>
      <c r="B239" s="1053">
        <v>39210</v>
      </c>
      <c r="C239" s="232" t="s">
        <v>1545</v>
      </c>
      <c r="D239" s="321">
        <f>'[3]Gross Plant'!$Q60</f>
        <v>96290.22</v>
      </c>
      <c r="E239" s="616">
        <v>0</v>
      </c>
      <c r="F239" s="617">
        <f t="shared" si="78"/>
        <v>96290.22</v>
      </c>
      <c r="G239" s="465">
        <v>1</v>
      </c>
      <c r="H239" s="465">
        <f t="shared" ref="H239:H241" si="81">$H$230</f>
        <v>2.3324339999999999E-2</v>
      </c>
      <c r="I239" s="616">
        <f t="shared" si="66"/>
        <v>2245.9058299548001</v>
      </c>
      <c r="K239" s="321">
        <f>'[3]Gross Plant'!$C60</f>
        <v>96290.219999999987</v>
      </c>
      <c r="L239" s="323">
        <f t="shared" ref="L239:L241" si="82">G239</f>
        <v>1</v>
      </c>
      <c r="M239" s="323">
        <f t="shared" ref="M239:M241" si="83">H239</f>
        <v>2.3324339999999999E-2</v>
      </c>
      <c r="N239" s="616">
        <f t="shared" si="69"/>
        <v>2245.9058299547996</v>
      </c>
      <c r="P239" s="1053"/>
      <c r="R239" s="422"/>
    </row>
    <row r="240" spans="1:18">
      <c r="A240" s="210">
        <f t="shared" si="77"/>
        <v>226</v>
      </c>
      <c r="B240" s="1053">
        <v>39410</v>
      </c>
      <c r="C240" s="232" t="s">
        <v>1546</v>
      </c>
      <c r="D240" s="321">
        <f>'[3]Gross Plant'!$Q61</f>
        <v>347774.5</v>
      </c>
      <c r="E240" s="616">
        <v>0</v>
      </c>
      <c r="F240" s="617">
        <f t="shared" si="78"/>
        <v>347774.5</v>
      </c>
      <c r="G240" s="465">
        <v>1</v>
      </c>
      <c r="H240" s="465">
        <f t="shared" si="81"/>
        <v>2.3324339999999999E-2</v>
      </c>
      <c r="I240" s="616">
        <f t="shared" si="66"/>
        <v>8111.6106813299994</v>
      </c>
      <c r="K240" s="321">
        <f>'[3]Gross Plant'!$C61</f>
        <v>347774.5</v>
      </c>
      <c r="L240" s="323">
        <f t="shared" si="82"/>
        <v>1</v>
      </c>
      <c r="M240" s="323">
        <f t="shared" si="83"/>
        <v>2.3324339999999999E-2</v>
      </c>
      <c r="N240" s="616">
        <f t="shared" si="69"/>
        <v>8111.6106813299994</v>
      </c>
      <c r="P240" s="1053"/>
      <c r="R240" s="422"/>
    </row>
    <row r="241" spans="1:18">
      <c r="A241" s="210">
        <f t="shared" si="77"/>
        <v>227</v>
      </c>
      <c r="B241" s="1053">
        <v>39510</v>
      </c>
      <c r="C241" s="232" t="s">
        <v>1547</v>
      </c>
      <c r="D241" s="321">
        <f>'[3]Gross Plant'!$Q62</f>
        <v>23632.07</v>
      </c>
      <c r="E241" s="616">
        <v>0</v>
      </c>
      <c r="F241" s="617">
        <f t="shared" si="78"/>
        <v>23632.07</v>
      </c>
      <c r="G241" s="465">
        <v>1</v>
      </c>
      <c r="H241" s="465">
        <f t="shared" si="81"/>
        <v>2.3324339999999999E-2</v>
      </c>
      <c r="I241" s="616">
        <f t="shared" si="66"/>
        <v>551.20243558380002</v>
      </c>
      <c r="K241" s="321">
        <f>'[3]Gross Plant'!$C62</f>
        <v>23632.070000000003</v>
      </c>
      <c r="L241" s="323">
        <f t="shared" si="82"/>
        <v>1</v>
      </c>
      <c r="M241" s="323">
        <f t="shared" si="83"/>
        <v>2.3324339999999999E-2</v>
      </c>
      <c r="N241" s="616">
        <f t="shared" si="69"/>
        <v>551.20243558380002</v>
      </c>
      <c r="P241" s="1053"/>
      <c r="R241" s="422"/>
    </row>
    <row r="242" spans="1:18">
      <c r="A242" s="210">
        <f t="shared" si="77"/>
        <v>228</v>
      </c>
      <c r="B242" s="1053">
        <v>39700</v>
      </c>
      <c r="C242" s="232" t="s">
        <v>445</v>
      </c>
      <c r="D242" s="321">
        <f>'[3]Gross Plant'!$Q63</f>
        <v>1913117.11</v>
      </c>
      <c r="E242" s="616">
        <v>0</v>
      </c>
      <c r="F242" s="617">
        <f t="shared" si="65"/>
        <v>1913117.11</v>
      </c>
      <c r="G242" s="323">
        <f>$G$229</f>
        <v>0.10929999999999999</v>
      </c>
      <c r="H242" s="323">
        <f>$H$229</f>
        <v>0.51883860656465508</v>
      </c>
      <c r="I242" s="616">
        <f t="shared" si="66"/>
        <v>108491.07239933081</v>
      </c>
      <c r="K242" s="321">
        <f>'[3]Gross Plant'!$C63</f>
        <v>1913117.1099999996</v>
      </c>
      <c r="L242" s="323">
        <f t="shared" si="67"/>
        <v>0.10929999999999999</v>
      </c>
      <c r="M242" s="323">
        <f t="shared" si="68"/>
        <v>0.51883860656465508</v>
      </c>
      <c r="N242" s="616">
        <f t="shared" si="69"/>
        <v>108491.07239933079</v>
      </c>
      <c r="P242" s="1053"/>
      <c r="R242" s="422"/>
    </row>
    <row r="243" spans="1:18">
      <c r="A243" s="210">
        <f t="shared" si="77"/>
        <v>229</v>
      </c>
      <c r="B243" s="1053">
        <v>39710</v>
      </c>
      <c r="C243" s="232" t="s">
        <v>1211</v>
      </c>
      <c r="D243" s="321">
        <f>'[3]Gross Plant'!$Q64</f>
        <v>294319.45</v>
      </c>
      <c r="E243" s="616">
        <v>0</v>
      </c>
      <c r="F243" s="617">
        <f>D243+E243</f>
        <v>294319.45</v>
      </c>
      <c r="G243" s="465">
        <v>1</v>
      </c>
      <c r="H243" s="465">
        <f>$H$230</f>
        <v>2.3324339999999999E-2</v>
      </c>
      <c r="I243" s="616">
        <f t="shared" si="66"/>
        <v>6864.8069204129997</v>
      </c>
      <c r="K243" s="321">
        <f>'[3]Gross Plant'!$C64</f>
        <v>294319.45000000007</v>
      </c>
      <c r="L243" s="323">
        <f>G243</f>
        <v>1</v>
      </c>
      <c r="M243" s="323">
        <f>H243</f>
        <v>2.3324339999999999E-2</v>
      </c>
      <c r="N243" s="616">
        <f t="shared" si="69"/>
        <v>6864.8069204130015</v>
      </c>
      <c r="P243" s="1053"/>
      <c r="R243" s="422"/>
    </row>
    <row r="244" spans="1:18">
      <c r="A244" s="210">
        <f t="shared" si="77"/>
        <v>230</v>
      </c>
      <c r="B244" s="1053">
        <v>39800</v>
      </c>
      <c r="C244" s="232" t="s">
        <v>656</v>
      </c>
      <c r="D244" s="321">
        <f>'[3]Gross Plant'!$Q65</f>
        <v>70015.66</v>
      </c>
      <c r="E244" s="616">
        <v>0</v>
      </c>
      <c r="F244" s="617">
        <f t="shared" si="65"/>
        <v>70015.66</v>
      </c>
      <c r="G244" s="323">
        <f t="shared" ref="G244:G252" si="84">$G$229</f>
        <v>0.10929999999999999</v>
      </c>
      <c r="H244" s="323">
        <f t="shared" ref="H244:H252" si="85">$H$229</f>
        <v>0.51883860656465508</v>
      </c>
      <c r="I244" s="616">
        <f t="shared" si="66"/>
        <v>3970.522242701039</v>
      </c>
      <c r="K244" s="321">
        <f>'[3]Gross Plant'!$C65</f>
        <v>70015.660000000018</v>
      </c>
      <c r="L244" s="323">
        <f t="shared" si="67"/>
        <v>0.10929999999999999</v>
      </c>
      <c r="M244" s="323">
        <f t="shared" si="68"/>
        <v>0.51883860656465508</v>
      </c>
      <c r="N244" s="616">
        <f t="shared" si="69"/>
        <v>3970.5222427010399</v>
      </c>
      <c r="P244" s="1053"/>
      <c r="R244" s="422"/>
    </row>
    <row r="245" spans="1:18">
      <c r="A245" s="210">
        <f t="shared" si="77"/>
        <v>231</v>
      </c>
      <c r="B245" s="1053">
        <v>39810</v>
      </c>
      <c r="C245" s="232" t="s">
        <v>1548</v>
      </c>
      <c r="D245" s="321">
        <f>'[3]Gross Plant'!$Q66</f>
        <v>509282.85</v>
      </c>
      <c r="E245" s="616">
        <v>0</v>
      </c>
      <c r="F245" s="617">
        <f t="shared" si="65"/>
        <v>509282.85</v>
      </c>
      <c r="G245" s="323">
        <v>1</v>
      </c>
      <c r="H245" s="465">
        <f t="shared" ref="H245" si="86">$H$230</f>
        <v>2.3324339999999999E-2</v>
      </c>
      <c r="I245" s="616">
        <f t="shared" si="66"/>
        <v>11878.686349569</v>
      </c>
      <c r="K245" s="321">
        <f>'[3]Gross Plant'!$C66</f>
        <v>509282.84999999992</v>
      </c>
      <c r="L245" s="323">
        <f t="shared" si="67"/>
        <v>1</v>
      </c>
      <c r="M245" s="323">
        <f t="shared" si="68"/>
        <v>2.3324339999999999E-2</v>
      </c>
      <c r="N245" s="616">
        <f t="shared" si="69"/>
        <v>11878.686349568998</v>
      </c>
      <c r="P245" s="1053"/>
      <c r="R245" s="422"/>
    </row>
    <row r="246" spans="1:18">
      <c r="A246" s="210">
        <f t="shared" si="77"/>
        <v>232</v>
      </c>
      <c r="B246" s="1053">
        <v>39900</v>
      </c>
      <c r="C246" s="232" t="s">
        <v>1162</v>
      </c>
      <c r="D246" s="321">
        <f>'[3]Gross Plant'!$Q67</f>
        <v>629166.46</v>
      </c>
      <c r="E246" s="616">
        <v>0</v>
      </c>
      <c r="F246" s="617">
        <f t="shared" si="65"/>
        <v>629166.46</v>
      </c>
      <c r="G246" s="323">
        <f t="shared" si="84"/>
        <v>0.10929999999999999</v>
      </c>
      <c r="H246" s="323">
        <f t="shared" si="85"/>
        <v>0.51883860656465508</v>
      </c>
      <c r="I246" s="616">
        <f t="shared" si="66"/>
        <v>35679.438339815315</v>
      </c>
      <c r="K246" s="321">
        <f>'[3]Gross Plant'!$C67</f>
        <v>629166.46</v>
      </c>
      <c r="L246" s="323">
        <f t="shared" si="67"/>
        <v>0.10929999999999999</v>
      </c>
      <c r="M246" s="323">
        <f t="shared" si="68"/>
        <v>0.51883860656465508</v>
      </c>
      <c r="N246" s="616">
        <f t="shared" si="69"/>
        <v>35679.438339815315</v>
      </c>
      <c r="P246" s="1053"/>
      <c r="R246" s="422"/>
    </row>
    <row r="247" spans="1:18">
      <c r="A247" s="210">
        <f t="shared" si="77"/>
        <v>233</v>
      </c>
      <c r="B247" s="1053">
        <v>39901</v>
      </c>
      <c r="C247" s="232" t="s">
        <v>479</v>
      </c>
      <c r="D247" s="321">
        <f>'[3]Gross Plant'!$Q68</f>
        <v>9311156.1556295324</v>
      </c>
      <c r="E247" s="616">
        <v>0</v>
      </c>
      <c r="F247" s="617">
        <f t="shared" si="65"/>
        <v>9311156.1556295324</v>
      </c>
      <c r="G247" s="323">
        <f t="shared" si="84"/>
        <v>0.10929999999999999</v>
      </c>
      <c r="H247" s="323">
        <f t="shared" si="85"/>
        <v>0.51883860656465508</v>
      </c>
      <c r="I247" s="616">
        <f t="shared" si="66"/>
        <v>528026.91028249613</v>
      </c>
      <c r="K247" s="321">
        <f>'[3]Gross Plant'!$C68</f>
        <v>9310809.4759418741</v>
      </c>
      <c r="L247" s="323">
        <f t="shared" si="67"/>
        <v>0.10929999999999999</v>
      </c>
      <c r="M247" s="323">
        <f t="shared" si="68"/>
        <v>0.51883860656465508</v>
      </c>
      <c r="N247" s="616">
        <f t="shared" si="69"/>
        <v>528007.25040339283</v>
      </c>
      <c r="P247" s="1053"/>
      <c r="R247" s="422"/>
    </row>
    <row r="248" spans="1:18">
      <c r="A248" s="210">
        <f t="shared" ref="A248:A265" si="87">A247+1</f>
        <v>234</v>
      </c>
      <c r="B248" s="1053">
        <v>39902</v>
      </c>
      <c r="C248" s="232" t="s">
        <v>968</v>
      </c>
      <c r="D248" s="321">
        <f>'[3]Gross Plant'!$Q69</f>
        <v>1891144.7000000002</v>
      </c>
      <c r="E248" s="616">
        <v>0</v>
      </c>
      <c r="F248" s="617">
        <f t="shared" si="65"/>
        <v>1891144.7000000002</v>
      </c>
      <c r="G248" s="323">
        <f t="shared" si="84"/>
        <v>0.10929999999999999</v>
      </c>
      <c r="H248" s="323">
        <f t="shared" si="85"/>
        <v>0.51883860656465508</v>
      </c>
      <c r="I248" s="616">
        <f t="shared" si="66"/>
        <v>107245.03768894251</v>
      </c>
      <c r="K248" s="321">
        <f>'[3]Gross Plant'!$C69</f>
        <v>1891144.6999999995</v>
      </c>
      <c r="L248" s="323">
        <f t="shared" si="67"/>
        <v>0.10929999999999999</v>
      </c>
      <c r="M248" s="323">
        <f t="shared" si="68"/>
        <v>0.51883860656465508</v>
      </c>
      <c r="N248" s="616">
        <f t="shared" si="69"/>
        <v>107245.03768894247</v>
      </c>
      <c r="P248" s="1053"/>
      <c r="R248" s="422"/>
    </row>
    <row r="249" spans="1:18">
      <c r="A249" s="210">
        <f t="shared" si="87"/>
        <v>235</v>
      </c>
      <c r="B249" s="1053">
        <v>39903</v>
      </c>
      <c r="C249" s="232" t="s">
        <v>1011</v>
      </c>
      <c r="D249" s="321">
        <f>'[3]Gross Plant'!$Q70</f>
        <v>629225.62</v>
      </c>
      <c r="E249" s="616">
        <v>0</v>
      </c>
      <c r="F249" s="617">
        <f t="shared" si="65"/>
        <v>629225.62</v>
      </c>
      <c r="G249" s="323">
        <f t="shared" si="84"/>
        <v>0.10929999999999999</v>
      </c>
      <c r="H249" s="323">
        <f t="shared" si="85"/>
        <v>0.51883860656465508</v>
      </c>
      <c r="I249" s="616">
        <f>F249*G249*H249</f>
        <v>35682.793247787013</v>
      </c>
      <c r="K249" s="321">
        <f>'[3]Gross Plant'!$C70</f>
        <v>629225.62</v>
      </c>
      <c r="L249" s="323">
        <f t="shared" si="67"/>
        <v>0.10929999999999999</v>
      </c>
      <c r="M249" s="323">
        <f t="shared" si="68"/>
        <v>0.51883860656465508</v>
      </c>
      <c r="N249" s="616">
        <f t="shared" si="69"/>
        <v>35682.793247787013</v>
      </c>
      <c r="P249" s="1053"/>
      <c r="R249" s="422"/>
    </row>
    <row r="250" spans="1:18">
      <c r="A250" s="210">
        <f t="shared" si="87"/>
        <v>236</v>
      </c>
      <c r="B250" s="1053">
        <v>39906</v>
      </c>
      <c r="C250" s="232" t="s">
        <v>456</v>
      </c>
      <c r="D250" s="321">
        <f>'[3]Gross Plant'!$Q71</f>
        <v>883541.41595145303</v>
      </c>
      <c r="E250" s="616">
        <v>0</v>
      </c>
      <c r="F250" s="617">
        <f t="shared" si="65"/>
        <v>883541.41595145303</v>
      </c>
      <c r="G250" s="323">
        <f t="shared" si="84"/>
        <v>0.10929999999999999</v>
      </c>
      <c r="H250" s="323">
        <f t="shared" si="85"/>
        <v>0.51883860656465508</v>
      </c>
      <c r="I250" s="616">
        <f t="shared" si="66"/>
        <v>50104.802902419469</v>
      </c>
      <c r="K250" s="321">
        <f>'[3]Gross Plant'!$C71</f>
        <v>866038.23867797712</v>
      </c>
      <c r="L250" s="323">
        <f t="shared" si="67"/>
        <v>0.10929999999999999</v>
      </c>
      <c r="M250" s="323">
        <f t="shared" si="68"/>
        <v>0.51883860656465508</v>
      </c>
      <c r="N250" s="616">
        <f t="shared" si="69"/>
        <v>49112.214177521702</v>
      </c>
      <c r="P250" s="1053"/>
      <c r="R250" s="422"/>
    </row>
    <row r="251" spans="1:18">
      <c r="A251" s="210">
        <f t="shared" si="87"/>
        <v>237</v>
      </c>
      <c r="B251" s="1053">
        <v>39907</v>
      </c>
      <c r="C251" s="232" t="s">
        <v>510</v>
      </c>
      <c r="D251" s="321">
        <f>'[3]Gross Plant'!$Q72</f>
        <v>190246.97</v>
      </c>
      <c r="E251" s="616">
        <v>0</v>
      </c>
      <c r="F251" s="617">
        <f t="shared" si="65"/>
        <v>190246.97</v>
      </c>
      <c r="G251" s="323">
        <f t="shared" si="84"/>
        <v>0.10929999999999999</v>
      </c>
      <c r="H251" s="323">
        <f t="shared" si="85"/>
        <v>0.51883860656465508</v>
      </c>
      <c r="I251" s="616">
        <f t="shared" si="66"/>
        <v>10788.726779001689</v>
      </c>
      <c r="K251" s="321">
        <f>'[3]Gross Plant'!$C72</f>
        <v>190246.97000000003</v>
      </c>
      <c r="L251" s="323">
        <f t="shared" si="67"/>
        <v>0.10929999999999999</v>
      </c>
      <c r="M251" s="323">
        <f t="shared" si="68"/>
        <v>0.51883860656465508</v>
      </c>
      <c r="N251" s="616">
        <f t="shared" si="69"/>
        <v>10788.72677900169</v>
      </c>
      <c r="P251" s="1053"/>
      <c r="R251" s="422"/>
    </row>
    <row r="252" spans="1:18">
      <c r="A252" s="210">
        <f t="shared" si="87"/>
        <v>238</v>
      </c>
      <c r="B252" s="1053">
        <v>39908</v>
      </c>
      <c r="C252" s="232" t="s">
        <v>180</v>
      </c>
      <c r="D252" s="321">
        <f>'[3]Gross Plant'!$Q73</f>
        <v>88964074.633340657</v>
      </c>
      <c r="E252" s="616">
        <v>0</v>
      </c>
      <c r="F252" s="617">
        <f t="shared" si="65"/>
        <v>88964074.633340657</v>
      </c>
      <c r="G252" s="323">
        <f t="shared" si="84"/>
        <v>0.10929999999999999</v>
      </c>
      <c r="H252" s="323">
        <f t="shared" si="85"/>
        <v>0.51883860656465508</v>
      </c>
      <c r="I252" s="616">
        <f t="shared" si="66"/>
        <v>5045069.0193164544</v>
      </c>
      <c r="K252" s="321">
        <f>'[3]Gross Plant'!$C73</f>
        <v>88560536.282342181</v>
      </c>
      <c r="L252" s="323">
        <f t="shared" si="67"/>
        <v>0.10929999999999999</v>
      </c>
      <c r="M252" s="323">
        <f t="shared" si="68"/>
        <v>0.51883860656465508</v>
      </c>
      <c r="N252" s="616">
        <f t="shared" si="69"/>
        <v>5022184.738879445</v>
      </c>
      <c r="P252" s="1053"/>
      <c r="R252" s="422"/>
    </row>
    <row r="253" spans="1:18">
      <c r="A253" s="210">
        <f t="shared" si="87"/>
        <v>239</v>
      </c>
      <c r="B253" s="1053">
        <v>39910</v>
      </c>
      <c r="C253" s="232" t="s">
        <v>1212</v>
      </c>
      <c r="D253" s="321">
        <f>'[3]Gross Plant'!$Q74</f>
        <v>169959.94333239601</v>
      </c>
      <c r="E253" s="616">
        <v>0</v>
      </c>
      <c r="F253" s="617">
        <f>D253+E253</f>
        <v>169959.94333239601</v>
      </c>
      <c r="G253" s="465">
        <v>1</v>
      </c>
      <c r="H253" s="465">
        <f>$H$230</f>
        <v>2.3324339999999999E-2</v>
      </c>
      <c r="I253" s="616">
        <f t="shared" si="66"/>
        <v>3964.2035046655374</v>
      </c>
      <c r="K253" s="321">
        <f>'[3]Gross Plant'!$C74</f>
        <v>130348.40180374039</v>
      </c>
      <c r="L253" s="323">
        <f>G253</f>
        <v>1</v>
      </c>
      <c r="M253" s="323">
        <f>H253</f>
        <v>2.3324339999999999E-2</v>
      </c>
      <c r="N253" s="616">
        <f t="shared" si="69"/>
        <v>3040.2904421270541</v>
      </c>
      <c r="P253" s="1053"/>
      <c r="R253" s="422"/>
    </row>
    <row r="254" spans="1:18">
      <c r="A254" s="210">
        <f t="shared" si="87"/>
        <v>240</v>
      </c>
      <c r="B254" s="1053">
        <v>39916</v>
      </c>
      <c r="C254" s="80" t="s">
        <v>1213</v>
      </c>
      <c r="D254" s="321">
        <f>'[3]Gross Plant'!$Q75</f>
        <v>258414.52118249593</v>
      </c>
      <c r="E254" s="616">
        <v>0</v>
      </c>
      <c r="F254" s="617">
        <f t="shared" ref="F254:F257" si="88">D254+E254</f>
        <v>258414.52118249593</v>
      </c>
      <c r="G254" s="465">
        <v>1</v>
      </c>
      <c r="H254" s="465">
        <f>$H$230</f>
        <v>2.3324339999999999E-2</v>
      </c>
      <c r="I254" s="616">
        <f t="shared" si="66"/>
        <v>6027.3481529977371</v>
      </c>
      <c r="K254" s="321">
        <f>'[3]Gross Plant'!$C75</f>
        <v>239791.19029017878</v>
      </c>
      <c r="L254" s="323">
        <f t="shared" ref="L254:L255" si="89">G254</f>
        <v>1</v>
      </c>
      <c r="M254" s="323">
        <f t="shared" ref="M254:M255" si="90">H254</f>
        <v>2.3324339999999999E-2</v>
      </c>
      <c r="N254" s="616">
        <f t="shared" si="69"/>
        <v>5592.9712513328286</v>
      </c>
      <c r="P254" s="1053"/>
      <c r="R254" s="422"/>
    </row>
    <row r="255" spans="1:18">
      <c r="A255" s="210">
        <f t="shared" si="87"/>
        <v>241</v>
      </c>
      <c r="B255" s="1053">
        <v>39917</v>
      </c>
      <c r="C255" s="80" t="s">
        <v>1214</v>
      </c>
      <c r="D255" s="321">
        <f>'[3]Gross Plant'!$Q76</f>
        <v>110226.79273292156</v>
      </c>
      <c r="E255" s="616">
        <v>0</v>
      </c>
      <c r="F255" s="617">
        <f t="shared" si="88"/>
        <v>110226.79273292156</v>
      </c>
      <c r="G255" s="465">
        <v>1</v>
      </c>
      <c r="H255" s="465">
        <f>$H$230</f>
        <v>2.3324339999999999E-2</v>
      </c>
      <c r="I255" s="616">
        <f t="shared" si="66"/>
        <v>2570.9671908121913</v>
      </c>
      <c r="K255" s="321">
        <f>'[3]Gross Plant'!$C76</f>
        <v>104927.82915188149</v>
      </c>
      <c r="L255" s="323">
        <f t="shared" si="89"/>
        <v>1</v>
      </c>
      <c r="M255" s="323">
        <f t="shared" si="90"/>
        <v>2.3324339999999999E-2</v>
      </c>
      <c r="N255" s="616">
        <f t="shared" si="69"/>
        <v>2447.3723626003957</v>
      </c>
      <c r="P255" s="1053"/>
      <c r="R255" s="422"/>
    </row>
    <row r="256" spans="1:18">
      <c r="A256" s="210">
        <f t="shared" si="87"/>
        <v>242</v>
      </c>
      <c r="B256" s="1053">
        <v>39918</v>
      </c>
      <c r="C256" s="80" t="s">
        <v>1549</v>
      </c>
      <c r="D256" s="321">
        <f>'[3]Gross Plant'!$Q77</f>
        <v>20560.16</v>
      </c>
      <c r="E256" s="616">
        <v>0</v>
      </c>
      <c r="F256" s="617">
        <f t="shared" si="88"/>
        <v>20560.16</v>
      </c>
      <c r="G256" s="465">
        <v>1</v>
      </c>
      <c r="H256" s="465">
        <f>$H$230</f>
        <v>2.3324339999999999E-2</v>
      </c>
      <c r="I256" s="616">
        <f t="shared" si="66"/>
        <v>479.55216229439998</v>
      </c>
      <c r="K256" s="321">
        <f>'[3]Gross Plant'!$C77</f>
        <v>20560.16</v>
      </c>
      <c r="L256" s="323">
        <f t="shared" ref="L256:L257" si="91">G256</f>
        <v>1</v>
      </c>
      <c r="M256" s="323">
        <f t="shared" ref="M256:M257" si="92">H256</f>
        <v>2.3324339999999999E-2</v>
      </c>
      <c r="N256" s="616">
        <f t="shared" si="69"/>
        <v>479.55216229439998</v>
      </c>
      <c r="P256" s="1053"/>
      <c r="R256" s="422"/>
    </row>
    <row r="257" spans="1:18">
      <c r="A257" s="210">
        <f t="shared" si="87"/>
        <v>243</v>
      </c>
      <c r="B257" s="1053">
        <v>39924</v>
      </c>
      <c r="C257" s="80" t="s">
        <v>1550</v>
      </c>
      <c r="D257" s="321">
        <f>'[3]Gross Plant'!$Q78</f>
        <v>0</v>
      </c>
      <c r="E257" s="616">
        <v>0</v>
      </c>
      <c r="F257" s="617">
        <f t="shared" si="88"/>
        <v>0</v>
      </c>
      <c r="G257" s="323">
        <f t="shared" ref="G257" si="93">$G$229</f>
        <v>0.10929999999999999</v>
      </c>
      <c r="H257" s="323">
        <f t="shared" ref="H257" si="94">$H$229</f>
        <v>0.51883860656465508</v>
      </c>
      <c r="I257" s="616">
        <f t="shared" si="66"/>
        <v>0</v>
      </c>
      <c r="K257" s="321">
        <f>'[3]Gross Plant'!$C78</f>
        <v>0</v>
      </c>
      <c r="L257" s="323">
        <f t="shared" si="91"/>
        <v>0.10929999999999999</v>
      </c>
      <c r="M257" s="323">
        <f t="shared" si="92"/>
        <v>0.51883860656465508</v>
      </c>
      <c r="N257" s="616">
        <f t="shared" si="69"/>
        <v>0</v>
      </c>
      <c r="P257" s="1053"/>
      <c r="R257" s="422"/>
    </row>
    <row r="258" spans="1:18">
      <c r="A258" s="210">
        <f t="shared" si="87"/>
        <v>244</v>
      </c>
      <c r="B258" s="196"/>
      <c r="C258" s="232"/>
      <c r="D258" s="618"/>
      <c r="E258" s="618"/>
      <c r="F258" s="618"/>
      <c r="I258" s="618"/>
      <c r="K258" s="618"/>
      <c r="N258" s="618"/>
    </row>
    <row r="259" spans="1:18" ht="15.75" thickBot="1">
      <c r="A259" s="210">
        <f t="shared" si="87"/>
        <v>245</v>
      </c>
      <c r="B259" s="196"/>
      <c r="C259" s="232" t="s">
        <v>1340</v>
      </c>
      <c r="D259" s="510">
        <f>SUM(D229:D257)</f>
        <v>145030146.23000002</v>
      </c>
      <c r="E259" s="510">
        <f>SUM(E229:E257)</f>
        <v>0</v>
      </c>
      <c r="F259" s="510">
        <f>SUM(F229:F257)</f>
        <v>145030146.23000002</v>
      </c>
      <c r="G259" s="1032"/>
      <c r="H259" s="1032"/>
      <c r="I259" s="510">
        <f>SUM(I229:I257)</f>
        <v>7562176.6122291647</v>
      </c>
      <c r="J259" s="809"/>
      <c r="K259" s="510">
        <f>SUM(K229:K257)</f>
        <v>141494323.39076921</v>
      </c>
      <c r="L259" s="1032"/>
      <c r="M259" s="1032"/>
      <c r="N259" s="510">
        <f>SUM(N229:N257)</f>
        <v>7465003.7382345023</v>
      </c>
      <c r="P259" s="616"/>
      <c r="Q259" s="616"/>
    </row>
    <row r="260" spans="1:18" ht="15.75" thickTop="1">
      <c r="A260" s="210">
        <f t="shared" si="87"/>
        <v>246</v>
      </c>
      <c r="B260" s="196"/>
      <c r="C260" s="232"/>
      <c r="D260" s="321"/>
      <c r="E260" s="321"/>
      <c r="F260" s="321"/>
      <c r="I260" s="321"/>
      <c r="K260" s="321"/>
      <c r="N260" s="321"/>
    </row>
    <row r="261" spans="1:18">
      <c r="A261" s="210">
        <f t="shared" si="87"/>
        <v>247</v>
      </c>
      <c r="B261" s="196"/>
      <c r="C261" s="196" t="s">
        <v>756</v>
      </c>
      <c r="D261" s="321">
        <f>'[3]Gross Plant'!$Q$208</f>
        <v>3382555.21</v>
      </c>
      <c r="E261" s="321">
        <v>0</v>
      </c>
      <c r="F261" s="321">
        <f>D261+E261</f>
        <v>3382555.21</v>
      </c>
      <c r="G261" s="323">
        <f>$G$229</f>
        <v>0.10929999999999999</v>
      </c>
      <c r="H261" s="323">
        <f>$H$229</f>
        <v>0.51883860656465508</v>
      </c>
      <c r="I261" s="321">
        <f>F261*G261*H261</f>
        <v>191821.52533403647</v>
      </c>
      <c r="K261" s="321">
        <f>'[3]Gross Plant'!$C$208</f>
        <v>2948970.1623076922</v>
      </c>
      <c r="L261" s="323">
        <f>G261</f>
        <v>0.10929999999999999</v>
      </c>
      <c r="M261" s="323">
        <f>H261</f>
        <v>0.51883860656465508</v>
      </c>
      <c r="N261" s="321">
        <f>K261*L261*M261</f>
        <v>167233.32498050272</v>
      </c>
    </row>
    <row r="262" spans="1:18">
      <c r="A262" s="210">
        <f t="shared" si="87"/>
        <v>248</v>
      </c>
    </row>
    <row r="263" spans="1:18" ht="15.75" thickBot="1">
      <c r="A263" s="210">
        <f t="shared" si="87"/>
        <v>249</v>
      </c>
      <c r="C263" s="232" t="s">
        <v>755</v>
      </c>
      <c r="D263" s="510">
        <f>D259+D222+D176+D114</f>
        <v>935678480.24722469</v>
      </c>
      <c r="E263" s="510">
        <f>E259+E222+E176+E114</f>
        <v>0</v>
      </c>
      <c r="F263" s="510">
        <f>F259+F222+F176+F114</f>
        <v>935678480.24722469</v>
      </c>
      <c r="I263" s="510">
        <f>I259+I222+I176+I114</f>
        <v>609603941.57196522</v>
      </c>
      <c r="K263" s="510">
        <f>K259+K222+K176+K114</f>
        <v>900302661.96288681</v>
      </c>
      <c r="N263" s="510">
        <f>N259+N222+N176+N114</f>
        <v>580489690.6128484</v>
      </c>
    </row>
    <row r="264" spans="1:18" ht="15.75" thickTop="1">
      <c r="A264" s="210">
        <f t="shared" si="87"/>
        <v>250</v>
      </c>
    </row>
    <row r="265" spans="1:18" ht="30.75" thickBot="1">
      <c r="A265" s="210">
        <f t="shared" si="87"/>
        <v>251</v>
      </c>
      <c r="C265" s="613" t="s">
        <v>5</v>
      </c>
      <c r="D265" s="510">
        <f>D261+D224+D178+D116</f>
        <v>39084184.399999991</v>
      </c>
      <c r="E265" s="1055"/>
      <c r="F265" s="510">
        <f>F261+F224+F178+F116</f>
        <v>39084184.399999991</v>
      </c>
      <c r="I265" s="510">
        <f>I261+I224+I178+I116</f>
        <v>27493203.263484463</v>
      </c>
      <c r="K265" s="510">
        <f>K261+K224+K178+K116</f>
        <v>32454835.916923072</v>
      </c>
      <c r="N265" s="510">
        <f>N261+N224+N178+N116</f>
        <v>22166216.509146169</v>
      </c>
    </row>
    <row r="266" spans="1:18" ht="15.75" thickTop="1"/>
    <row r="269" spans="1:18">
      <c r="C269" s="80" t="s">
        <v>523</v>
      </c>
    </row>
    <row r="270" spans="1:18">
      <c r="C270" s="80" t="s">
        <v>1602</v>
      </c>
    </row>
  </sheetData>
  <mergeCells count="4">
    <mergeCell ref="A1:N1"/>
    <mergeCell ref="A2:N2"/>
    <mergeCell ref="A3:N3"/>
    <mergeCell ref="A4:N4"/>
  </mergeCells>
  <phoneticPr fontId="22" type="noConversion"/>
  <pageMargins left="0.72" right="0.57999999999999996" top="1" bottom="1" header="0.5" footer="0.5"/>
  <pageSetup scale="55" orientation="landscape" r:id="rId1"/>
  <headerFooter alignWithMargins="0">
    <oddFooter>&amp;RSchedule &amp;A
Page &amp;P of &amp;N</oddFooter>
  </headerFooter>
  <rowBreaks count="6" manualBreakCount="6">
    <brk id="47" max="13" man="1"/>
    <brk id="83" max="13" man="1"/>
    <brk id="116" max="13" man="1"/>
    <brk id="149" max="13" man="1"/>
    <brk id="178" max="13" man="1"/>
    <brk id="224" max="1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108</vt:i4>
      </vt:variant>
    </vt:vector>
  </HeadingPairs>
  <TitlesOfParts>
    <vt:vector size="188" baseType="lpstr">
      <vt:lpstr>Table of Contents</vt:lpstr>
      <vt:lpstr>Allocation</vt:lpstr>
      <vt:lpstr>Cover A</vt:lpstr>
      <vt:lpstr>A.1</vt:lpstr>
      <vt:lpstr>Cover B</vt:lpstr>
      <vt:lpstr>B.1 B</vt:lpstr>
      <vt:lpstr>B.1 F </vt:lpstr>
      <vt:lpstr>B.2 F</vt:lpstr>
      <vt:lpstr>B.2 B</vt:lpstr>
      <vt:lpstr>B.3 B</vt:lpstr>
      <vt:lpstr>B.3 F</vt:lpstr>
      <vt:lpstr>B.3.1 F</vt:lpstr>
      <vt:lpstr>B.4 B</vt:lpstr>
      <vt:lpstr>B.4 F</vt:lpstr>
      <vt:lpstr>B.4.1 B</vt:lpstr>
      <vt:lpstr>B.4.1 F</vt:lpstr>
      <vt:lpstr>B.4.2 B</vt:lpstr>
      <vt:lpstr>B.4.2 F</vt:lpstr>
      <vt:lpstr>B.5 B</vt:lpstr>
      <vt:lpstr>B.5 F</vt:lpstr>
      <vt:lpstr>B.6 B</vt:lpstr>
      <vt:lpstr>B.6 F</vt:lpstr>
      <vt:lpstr>WP B.4.1F</vt:lpstr>
      <vt:lpstr>WP B.4.1B</vt:lpstr>
      <vt:lpstr>WP B.5 B</vt:lpstr>
      <vt:lpstr>WP B.5 F</vt:lpstr>
      <vt:lpstr>WP B.5 F1</vt:lpstr>
      <vt:lpstr>WP B.6 B</vt:lpstr>
      <vt:lpstr>WP B.6 F</vt:lpstr>
      <vt:lpstr>Cover C</vt:lpstr>
      <vt:lpstr>C.1</vt:lpstr>
      <vt:lpstr>C.2</vt:lpstr>
      <vt:lpstr>C.2.1 B</vt:lpstr>
      <vt:lpstr>C.2.1 F</vt:lpstr>
      <vt:lpstr>C.2.2 B 09</vt:lpstr>
      <vt:lpstr>C.2.2 B 02</vt:lpstr>
      <vt:lpstr>C.2.2 B 12</vt:lpstr>
      <vt:lpstr>C.2.2 B 91</vt:lpstr>
      <vt:lpstr>C.2.2-F 09</vt:lpstr>
      <vt:lpstr>C.2.2-F 02</vt:lpstr>
      <vt:lpstr>C.2.2-F 12</vt:lpstr>
      <vt:lpstr>C.2.2-F 91</vt:lpstr>
      <vt:lpstr>C.2.3 B</vt:lpstr>
      <vt:lpstr>C.2.3 F</vt:lpstr>
      <vt:lpstr>Cover D</vt:lpstr>
      <vt:lpstr>D.1</vt:lpstr>
      <vt:lpstr>D.2.1</vt:lpstr>
      <vt:lpstr>D.2.2</vt:lpstr>
      <vt:lpstr>D.2.3</vt:lpstr>
      <vt:lpstr>Cover E</vt:lpstr>
      <vt:lpstr>E</vt:lpstr>
      <vt:lpstr>Cover F</vt:lpstr>
      <vt:lpstr>F.1</vt:lpstr>
      <vt:lpstr>F.2.1</vt:lpstr>
      <vt:lpstr>F.2.2</vt:lpstr>
      <vt:lpstr>F.2.3</vt:lpstr>
      <vt:lpstr>F.3</vt:lpstr>
      <vt:lpstr>F.4</vt:lpstr>
      <vt:lpstr>F.5</vt:lpstr>
      <vt:lpstr>F.6</vt:lpstr>
      <vt:lpstr>F.7</vt:lpstr>
      <vt:lpstr>F.8</vt:lpstr>
      <vt:lpstr>F.9</vt:lpstr>
      <vt:lpstr>F.10</vt:lpstr>
      <vt:lpstr>G.1</vt:lpstr>
      <vt:lpstr>G.2</vt:lpstr>
      <vt:lpstr>G.3</vt:lpstr>
      <vt:lpstr>H.1</vt:lpstr>
      <vt:lpstr>I.1</vt:lpstr>
      <vt:lpstr>I.2</vt:lpstr>
      <vt:lpstr>I.3</vt:lpstr>
      <vt:lpstr>J-1 Base</vt:lpstr>
      <vt:lpstr>J-2 B</vt:lpstr>
      <vt:lpstr>J-3 B</vt:lpstr>
      <vt:lpstr>J-4</vt:lpstr>
      <vt:lpstr>J.1</vt:lpstr>
      <vt:lpstr>J-1 F</vt:lpstr>
      <vt:lpstr>J-2 F</vt:lpstr>
      <vt:lpstr>J-3 F</vt:lpstr>
      <vt:lpstr>K</vt:lpstr>
      <vt:lpstr>A.1!Print_Area</vt:lpstr>
      <vt:lpstr>Allocation!Print_Area</vt:lpstr>
      <vt:lpstr>'B.1 B'!Print_Area</vt:lpstr>
      <vt:lpstr>'B.1 F '!Print_Area</vt:lpstr>
      <vt:lpstr>'B.2 B'!Print_Area</vt:lpstr>
      <vt:lpstr>'B.2 F'!Print_Area</vt:lpstr>
      <vt:lpstr>'B.3 B'!Print_Area</vt:lpstr>
      <vt:lpstr>'B.3 F'!Print_Area</vt:lpstr>
      <vt:lpstr>'B.3.1 F'!Print_Area</vt:lpstr>
      <vt:lpstr>'B.4 B'!Print_Area</vt:lpstr>
      <vt:lpstr>'B.4 F'!Print_Area</vt:lpstr>
      <vt:lpstr>'B.4.1 B'!Print_Area</vt:lpstr>
      <vt:lpstr>'B.4.1 F'!Print_Area</vt:lpstr>
      <vt:lpstr>'B.4.2 B'!Print_Area</vt:lpstr>
      <vt:lpstr>'B.4.2 F'!Print_Area</vt:lpstr>
      <vt:lpstr>'B.5 B'!Print_Area</vt:lpstr>
      <vt:lpstr>'B.5 F'!Print_Area</vt:lpstr>
      <vt:lpstr>'B.6 B'!Print_Area</vt:lpstr>
      <vt:lpstr>'B.6 F'!Print_Area</vt:lpstr>
      <vt:lpstr>C.1!Print_Area</vt:lpstr>
      <vt:lpstr>C.2!Print_Area</vt:lpstr>
      <vt:lpstr>'C.2.1 B'!Print_Area</vt:lpstr>
      <vt:lpstr>'C.2.1 F'!Print_Area</vt:lpstr>
      <vt:lpstr>'C.2.2 B 02'!Print_Area</vt:lpstr>
      <vt:lpstr>'C.2.2 B 09'!Print_Area</vt:lpstr>
      <vt:lpstr>'C.2.2 B 12'!Print_Area</vt:lpstr>
      <vt:lpstr>'C.2.2 B 91'!Print_Area</vt:lpstr>
      <vt:lpstr>'C.2.2-F 02'!Print_Area</vt:lpstr>
      <vt:lpstr>'C.2.2-F 09'!Print_Area</vt:lpstr>
      <vt:lpstr>'C.2.2-F 12'!Print_Area</vt:lpstr>
      <vt:lpstr>'C.2.2-F 91'!Print_Area</vt:lpstr>
      <vt:lpstr>'C.2.3 B'!Print_Area</vt:lpstr>
      <vt:lpstr>'C.2.3 F'!Print_Area</vt:lpstr>
      <vt:lpstr>'Cover B'!Print_Area</vt:lpstr>
      <vt:lpstr>'Cover C'!Print_Area</vt:lpstr>
      <vt:lpstr>'Cover D'!Print_Area</vt:lpstr>
      <vt:lpstr>'Cover E'!Print_Area</vt:lpstr>
      <vt:lpstr>'Cover F'!Print_Area</vt:lpstr>
      <vt:lpstr>D.1!Print_Area</vt:lpstr>
      <vt:lpstr>D.2.1!Print_Area</vt:lpstr>
      <vt:lpstr>D.2.2!Print_Area</vt:lpstr>
      <vt:lpstr>D.2.3!Print_Area</vt:lpstr>
      <vt:lpstr>E!Print_Area</vt:lpstr>
      <vt:lpstr>F.1!Print_Area</vt:lpstr>
      <vt:lpstr>F.10!Print_Area</vt:lpstr>
      <vt:lpstr>F.2.1!Print_Area</vt:lpstr>
      <vt:lpstr>F.2.2!Print_Area</vt:lpstr>
      <vt:lpstr>F.2.3!Print_Area</vt:lpstr>
      <vt:lpstr>F.3!Print_Area</vt:lpstr>
      <vt:lpstr>F.4!Print_Area</vt:lpstr>
      <vt:lpstr>F.5!Print_Area</vt:lpstr>
      <vt:lpstr>F.6!Print_Area</vt:lpstr>
      <vt:lpstr>F.7!Print_Area</vt:lpstr>
      <vt:lpstr>F.8!Print_Area</vt:lpstr>
      <vt:lpstr>F.9!Print_Area</vt:lpstr>
      <vt:lpstr>G.1!Print_Area</vt:lpstr>
      <vt:lpstr>G.2!Print_Area</vt:lpstr>
      <vt:lpstr>G.3!Print_Area</vt:lpstr>
      <vt:lpstr>H.1!Print_Area</vt:lpstr>
      <vt:lpstr>I.1!Print_Area</vt:lpstr>
      <vt:lpstr>I.2!Print_Area</vt:lpstr>
      <vt:lpstr>I.3!Print_Area</vt:lpstr>
      <vt:lpstr>J.1!Print_Area</vt:lpstr>
      <vt:lpstr>'J-1 Base'!Print_Area</vt:lpstr>
      <vt:lpstr>'J-1 F'!Print_Area</vt:lpstr>
      <vt:lpstr>'J-2 B'!Print_Area</vt:lpstr>
      <vt:lpstr>'J-2 F'!Print_Area</vt:lpstr>
      <vt:lpstr>'J-3 B'!Print_Area</vt:lpstr>
      <vt:lpstr>'J-3 F'!Print_Area</vt:lpstr>
      <vt:lpstr>'J-4'!Print_Area</vt:lpstr>
      <vt:lpstr>K!Print_Area</vt:lpstr>
      <vt:lpstr>'WP B.4.1B'!Print_Area</vt:lpstr>
      <vt:lpstr>'WP B.4.1F'!Print_Area</vt:lpstr>
      <vt:lpstr>'WP B.5 B'!Print_Area</vt:lpstr>
      <vt:lpstr>'WP B.5 F'!Print_Area</vt:lpstr>
      <vt:lpstr>'WP B.6 B'!Print_Area</vt:lpstr>
      <vt:lpstr>'WP B.6 F'!Print_Area</vt:lpstr>
      <vt:lpstr>Print_Area_MI</vt:lpstr>
      <vt:lpstr>'B.1 B'!Print_Titles</vt:lpstr>
      <vt:lpstr>'B.2 B'!Print_Titles</vt:lpstr>
      <vt:lpstr>'B.2 F'!Print_Titles</vt:lpstr>
      <vt:lpstr>'B.3 B'!Print_Titles</vt:lpstr>
      <vt:lpstr>'B.3 F'!Print_Titles</vt:lpstr>
      <vt:lpstr>'B.3.1 F'!Print_Titles</vt:lpstr>
      <vt:lpstr>'B.5 B'!Print_Titles</vt:lpstr>
      <vt:lpstr>'B.5 F'!Print_Titles</vt:lpstr>
      <vt:lpstr>'B.6 B'!Print_Titles</vt:lpstr>
      <vt:lpstr>'B.6 F'!Print_Titles</vt:lpstr>
      <vt:lpstr>'C.2.1 B'!Print_Titles</vt:lpstr>
      <vt:lpstr>'C.2.1 F'!Print_Titles</vt:lpstr>
      <vt:lpstr>'C.2.2 B 02'!Print_Titles</vt:lpstr>
      <vt:lpstr>'C.2.2 B 09'!Print_Titles</vt:lpstr>
      <vt:lpstr>'C.2.2 B 12'!Print_Titles</vt:lpstr>
      <vt:lpstr>'C.2.2 B 91'!Print_Titles</vt:lpstr>
      <vt:lpstr>'C.2.2-F 02'!Print_Titles</vt:lpstr>
      <vt:lpstr>'C.2.2-F 09'!Print_Titles</vt:lpstr>
      <vt:lpstr>'C.2.2-F 12'!Print_Titles</vt:lpstr>
      <vt:lpstr>'C.2.2-F 91'!Print_Titles</vt:lpstr>
      <vt:lpstr>'C.2.3 B'!Print_Titles</vt:lpstr>
      <vt:lpstr>'C.2.3 F'!Print_Titles</vt:lpstr>
      <vt:lpstr>D.1!Print_Titles</vt:lpstr>
      <vt:lpstr>F.1!Print_Titles</vt:lpstr>
      <vt:lpstr>K!Print_Titles</vt:lpstr>
      <vt:lpstr>'WP B.5 B'!Print_Titles</vt:lpstr>
      <vt:lpstr>'WP B.5 F'!Print_Titles</vt:lpstr>
      <vt:lpstr>'WP B.6 B'!Print_Titles</vt:lpstr>
      <vt:lpstr>'WP B.6 F'!Print_Titles</vt:lpstr>
      <vt:lpstr>SCHEDA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Cagle</dc:creator>
  <cp:lastModifiedBy>Greg  Waller</cp:lastModifiedBy>
  <cp:lastPrinted>2017-09-18T17:49:36Z</cp:lastPrinted>
  <dcterms:created xsi:type="dcterms:W3CDTF">1998-03-09T18:47:56Z</dcterms:created>
  <dcterms:modified xsi:type="dcterms:W3CDTF">2018-02-27T22:06:52Z</dcterms:modified>
</cp:coreProperties>
</file>