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5" yWindow="6135" windowWidth="19440" windowHeight="1620" tabRatio="769" activeTab="1"/>
  </bookViews>
  <sheets>
    <sheet name="Table of Contents" sheetId="204" r:id="rId1"/>
    <sheet name="Allocation" sheetId="212" r:id="rId2"/>
    <sheet name="Cover A" sheetId="205" r:id="rId3"/>
    <sheet name="A.1" sheetId="1" r:id="rId4"/>
    <sheet name="Cover B" sheetId="206" r:id="rId5"/>
    <sheet name="B.1 B" sheetId="3" r:id="rId6"/>
    <sheet name="B.1 F " sheetId="137" r:id="rId7"/>
    <sheet name="B.2 F" sheetId="213" r:id="rId8"/>
    <sheet name="B.2 B" sheetId="207" r:id="rId9"/>
    <sheet name="B.3 B" sheetId="236" r:id="rId10"/>
    <sheet name="B.3 F" sheetId="209" r:id="rId11"/>
    <sheet name="B.3.1 F" sheetId="237" r:id="rId12"/>
    <sheet name="B.4 B" sheetId="31" r:id="rId13"/>
    <sheet name="B.4 F" sheetId="67" r:id="rId14"/>
    <sheet name="B.4.1 B" sheetId="30" r:id="rId15"/>
    <sheet name="B.4.1 F" sheetId="215" r:id="rId16"/>
    <sheet name="B.4.2 B" sheetId="24" r:id="rId17"/>
    <sheet name="B.4.2 F" sheetId="69" r:id="rId18"/>
    <sheet name="B.5 B" sheetId="231" r:id="rId19"/>
    <sheet name="B.5 F" sheetId="232" r:id="rId20"/>
    <sheet name="B.6 B" sheetId="243" r:id="rId21"/>
    <sheet name="B.6 F" sheetId="244" r:id="rId22"/>
    <sheet name="WP B.4.1F" sheetId="216" r:id="rId23"/>
    <sheet name="WP B.4.1B" sheetId="214" r:id="rId24"/>
    <sheet name="WP B.5 B" sheetId="230" r:id="rId25"/>
    <sheet name="WP B.5 F" sheetId="233" r:id="rId26"/>
    <sheet name="WP B.6 B" sheetId="241" r:id="rId27"/>
    <sheet name="WP B.6 F" sheetId="242" r:id="rId28"/>
    <sheet name="Cover C" sheetId="211" r:id="rId29"/>
    <sheet name="C.1" sheetId="47" r:id="rId30"/>
    <sheet name="C.2" sheetId="46" r:id="rId31"/>
    <sheet name="C.2.1 B" sheetId="45" r:id="rId32"/>
    <sheet name="C.2.1 F" sheetId="79" r:id="rId33"/>
    <sheet name="C.2.2 B 09" sheetId="44" r:id="rId34"/>
    <sheet name="C.2.2 B 02" sheetId="190" r:id="rId35"/>
    <sheet name="C.2.2 B 12" sheetId="193" r:id="rId36"/>
    <sheet name="C.2.2 B 91" sheetId="192" r:id="rId37"/>
    <sheet name="C.2.2-F 09" sheetId="222" r:id="rId38"/>
    <sheet name="C.2.2-F 02" sheetId="226" r:id="rId39"/>
    <sheet name="C.2.2-F 12" sheetId="227" r:id="rId40"/>
    <sheet name="C.2.2-F 91" sheetId="228" r:id="rId41"/>
    <sheet name="C.2.3 B" sheetId="171" r:id="rId42"/>
    <sheet name="C.2.3 F" sheetId="238" r:id="rId43"/>
    <sheet name="Cover D" sheetId="221" r:id="rId44"/>
    <sheet name="D.1" sheetId="51" r:id="rId45"/>
    <sheet name="D.2.1" sheetId="50" r:id="rId46"/>
    <sheet name="D.2.2" sheetId="49" r:id="rId47"/>
    <sheet name="D.2.3" sheetId="48" r:id="rId48"/>
    <sheet name="Cover E" sheetId="235" r:id="rId49"/>
    <sheet name="E" sheetId="84" r:id="rId50"/>
    <sheet name="Cover F" sheetId="245" r:id="rId51"/>
    <sheet name="F.1" sheetId="248" r:id="rId52"/>
    <sheet name="F.2.1" sheetId="107" r:id="rId53"/>
    <sheet name="F.2.2" sheetId="104" r:id="rId54"/>
    <sheet name="F.2.3" sheetId="105" r:id="rId55"/>
    <sheet name="F.3" sheetId="100" r:id="rId56"/>
    <sheet name="F.4" sheetId="247" r:id="rId57"/>
    <sheet name="F.5" sheetId="102" r:id="rId58"/>
    <sheet name="F.6" sheetId="106" r:id="rId59"/>
    <sheet name="F.7" sheetId="103" r:id="rId60"/>
    <sheet name="F.8" sheetId="239" r:id="rId61"/>
    <sheet name="F.9" sheetId="249" r:id="rId62"/>
    <sheet name="F.10" sheetId="250" r:id="rId63"/>
    <sheet name="G.1" sheetId="36" r:id="rId64"/>
    <sheet name="G.2" sheetId="35" r:id="rId65"/>
    <sheet name="G.3" sheetId="34" r:id="rId66"/>
    <sheet name="H.1" sheetId="37" r:id="rId67"/>
    <sheet name="I.1" sheetId="42" r:id="rId68"/>
    <sheet name="I.2" sheetId="41" r:id="rId69"/>
    <sheet name="I.3" sheetId="39" r:id="rId70"/>
    <sheet name="J-1 Base" sheetId="4" r:id="rId71"/>
    <sheet name="J-2 B" sheetId="5" r:id="rId72"/>
    <sheet name="J-3 B" sheetId="8" r:id="rId73"/>
    <sheet name="J-4" sheetId="9" r:id="rId74"/>
    <sheet name="J.1" sheetId="202" r:id="rId75"/>
    <sheet name="J-1 F" sheetId="95" r:id="rId76"/>
    <sheet name="J-2 F" sheetId="98" r:id="rId77"/>
    <sheet name="J-3 F" sheetId="99" r:id="rId78"/>
    <sheet name="K" sheetId="10" r:id="rId79"/>
  </sheets>
  <definedNames>
    <definedName name="\p">A.1!$B$40:$B$41</definedName>
    <definedName name="_Div012" localSheetId="62">#REF!</definedName>
    <definedName name="_Div012" localSheetId="61">#REF!</definedName>
    <definedName name="_Div012">#REF!</definedName>
    <definedName name="_Div02" localSheetId="62">#REF!</definedName>
    <definedName name="_Div02" localSheetId="61">#REF!</definedName>
    <definedName name="_Div02">#REF!</definedName>
    <definedName name="_Div091" localSheetId="62">#REF!</definedName>
    <definedName name="_Div091" localSheetId="61">#REF!</definedName>
    <definedName name="_Div091">#REF!</definedName>
    <definedName name="_Regression_Int" localSheetId="3" hidden="1">1</definedName>
    <definedName name="Case_No._2006_00464" localSheetId="62">#REF!</definedName>
    <definedName name="Case_No._2006_00464" localSheetId="61">#REF!</definedName>
    <definedName name="Case_No._2006_00464">#REF!</definedName>
    <definedName name="csDesignMode">1</definedName>
    <definedName name="Div012Cap" localSheetId="62">#REF!</definedName>
    <definedName name="Div012Cap" localSheetId="61">#REF!</definedName>
    <definedName name="Div012Cap">#REF!</definedName>
    <definedName name="Div02Cap" localSheetId="62">#REF!</definedName>
    <definedName name="Div02Cap" localSheetId="61">#REF!</definedName>
    <definedName name="Div02Cap">#REF!</definedName>
    <definedName name="Div091Cap" localSheetId="62">#REF!</definedName>
    <definedName name="Div091Cap" localSheetId="61">#REF!</definedName>
    <definedName name="Div091Cap">#REF!</definedName>
    <definedName name="Div09cap" localSheetId="62">#REF!</definedName>
    <definedName name="Div09cap" localSheetId="61">#REF!</definedName>
    <definedName name="Div09cap">#REF!</definedName>
    <definedName name="EssOptions" localSheetId="52">"A1100000000030000000001100020_0000"</definedName>
    <definedName name="EssOptions" localSheetId="55">"A1100000000030000000001100020_0000"</definedName>
    <definedName name="kytax" localSheetId="62">#REF!</definedName>
    <definedName name="kytax" localSheetId="61">#REF!</definedName>
    <definedName name="kytax">#REF!</definedName>
    <definedName name="ltdrate" localSheetId="62">#REF!</definedName>
    <definedName name="ltdrate" localSheetId="61">#REF!</definedName>
    <definedName name="ltdrate">#REF!</definedName>
    <definedName name="_xlnm.Print_Area" localSheetId="3">A.1!$A$1:$G$37</definedName>
    <definedName name="_xlnm.Print_Area" localSheetId="1">Allocation!$A$1:$I$31</definedName>
    <definedName name="_xlnm.Print_Area" localSheetId="5">'B.1 B'!$A$1:$F$31</definedName>
    <definedName name="_xlnm.Print_Area" localSheetId="6">'B.1 F '!$A$1:$F$31</definedName>
    <definedName name="_xlnm.Print_Area" localSheetId="8">'B.2 B'!$A$1:$N$266</definedName>
    <definedName name="_xlnm.Print_Area" localSheetId="7">'B.2 F'!$A$1:$N$266</definedName>
    <definedName name="_xlnm.Print_Area" localSheetId="9">'B.3 B'!$A$1:$N$261</definedName>
    <definedName name="_xlnm.Print_Area" localSheetId="10">'B.3 F'!$A$1:$N$263</definedName>
    <definedName name="_xlnm.Print_Area" localSheetId="11">'B.3.1 F'!$A$1:$H$261</definedName>
    <definedName name="_xlnm.Print_Area" localSheetId="12">'B.4 B'!$A$1:$E$24</definedName>
    <definedName name="_xlnm.Print_Area" localSheetId="13">'B.4 F'!$A$1:$E$24</definedName>
    <definedName name="_xlnm.Print_Area" localSheetId="14">'B.4.1 B'!$A$1:$K$37</definedName>
    <definedName name="_xlnm.Print_Area" localSheetId="15">'B.4.1 F'!$A$1:$K$37</definedName>
    <definedName name="_xlnm.Print_Area" localSheetId="16">'B.4.2 B'!$A$1:$H$34</definedName>
    <definedName name="_xlnm.Print_Area" localSheetId="17">'B.4.2 F'!$A$1:$H$33</definedName>
    <definedName name="_xlnm.Print_Area" localSheetId="18">'B.5 B'!$A$1:$L$51</definedName>
    <definedName name="_xlnm.Print_Area" localSheetId="19">'B.5 F'!$A$1:$L$88</definedName>
    <definedName name="_xlnm.Print_Area" localSheetId="20">'B.6 B'!$A$1:$L$25</definedName>
    <definedName name="_xlnm.Print_Area" localSheetId="21">'B.6 F'!$A$1:$L$25</definedName>
    <definedName name="_xlnm.Print_Area" localSheetId="29">C.1!$A$1:$J$31</definedName>
    <definedName name="_xlnm.Print_Area" localSheetId="30">C.2!$A$1:$O$34</definedName>
    <definedName name="_xlnm.Print_Area" localSheetId="31">'C.2.1 B'!$A$1:$D$181</definedName>
    <definedName name="_xlnm.Print_Area" localSheetId="32">'C.2.1 F'!$A$1:$D$178</definedName>
    <definedName name="_xlnm.Print_Area" localSheetId="34">'C.2.2 B 02'!$A$14:$P$45</definedName>
    <definedName name="_xlnm.Print_Area" localSheetId="33">'C.2.2 B 09'!$A$12:$P$114</definedName>
    <definedName name="_xlnm.Print_Area" localSheetId="35">'C.2.2 B 12'!$A$12:$P$37</definedName>
    <definedName name="_xlnm.Print_Area" localSheetId="36">'C.2.2 B 91'!$A$14:$P$59</definedName>
    <definedName name="_xlnm.Print_Area" localSheetId="38">'C.2.2-F 02'!$A$12:$P$43</definedName>
    <definedName name="_xlnm.Print_Area" localSheetId="37">'C.2.2-F 09'!$A$12:$P$113</definedName>
    <definedName name="_xlnm.Print_Area" localSheetId="39">'C.2.2-F 12'!$A$12:$P$37</definedName>
    <definedName name="_xlnm.Print_Area" localSheetId="40">'C.2.2-F 91'!$A$12:$P$57</definedName>
    <definedName name="_xlnm.Print_Area" localSheetId="41">'C.2.3 B'!$A$1:$O$67</definedName>
    <definedName name="_xlnm.Print_Area" localSheetId="42">'C.2.3 F'!$A$1:$O$68</definedName>
    <definedName name="_xlnm.Print_Area" localSheetId="4">'Cover B'!$A$1:$C$24</definedName>
    <definedName name="_xlnm.Print_Area" localSheetId="28">'Cover C'!$A$1:$C$20</definedName>
    <definedName name="_xlnm.Print_Area" localSheetId="43">'Cover D'!$A$1:$C$23</definedName>
    <definedName name="_xlnm.Print_Area" localSheetId="48">'Cover E'!$A$1:$C$22</definedName>
    <definedName name="_xlnm.Print_Area" localSheetId="50">'Cover F'!$A$1:$C$30</definedName>
    <definedName name="_xlnm.Print_Area" localSheetId="44">D.1!$A$1:$P$172</definedName>
    <definedName name="_xlnm.Print_Area" localSheetId="45">D.2.1!$A$1:$D$72</definedName>
    <definedName name="_xlnm.Print_Area" localSheetId="46">D.2.2!$A$1:$D$45</definedName>
    <definedName name="_xlnm.Print_Area" localSheetId="47">D.2.3!$A$1:$D$23</definedName>
    <definedName name="_xlnm.Print_Area" localSheetId="49">E!$A$1:$H$37</definedName>
    <definedName name="_xlnm.Print_Area" localSheetId="51">F.1!$A$1:$G$147</definedName>
    <definedName name="_xlnm.Print_Area" localSheetId="62">F.10!$A$1:$F$41</definedName>
    <definedName name="_xlnm.Print_Area" localSheetId="52">F.2.1!$A$1:$F$40</definedName>
    <definedName name="_xlnm.Print_Area" localSheetId="53">F.2.2!$A$1:$J$28</definedName>
    <definedName name="_xlnm.Print_Area" localSheetId="54">F.2.3!$A$1:$J$37</definedName>
    <definedName name="_xlnm.Print_Area" localSheetId="55">F.3!$A$1:$J$78</definedName>
    <definedName name="_xlnm.Print_Area" localSheetId="56">F.4!$A$1:$K$32</definedName>
    <definedName name="_xlnm.Print_Area" localSheetId="57">F.5!$A$1:$I$39</definedName>
    <definedName name="_xlnm.Print_Area" localSheetId="58">F.6!$A$1:$K$43</definedName>
    <definedName name="_xlnm.Print_Area" localSheetId="59">F.7!$A$1:$I$51</definedName>
    <definedName name="_xlnm.Print_Area" localSheetId="60">F.8!$A$1:$I$28</definedName>
    <definedName name="_xlnm.Print_Area" localSheetId="61">F.9!$A$1:$G$24</definedName>
    <definedName name="_xlnm.Print_Area" localSheetId="63">G.1!$A$1:$L$34</definedName>
    <definedName name="_xlnm.Print_Area" localSheetId="64">G.2!$A$1:$P$51</definedName>
    <definedName name="_xlnm.Print_Area" localSheetId="65">G.3!$A$1:$L$46</definedName>
    <definedName name="_xlnm.Print_Area" localSheetId="66">H.1!$A$1:$E$36</definedName>
    <definedName name="_xlnm.Print_Area" localSheetId="67">I.1!$A$1:$P$48</definedName>
    <definedName name="_xlnm.Print_Area" localSheetId="68">I.2!$A$1:$S$39</definedName>
    <definedName name="_xlnm.Print_Area" localSheetId="69">I.3!$A$1:$S$44</definedName>
    <definedName name="_xlnm.Print_Area" localSheetId="74">J.1!$A$1:$V$54</definedName>
    <definedName name="_xlnm.Print_Area" localSheetId="70">'J-1 Base'!$A$1:$M$27</definedName>
    <definedName name="_xlnm.Print_Area" localSheetId="75">'J-1 F'!$A$1:$M$28</definedName>
    <definedName name="_xlnm.Print_Area" localSheetId="71">'J-2 B'!$A$1:$L$29</definedName>
    <definedName name="_xlnm.Print_Area" localSheetId="76">'J-2 F'!$A$1:$L$28</definedName>
    <definedName name="_xlnm.Print_Area" localSheetId="72">'J-3 B'!$A$1:$K$34</definedName>
    <definedName name="_xlnm.Print_Area" localSheetId="77">'J-3 F'!$A$1:$K$34</definedName>
    <definedName name="_xlnm.Print_Area" localSheetId="73">'J-4'!$A$1:$S$16</definedName>
    <definedName name="_xlnm.Print_Area" localSheetId="78">K!$A$1:$R$135</definedName>
    <definedName name="_xlnm.Print_Area" localSheetId="23">'WP B.4.1B'!$A$1:$P$53</definedName>
    <definedName name="_xlnm.Print_Area" localSheetId="22">'WP B.4.1F'!$A$1:$P$53</definedName>
    <definedName name="_xlnm.Print_Area" localSheetId="24">'WP B.5 B'!$A$1:$Q$49</definedName>
    <definedName name="_xlnm.Print_Area" localSheetId="25">'WP B.5 F'!$A$1:$Q$49</definedName>
    <definedName name="_xlnm.Print_Area" localSheetId="26">'WP B.6 B'!$A$1:$Q$23</definedName>
    <definedName name="_xlnm.Print_Area" localSheetId="27">'WP B.6 F'!$A$1:$Q$23</definedName>
    <definedName name="Print_Area_MI">A.1!$A$1:$K$36</definedName>
    <definedName name="_xlnm.Print_Titles" localSheetId="5">'B.1 B'!$1:$8</definedName>
    <definedName name="_xlnm.Print_Titles" localSheetId="8">'B.2 B'!$1:$13</definedName>
    <definedName name="_xlnm.Print_Titles" localSheetId="7">'B.2 F'!$1:$13</definedName>
    <definedName name="_xlnm.Print_Titles" localSheetId="9">'B.3 B'!$1:$12</definedName>
    <definedName name="_xlnm.Print_Titles" localSheetId="10">'B.3 F'!$1:$12</definedName>
    <definedName name="_xlnm.Print_Titles" localSheetId="11">'B.3.1 F'!$1:$12</definedName>
    <definedName name="_xlnm.Print_Titles" localSheetId="18">'B.5 B'!$1:$11</definedName>
    <definedName name="_xlnm.Print_Titles" localSheetId="19">'B.5 F'!$1:$11</definedName>
    <definedName name="_xlnm.Print_Titles" localSheetId="20">'B.6 B'!$1:$11</definedName>
    <definedName name="_xlnm.Print_Titles" localSheetId="21">'B.6 F'!$1:$11</definedName>
    <definedName name="_xlnm.Print_Titles" localSheetId="31">'C.2.1 B'!$1:$12</definedName>
    <definedName name="_xlnm.Print_Titles" localSheetId="32">'C.2.1 F'!$1:$12</definedName>
    <definedName name="_xlnm.Print_Titles" localSheetId="34">'C.2.2 B 02'!$1:$11</definedName>
    <definedName name="_xlnm.Print_Titles" localSheetId="33">'C.2.2 B 09'!$1:$11</definedName>
    <definedName name="_xlnm.Print_Titles" localSheetId="35">'C.2.2 B 12'!$1:$11</definedName>
    <definedName name="_xlnm.Print_Titles" localSheetId="36">'C.2.2 B 91'!$1:$11</definedName>
    <definedName name="_xlnm.Print_Titles" localSheetId="38">'C.2.2-F 02'!$1:$11</definedName>
    <definedName name="_xlnm.Print_Titles" localSheetId="37">'C.2.2-F 09'!$1:$11</definedName>
    <definedName name="_xlnm.Print_Titles" localSheetId="39">'C.2.2-F 12'!$1:$11</definedName>
    <definedName name="_xlnm.Print_Titles" localSheetId="40">'C.2.2-F 91'!$1:$11</definedName>
    <definedName name="_xlnm.Print_Titles" localSheetId="41">'C.2.3 B'!$1:$10</definedName>
    <definedName name="_xlnm.Print_Titles" localSheetId="42">'C.2.3 F'!$1:$10</definedName>
    <definedName name="_xlnm.Print_Titles" localSheetId="44">D.1!$1:$9</definedName>
    <definedName name="_xlnm.Print_Titles" localSheetId="51">F.1!$1:$11</definedName>
    <definedName name="_xlnm.Print_Titles" localSheetId="78">K!$1:$13</definedName>
    <definedName name="_xlnm.Print_Titles" localSheetId="24">'WP B.5 B'!$1:$11</definedName>
    <definedName name="_xlnm.Print_Titles" localSheetId="25">'WP B.5 F'!$1:$11</definedName>
    <definedName name="_xlnm.Print_Titles" localSheetId="26">'WP B.6 B'!$1:$11</definedName>
    <definedName name="_xlnm.Print_Titles" localSheetId="27">'WP B.6 F'!$1:$11</definedName>
    <definedName name="ROR" localSheetId="62">#REF!</definedName>
    <definedName name="ROR" localSheetId="61">#REF!</definedName>
    <definedName name="ROR">#REF!</definedName>
    <definedName name="SCHEDA">A.1!$A$1:$K$36</definedName>
    <definedName name="stdrate" localSheetId="62">#REF!</definedName>
    <definedName name="stdrate" localSheetId="61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H17" i="212" l="1"/>
  <c r="D17" i="212"/>
  <c r="H14" i="212"/>
  <c r="G14" i="212"/>
  <c r="D175" i="45" l="1"/>
  <c r="K15" i="44" l="1"/>
  <c r="L15" i="44" s="1"/>
  <c r="M15" i="44" s="1"/>
  <c r="N15" i="44" s="1"/>
  <c r="O15" i="44" s="1"/>
  <c r="P15" i="44" l="1"/>
  <c r="I19" i="8" l="1"/>
  <c r="J16" i="5"/>
  <c r="L24" i="34" l="1"/>
  <c r="J24" i="34" s="1"/>
  <c r="A16" i="34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H25" i="34"/>
  <c r="H23" i="34" l="1"/>
  <c r="P21" i="228" l="1"/>
  <c r="P34" i="228"/>
  <c r="P20" i="226"/>
  <c r="P14" i="226"/>
  <c r="E94" i="44" l="1"/>
  <c r="F94" i="44"/>
  <c r="G94" i="44"/>
  <c r="H94" i="44"/>
  <c r="I94" i="44"/>
  <c r="D94" i="44"/>
  <c r="F134" i="248" l="1"/>
  <c r="F135" i="248"/>
  <c r="F136" i="248"/>
  <c r="F137" i="248"/>
  <c r="F138" i="248"/>
  <c r="F139" i="248"/>
  <c r="F140" i="248"/>
  <c r="F141" i="248"/>
  <c r="F142" i="248"/>
  <c r="F143" i="248"/>
  <c r="F144" i="248"/>
  <c r="F145" i="248"/>
  <c r="F66" i="248"/>
  <c r="F67" i="248"/>
  <c r="F68" i="248"/>
  <c r="F69" i="248"/>
  <c r="F70" i="248"/>
  <c r="F76" i="248"/>
  <c r="F77" i="248"/>
  <c r="A16" i="248"/>
  <c r="A17" i="248" s="1"/>
  <c r="A18" i="248" s="1"/>
  <c r="A19" i="248" s="1"/>
  <c r="A20" i="248" s="1"/>
  <c r="A21" i="248" s="1"/>
  <c r="A22" i="248" s="1"/>
  <c r="A23" i="248" s="1"/>
  <c r="A24" i="248" s="1"/>
  <c r="A25" i="248" s="1"/>
  <c r="A26" i="248" s="1"/>
  <c r="A27" i="248" s="1"/>
  <c r="A28" i="248" s="1"/>
  <c r="A29" i="248" s="1"/>
  <c r="A30" i="248" s="1"/>
  <c r="A31" i="248" s="1"/>
  <c r="A32" i="248" s="1"/>
  <c r="A33" i="248" s="1"/>
  <c r="A34" i="248" s="1"/>
  <c r="A35" i="248" s="1"/>
  <c r="A36" i="248" s="1"/>
  <c r="A37" i="248" s="1"/>
  <c r="A38" i="248" s="1"/>
  <c r="A39" i="248" s="1"/>
  <c r="A40" i="248" s="1"/>
  <c r="A41" i="248" s="1"/>
  <c r="A42" i="248" s="1"/>
  <c r="A43" i="248" s="1"/>
  <c r="A44" i="248" s="1"/>
  <c r="A45" i="248" s="1"/>
  <c r="A46" i="248" s="1"/>
  <c r="A47" i="248" s="1"/>
  <c r="A48" i="248" s="1"/>
  <c r="A49" i="248" s="1"/>
  <c r="A50" i="248" s="1"/>
  <c r="A51" i="248" s="1"/>
  <c r="A52" i="248" s="1"/>
  <c r="A53" i="248" s="1"/>
  <c r="A54" i="248" s="1"/>
  <c r="A55" i="248" s="1"/>
  <c r="A56" i="248" s="1"/>
  <c r="A57" i="248" s="1"/>
  <c r="A58" i="248" s="1"/>
  <c r="A59" i="248" s="1"/>
  <c r="A60" i="248" s="1"/>
  <c r="A61" i="248" s="1"/>
  <c r="A62" i="248" s="1"/>
  <c r="A63" i="248" s="1"/>
  <c r="A64" i="248" s="1"/>
  <c r="A65" i="248" s="1"/>
  <c r="A66" i="248" s="1"/>
  <c r="A67" i="248" s="1"/>
  <c r="A68" i="248" s="1"/>
  <c r="A69" i="248" s="1"/>
  <c r="A70" i="248" s="1"/>
  <c r="A71" i="248" s="1"/>
  <c r="A72" i="248" s="1"/>
  <c r="A73" i="248" s="1"/>
  <c r="A74" i="248" s="1"/>
  <c r="A75" i="248" s="1"/>
  <c r="A76" i="248" s="1"/>
  <c r="A77" i="248" s="1"/>
  <c r="E28" i="44" l="1"/>
  <c r="F28" i="44"/>
  <c r="G28" i="44"/>
  <c r="H28" i="44"/>
  <c r="I28" i="44"/>
  <c r="E29" i="44"/>
  <c r="F29" i="44"/>
  <c r="G29" i="44"/>
  <c r="H29" i="44"/>
  <c r="I29" i="44"/>
  <c r="E30" i="44"/>
  <c r="F30" i="44"/>
  <c r="G30" i="44"/>
  <c r="H30" i="44"/>
  <c r="I30" i="44"/>
  <c r="E31" i="44"/>
  <c r="F31" i="44"/>
  <c r="G31" i="44"/>
  <c r="H31" i="44"/>
  <c r="I31" i="44"/>
  <c r="E46" i="44"/>
  <c r="F46" i="44"/>
  <c r="G46" i="44"/>
  <c r="H46" i="44"/>
  <c r="I46" i="44"/>
  <c r="E53" i="44"/>
  <c r="F53" i="44"/>
  <c r="G53" i="44"/>
  <c r="H53" i="44"/>
  <c r="I53" i="44"/>
  <c r="E57" i="44"/>
  <c r="F57" i="44"/>
  <c r="G57" i="44"/>
  <c r="H57" i="44"/>
  <c r="I57" i="44"/>
  <c r="E58" i="44"/>
  <c r="F58" i="44"/>
  <c r="G58" i="44"/>
  <c r="H58" i="44"/>
  <c r="I58" i="44"/>
  <c r="E59" i="44"/>
  <c r="F59" i="44"/>
  <c r="G59" i="44"/>
  <c r="H59" i="44"/>
  <c r="I59" i="44"/>
  <c r="E61" i="44"/>
  <c r="F61" i="44"/>
  <c r="G61" i="44"/>
  <c r="H61" i="44"/>
  <c r="I61" i="44"/>
  <c r="E66" i="44"/>
  <c r="F66" i="44"/>
  <c r="G66" i="44"/>
  <c r="H66" i="44"/>
  <c r="I66" i="44"/>
  <c r="E71" i="44"/>
  <c r="F71" i="44"/>
  <c r="G71" i="44"/>
  <c r="H71" i="44"/>
  <c r="I71" i="44"/>
  <c r="E106" i="44"/>
  <c r="F106" i="44"/>
  <c r="G106" i="44"/>
  <c r="H106" i="44"/>
  <c r="I106" i="44"/>
  <c r="E109" i="44"/>
  <c r="F109" i="44"/>
  <c r="G109" i="44"/>
  <c r="H109" i="44"/>
  <c r="I109" i="44"/>
  <c r="D109" i="44"/>
  <c r="D106" i="44"/>
  <c r="D71" i="44"/>
  <c r="D66" i="44"/>
  <c r="D61" i="44"/>
  <c r="D59" i="44"/>
  <c r="D58" i="44"/>
  <c r="D57" i="44"/>
  <c r="D53" i="44"/>
  <c r="D46" i="44"/>
  <c r="D31" i="44"/>
  <c r="D30" i="44"/>
  <c r="D29" i="44"/>
  <c r="D28" i="44"/>
  <c r="E12" i="44"/>
  <c r="F12" i="44"/>
  <c r="G12" i="44"/>
  <c r="I12" i="44"/>
  <c r="D12" i="44"/>
  <c r="E17" i="190"/>
  <c r="F17" i="190"/>
  <c r="G17" i="190"/>
  <c r="H17" i="190"/>
  <c r="I17" i="190"/>
  <c r="E20" i="190"/>
  <c r="F20" i="190"/>
  <c r="G20" i="190"/>
  <c r="H20" i="190"/>
  <c r="I20" i="190"/>
  <c r="E34" i="190"/>
  <c r="F34" i="190"/>
  <c r="G34" i="190"/>
  <c r="H34" i="190"/>
  <c r="I34" i="190"/>
  <c r="D34" i="190"/>
  <c r="D20" i="190"/>
  <c r="D17" i="190"/>
  <c r="E21" i="192"/>
  <c r="F21" i="192"/>
  <c r="G21" i="192"/>
  <c r="H21" i="192"/>
  <c r="I21" i="192"/>
  <c r="E50" i="192"/>
  <c r="F50" i="192"/>
  <c r="G50" i="192"/>
  <c r="H50" i="192"/>
  <c r="I50" i="192"/>
  <c r="D50" i="192"/>
  <c r="D21" i="192"/>
  <c r="E14" i="193"/>
  <c r="F14" i="193"/>
  <c r="G14" i="193"/>
  <c r="H14" i="193"/>
  <c r="I14" i="193"/>
  <c r="E16" i="193"/>
  <c r="F16" i="193"/>
  <c r="G16" i="193"/>
  <c r="H16" i="193"/>
  <c r="I16" i="193"/>
  <c r="D16" i="193"/>
  <c r="D14" i="193"/>
  <c r="P23" i="192" l="1"/>
  <c r="P36" i="192"/>
  <c r="D38" i="190"/>
  <c r="P37" i="192"/>
  <c r="P16" i="190"/>
  <c r="P22" i="190"/>
  <c r="D111" i="44"/>
  <c r="J36" i="42"/>
  <c r="L36" i="42" s="1"/>
  <c r="N36" i="42" s="1"/>
  <c r="P36" i="42" l="1"/>
  <c r="P37" i="42" s="1"/>
  <c r="N37" i="42"/>
  <c r="O36" i="42"/>
  <c r="O37" i="42" s="1"/>
  <c r="H86" i="10" l="1"/>
  <c r="H85" i="10"/>
  <c r="J52" i="171" l="1"/>
  <c r="K52" i="171"/>
  <c r="J39" i="171"/>
  <c r="K39" i="171"/>
  <c r="J67" i="171"/>
  <c r="K67" i="171"/>
  <c r="J35" i="42" l="1"/>
  <c r="L35" i="42" s="1"/>
  <c r="F38" i="42"/>
  <c r="E38" i="42"/>
  <c r="D38" i="42"/>
  <c r="J34" i="42" l="1"/>
  <c r="L34" i="42" s="1"/>
  <c r="H38" i="42"/>
  <c r="G38" i="42"/>
  <c r="I25" i="99"/>
  <c r="I25" i="8"/>
  <c r="G24" i="99" l="1"/>
  <c r="E24" i="99"/>
  <c r="E23" i="99"/>
  <c r="I24" i="99" l="1"/>
  <c r="E26" i="8"/>
  <c r="I24" i="8"/>
  <c r="E34" i="8" l="1"/>
  <c r="G21" i="4" s="1"/>
  <c r="H41" i="10" s="1"/>
  <c r="K46" i="35" l="1"/>
  <c r="I46" i="35"/>
  <c r="K39" i="35"/>
  <c r="I39" i="35"/>
  <c r="J36" i="35"/>
  <c r="J30" i="35"/>
  <c r="K28" i="35"/>
  <c r="I28" i="35"/>
  <c r="K26" i="35"/>
  <c r="K32" i="35" s="1"/>
  <c r="I26" i="35"/>
  <c r="I32" i="35" s="1"/>
  <c r="K21" i="35"/>
  <c r="I21" i="35"/>
  <c r="K19" i="35"/>
  <c r="I19" i="35"/>
  <c r="G46" i="35"/>
  <c r="G39" i="35"/>
  <c r="G28" i="35"/>
  <c r="G26" i="35"/>
  <c r="G32" i="35" s="1"/>
  <c r="G21" i="35"/>
  <c r="G19" i="35"/>
  <c r="D50" i="35"/>
  <c r="D49" i="35"/>
  <c r="E46" i="35"/>
  <c r="C46" i="35"/>
  <c r="D43" i="35"/>
  <c r="D42" i="35"/>
  <c r="E39" i="35"/>
  <c r="C39" i="35"/>
  <c r="D36" i="35"/>
  <c r="D35" i="35"/>
  <c r="D30" i="35"/>
  <c r="E28" i="35"/>
  <c r="C28" i="35"/>
  <c r="E26" i="35"/>
  <c r="E32" i="35" s="1"/>
  <c r="C26" i="35"/>
  <c r="D25" i="35"/>
  <c r="D24" i="35"/>
  <c r="E21" i="35"/>
  <c r="C21" i="35"/>
  <c r="E19" i="35"/>
  <c r="C19" i="35"/>
  <c r="D18" i="35"/>
  <c r="D17" i="35"/>
  <c r="D19" i="35" l="1"/>
  <c r="D26" i="35"/>
  <c r="J26" i="35"/>
  <c r="C32" i="35"/>
  <c r="G219" i="237" l="1"/>
  <c r="G220" i="237"/>
  <c r="G218" i="237"/>
  <c r="H221" i="209"/>
  <c r="H222" i="209"/>
  <c r="H220" i="209"/>
  <c r="H219" i="236"/>
  <c r="H220" i="236"/>
  <c r="H218" i="236"/>
  <c r="H219" i="207"/>
  <c r="H220" i="207"/>
  <c r="H218" i="207"/>
  <c r="H219" i="213"/>
  <c r="H220" i="213"/>
  <c r="H218" i="213"/>
  <c r="H186" i="207" l="1"/>
  <c r="H187" i="207" s="1"/>
  <c r="G199" i="237" l="1"/>
  <c r="H187" i="236"/>
  <c r="H189" i="209"/>
  <c r="H218" i="209"/>
  <c r="M218" i="209" s="1"/>
  <c r="G213" i="237"/>
  <c r="H192" i="207"/>
  <c r="H214" i="209"/>
  <c r="M214" i="209" s="1"/>
  <c r="H194" i="209"/>
  <c r="M194" i="209" s="1"/>
  <c r="M222" i="209"/>
  <c r="I22" i="212"/>
  <c r="G217" i="237"/>
  <c r="G212" i="237"/>
  <c r="G192" i="237"/>
  <c r="H216" i="209"/>
  <c r="H201" i="209"/>
  <c r="M201" i="209" s="1"/>
  <c r="H188" i="209"/>
  <c r="M188" i="209" s="1"/>
  <c r="H186" i="236"/>
  <c r="H186" i="213"/>
  <c r="G216" i="237"/>
  <c r="G201" i="237"/>
  <c r="G187" i="237"/>
  <c r="M220" i="209"/>
  <c r="H215" i="209"/>
  <c r="M215" i="209" s="1"/>
  <c r="H198" i="209"/>
  <c r="M198" i="209" s="1"/>
  <c r="G214" i="237"/>
  <c r="G186" i="237"/>
  <c r="H219" i="209"/>
  <c r="M219" i="209" s="1"/>
  <c r="H203" i="209"/>
  <c r="M203" i="209" s="1"/>
  <c r="G196" i="237"/>
  <c r="F160" i="237"/>
  <c r="F161" i="237"/>
  <c r="F162" i="237"/>
  <c r="F163" i="237"/>
  <c r="F164" i="237"/>
  <c r="F165" i="237"/>
  <c r="L231" i="209"/>
  <c r="L234" i="209"/>
  <c r="L239" i="209"/>
  <c r="L240" i="209"/>
  <c r="L241" i="209"/>
  <c r="L242" i="209"/>
  <c r="L244" i="209"/>
  <c r="L246" i="209"/>
  <c r="L254" i="209"/>
  <c r="L255" i="209"/>
  <c r="L256" i="209"/>
  <c r="L257" i="209"/>
  <c r="L186" i="209"/>
  <c r="L188" i="209"/>
  <c r="L189" i="209"/>
  <c r="M189" i="209"/>
  <c r="L193" i="209"/>
  <c r="L194" i="209"/>
  <c r="L198" i="209"/>
  <c r="L201" i="209"/>
  <c r="L203" i="209"/>
  <c r="L214" i="209"/>
  <c r="L215" i="209"/>
  <c r="L216" i="209"/>
  <c r="M216" i="209"/>
  <c r="L218" i="209"/>
  <c r="L219" i="209"/>
  <c r="L220" i="209"/>
  <c r="L221" i="209"/>
  <c r="M221" i="209"/>
  <c r="L222" i="209"/>
  <c r="L161" i="209"/>
  <c r="L165" i="209"/>
  <c r="G160" i="209"/>
  <c r="L160" i="209" s="1"/>
  <c r="G161" i="209"/>
  <c r="G162" i="209"/>
  <c r="L162" i="209" s="1"/>
  <c r="G163" i="209"/>
  <c r="L163" i="209" s="1"/>
  <c r="G164" i="209"/>
  <c r="L164" i="209" s="1"/>
  <c r="G165" i="209"/>
  <c r="L232" i="236"/>
  <c r="L237" i="236"/>
  <c r="L238" i="236"/>
  <c r="L239" i="236"/>
  <c r="L240" i="236"/>
  <c r="L242" i="236"/>
  <c r="L244" i="236"/>
  <c r="L252" i="236"/>
  <c r="L253" i="236"/>
  <c r="L254" i="236"/>
  <c r="L255" i="236"/>
  <c r="G191" i="236"/>
  <c r="M186" i="213" l="1"/>
  <c r="H187" i="213"/>
  <c r="H213" i="236"/>
  <c r="M213" i="236" s="1"/>
  <c r="H212" i="236"/>
  <c r="M212" i="236" s="1"/>
  <c r="H214" i="236"/>
  <c r="H213" i="207"/>
  <c r="M213" i="207" s="1"/>
  <c r="H199" i="207"/>
  <c r="M199" i="207" s="1"/>
  <c r="H214" i="207"/>
  <c r="H196" i="207"/>
  <c r="M196" i="207" s="1"/>
  <c r="M192" i="207"/>
  <c r="H212" i="207"/>
  <c r="M212" i="207" s="1"/>
  <c r="H201" i="207"/>
  <c r="M201" i="207" s="1"/>
  <c r="H199" i="236"/>
  <c r="H201" i="236" s="1"/>
  <c r="H196" i="236"/>
  <c r="H192" i="236"/>
  <c r="L184" i="236"/>
  <c r="L186" i="236"/>
  <c r="M186" i="236"/>
  <c r="L187" i="236"/>
  <c r="M187" i="236"/>
  <c r="L191" i="236"/>
  <c r="L192" i="236"/>
  <c r="M192" i="236"/>
  <c r="L196" i="236"/>
  <c r="M196" i="236"/>
  <c r="L199" i="236"/>
  <c r="L201" i="236"/>
  <c r="M201" i="236"/>
  <c r="L203" i="236"/>
  <c r="L212" i="236"/>
  <c r="L213" i="236"/>
  <c r="L214" i="236"/>
  <c r="M214" i="236"/>
  <c r="L216" i="236"/>
  <c r="L217" i="236"/>
  <c r="L218" i="236"/>
  <c r="L219" i="236"/>
  <c r="L220" i="236"/>
  <c r="L245" i="213"/>
  <c r="L241" i="213"/>
  <c r="L240" i="213"/>
  <c r="L239" i="213"/>
  <c r="L238" i="213"/>
  <c r="L256" i="213"/>
  <c r="L241" i="207"/>
  <c r="L240" i="207"/>
  <c r="L239" i="207"/>
  <c r="L238" i="207"/>
  <c r="L245" i="207"/>
  <c r="L256" i="207"/>
  <c r="L186" i="207"/>
  <c r="G186" i="207"/>
  <c r="M199" i="236" l="1"/>
  <c r="M218" i="236"/>
  <c r="H217" i="236"/>
  <c r="M217" i="236" s="1"/>
  <c r="M219" i="236"/>
  <c r="H216" i="236"/>
  <c r="M216" i="236" s="1"/>
  <c r="M220" i="236"/>
  <c r="M187" i="213"/>
  <c r="H192" i="213"/>
  <c r="M218" i="207"/>
  <c r="M214" i="207"/>
  <c r="M219" i="207"/>
  <c r="H216" i="207"/>
  <c r="M216" i="207" s="1"/>
  <c r="H217" i="207"/>
  <c r="M217" i="207" s="1"/>
  <c r="M220" i="207"/>
  <c r="M192" i="213" l="1"/>
  <c r="H196" i="213"/>
  <c r="H193" i="209"/>
  <c r="M193" i="209" s="1"/>
  <c r="H184" i="236"/>
  <c r="G255" i="237"/>
  <c r="G239" i="237"/>
  <c r="H255" i="209"/>
  <c r="M255" i="209" s="1"/>
  <c r="H242" i="209"/>
  <c r="M242" i="209" s="1"/>
  <c r="H234" i="209"/>
  <c r="M234" i="209" s="1"/>
  <c r="G232" i="237"/>
  <c r="H244" i="209"/>
  <c r="M244" i="209" s="1"/>
  <c r="G252" i="237"/>
  <c r="G244" i="237"/>
  <c r="G238" i="237"/>
  <c r="H254" i="209"/>
  <c r="M254" i="209" s="1"/>
  <c r="H241" i="209"/>
  <c r="M241" i="209" s="1"/>
  <c r="G240" i="237"/>
  <c r="H239" i="209"/>
  <c r="M239" i="209" s="1"/>
  <c r="G253" i="237"/>
  <c r="G242" i="237"/>
  <c r="G237" i="237"/>
  <c r="H257" i="209"/>
  <c r="M257" i="209" s="1"/>
  <c r="H246" i="209"/>
  <c r="M246" i="209" s="1"/>
  <c r="H240" i="209"/>
  <c r="M240" i="209" s="1"/>
  <c r="G254" i="237"/>
  <c r="H256" i="209"/>
  <c r="M256" i="209" s="1"/>
  <c r="H256" i="213"/>
  <c r="M256" i="213" s="1"/>
  <c r="H239" i="213"/>
  <c r="M239" i="213" s="1"/>
  <c r="H245" i="213"/>
  <c r="M245" i="213" s="1"/>
  <c r="H238" i="213"/>
  <c r="M238" i="213" s="1"/>
  <c r="H240" i="213"/>
  <c r="M240" i="213" s="1"/>
  <c r="H241" i="213"/>
  <c r="M241" i="213" s="1"/>
  <c r="L65" i="171"/>
  <c r="L37" i="171"/>
  <c r="L36" i="171"/>
  <c r="L50" i="171"/>
  <c r="L49" i="171"/>
  <c r="H199" i="213" l="1"/>
  <c r="M196" i="213"/>
  <c r="H253" i="209"/>
  <c r="M253" i="209" s="1"/>
  <c r="H251" i="209"/>
  <c r="M251" i="209" s="1"/>
  <c r="H249" i="209"/>
  <c r="M249" i="209" s="1"/>
  <c r="H247" i="209"/>
  <c r="M247" i="209" s="1"/>
  <c r="H243" i="209"/>
  <c r="M243" i="209" s="1"/>
  <c r="H237" i="209"/>
  <c r="M237" i="209" s="1"/>
  <c r="H235" i="209"/>
  <c r="M235" i="209" s="1"/>
  <c r="H232" i="209"/>
  <c r="M232" i="209" s="1"/>
  <c r="H248" i="209"/>
  <c r="M248" i="209" s="1"/>
  <c r="H236" i="209"/>
  <c r="M236" i="209" s="1"/>
  <c r="G256" i="237"/>
  <c r="G250" i="237"/>
  <c r="G248" i="237"/>
  <c r="G246" i="237"/>
  <c r="G243" i="237"/>
  <c r="G236" i="237"/>
  <c r="G234" i="237"/>
  <c r="G231" i="237"/>
  <c r="H245" i="209"/>
  <c r="M245" i="209" s="1"/>
  <c r="H252" i="209"/>
  <c r="M252" i="209" s="1"/>
  <c r="G251" i="237"/>
  <c r="G249" i="237"/>
  <c r="G247" i="237"/>
  <c r="G245" i="237"/>
  <c r="G241" i="237"/>
  <c r="G235" i="237"/>
  <c r="G233" i="237"/>
  <c r="G230" i="237"/>
  <c r="H258" i="209"/>
  <c r="M258" i="209" s="1"/>
  <c r="H250" i="209"/>
  <c r="M250" i="209" s="1"/>
  <c r="H238" i="209"/>
  <c r="M238" i="209" s="1"/>
  <c r="H233" i="209"/>
  <c r="M233" i="209" s="1"/>
  <c r="M236" i="213"/>
  <c r="H257" i="213"/>
  <c r="H235" i="213"/>
  <c r="M257" i="213"/>
  <c r="M235" i="213"/>
  <c r="H236" i="213"/>
  <c r="F251" i="237"/>
  <c r="F249" i="237"/>
  <c r="F247" i="237"/>
  <c r="F245" i="237"/>
  <c r="F241" i="237"/>
  <c r="F235" i="237"/>
  <c r="F233" i="237"/>
  <c r="F230" i="237"/>
  <c r="G253" i="209"/>
  <c r="L253" i="209" s="1"/>
  <c r="G251" i="209"/>
  <c r="L251" i="209" s="1"/>
  <c r="G249" i="209"/>
  <c r="L249" i="209" s="1"/>
  <c r="G247" i="209"/>
  <c r="L247" i="209" s="1"/>
  <c r="G243" i="209"/>
  <c r="L243" i="209" s="1"/>
  <c r="G237" i="209"/>
  <c r="L237" i="209" s="1"/>
  <c r="G235" i="209"/>
  <c r="L235" i="209" s="1"/>
  <c r="G232" i="209"/>
  <c r="L232" i="209" s="1"/>
  <c r="F256" i="237"/>
  <c r="F250" i="237"/>
  <c r="F248" i="237"/>
  <c r="F246" i="237"/>
  <c r="F243" i="237"/>
  <c r="F236" i="237"/>
  <c r="F234" i="237"/>
  <c r="F231" i="237"/>
  <c r="G258" i="209"/>
  <c r="L258" i="209" s="1"/>
  <c r="G252" i="209"/>
  <c r="L252" i="209" s="1"/>
  <c r="G250" i="209"/>
  <c r="L250" i="209" s="1"/>
  <c r="G248" i="209"/>
  <c r="L248" i="209" s="1"/>
  <c r="G245" i="209"/>
  <c r="L245" i="209" s="1"/>
  <c r="G238" i="209"/>
  <c r="L238" i="209" s="1"/>
  <c r="G236" i="209"/>
  <c r="L236" i="209" s="1"/>
  <c r="G233" i="209"/>
  <c r="L233" i="209" s="1"/>
  <c r="L257" i="213"/>
  <c r="L236" i="213"/>
  <c r="G257" i="213"/>
  <c r="G235" i="213"/>
  <c r="L235" i="213"/>
  <c r="G236" i="213"/>
  <c r="M184" i="236"/>
  <c r="H191" i="236"/>
  <c r="M191" i="236" s="1"/>
  <c r="M199" i="213" l="1"/>
  <c r="H201" i="213"/>
  <c r="F91" i="237"/>
  <c r="G91" i="237"/>
  <c r="F92" i="237"/>
  <c r="G92" i="237"/>
  <c r="F93" i="237"/>
  <c r="G93" i="237"/>
  <c r="F94" i="237"/>
  <c r="G94" i="237"/>
  <c r="F95" i="237"/>
  <c r="G95" i="237"/>
  <c r="E261" i="209"/>
  <c r="L93" i="209"/>
  <c r="M93" i="209"/>
  <c r="L94" i="209"/>
  <c r="M94" i="209"/>
  <c r="L95" i="209"/>
  <c r="M95" i="209"/>
  <c r="L96" i="209"/>
  <c r="M96" i="209"/>
  <c r="L97" i="209"/>
  <c r="M97" i="209"/>
  <c r="L98" i="209"/>
  <c r="M98" i="209"/>
  <c r="L99" i="209"/>
  <c r="M99" i="209"/>
  <c r="G93" i="209"/>
  <c r="H93" i="209"/>
  <c r="G94" i="209"/>
  <c r="H94" i="209"/>
  <c r="G95" i="209"/>
  <c r="H95" i="209"/>
  <c r="G96" i="209"/>
  <c r="H96" i="209"/>
  <c r="G97" i="209"/>
  <c r="H97" i="209"/>
  <c r="G185" i="236"/>
  <c r="H185" i="236"/>
  <c r="M185" i="236" s="1"/>
  <c r="G188" i="236"/>
  <c r="L188" i="236" s="1"/>
  <c r="H188" i="236"/>
  <c r="M188" i="236" s="1"/>
  <c r="G189" i="236"/>
  <c r="L189" i="236" s="1"/>
  <c r="H189" i="236"/>
  <c r="G190" i="236"/>
  <c r="L190" i="236" s="1"/>
  <c r="H190" i="236"/>
  <c r="M190" i="236" s="1"/>
  <c r="G193" i="236"/>
  <c r="L193" i="236" s="1"/>
  <c r="H193" i="236"/>
  <c r="M193" i="236" s="1"/>
  <c r="G194" i="236"/>
  <c r="L194" i="236" s="1"/>
  <c r="H194" i="236"/>
  <c r="M194" i="236" s="1"/>
  <c r="G195" i="236"/>
  <c r="L195" i="236" s="1"/>
  <c r="H195" i="236"/>
  <c r="M195" i="236" s="1"/>
  <c r="G197" i="236"/>
  <c r="L197" i="236" s="1"/>
  <c r="H197" i="236"/>
  <c r="M197" i="236" s="1"/>
  <c r="G198" i="236"/>
  <c r="L198" i="236" s="1"/>
  <c r="H198" i="236"/>
  <c r="M198" i="236" s="1"/>
  <c r="G156" i="236"/>
  <c r="L156" i="236" s="1"/>
  <c r="G157" i="236"/>
  <c r="L157" i="236" s="1"/>
  <c r="G158" i="236"/>
  <c r="L158" i="236" s="1"/>
  <c r="G159" i="236"/>
  <c r="L159" i="236" s="1"/>
  <c r="G160" i="236"/>
  <c r="L160" i="236" s="1"/>
  <c r="L103" i="236"/>
  <c r="M103" i="236"/>
  <c r="L104" i="236"/>
  <c r="M104" i="236"/>
  <c r="L105" i="236"/>
  <c r="M105" i="236"/>
  <c r="L106" i="236"/>
  <c r="M106" i="236"/>
  <c r="L107" i="236"/>
  <c r="M107" i="236"/>
  <c r="L108" i="236"/>
  <c r="M108" i="236"/>
  <c r="G103" i="236"/>
  <c r="H103" i="236"/>
  <c r="G104" i="236"/>
  <c r="H104" i="236"/>
  <c r="G105" i="236"/>
  <c r="H105" i="236"/>
  <c r="G106" i="236"/>
  <c r="H106" i="236"/>
  <c r="G107" i="236"/>
  <c r="H107" i="236"/>
  <c r="M218" i="213" l="1"/>
  <c r="H214" i="213"/>
  <c r="M214" i="213" s="1"/>
  <c r="H217" i="213"/>
  <c r="M217" i="213" s="1"/>
  <c r="H212" i="213"/>
  <c r="M212" i="213" s="1"/>
  <c r="H213" i="213"/>
  <c r="M213" i="213" s="1"/>
  <c r="M220" i="213"/>
  <c r="H216" i="213"/>
  <c r="M216" i="213" s="1"/>
  <c r="M219" i="213"/>
  <c r="M201" i="213"/>
  <c r="M189" i="236"/>
  <c r="L185" i="236"/>
  <c r="N93" i="209"/>
  <c r="E259" i="213"/>
  <c r="F224" i="213"/>
  <c r="E222" i="213"/>
  <c r="E222" i="207" l="1"/>
  <c r="G156" i="213"/>
  <c r="L156" i="213" s="1"/>
  <c r="G157" i="213"/>
  <c r="L157" i="213" s="1"/>
  <c r="G158" i="213"/>
  <c r="L158" i="213" s="1"/>
  <c r="G159" i="213"/>
  <c r="L159" i="213" s="1"/>
  <c r="G160" i="213"/>
  <c r="L160" i="213" s="1"/>
  <c r="G161" i="213"/>
  <c r="L161" i="213" s="1"/>
  <c r="G162" i="213"/>
  <c r="L162" i="213" s="1"/>
  <c r="G163" i="213"/>
  <c r="L163" i="213" s="1"/>
  <c r="G164" i="213"/>
  <c r="L164" i="213" s="1"/>
  <c r="G165" i="213"/>
  <c r="L165" i="213" s="1"/>
  <c r="G166" i="213"/>
  <c r="L166" i="213" s="1"/>
  <c r="L93" i="213"/>
  <c r="M93" i="213"/>
  <c r="L94" i="213"/>
  <c r="M94" i="213"/>
  <c r="L95" i="213"/>
  <c r="M95" i="213"/>
  <c r="L96" i="213"/>
  <c r="M96" i="213"/>
  <c r="L97" i="213"/>
  <c r="M97" i="213"/>
  <c r="L98" i="213"/>
  <c r="M98" i="213"/>
  <c r="L99" i="213"/>
  <c r="M99" i="213"/>
  <c r="L100" i="213"/>
  <c r="M100" i="213"/>
  <c r="L101" i="213"/>
  <c r="M101" i="213"/>
  <c r="L102" i="213"/>
  <c r="M102" i="213"/>
  <c r="L103" i="213"/>
  <c r="M103" i="213"/>
  <c r="L104" i="213"/>
  <c r="M104" i="213"/>
  <c r="L105" i="213"/>
  <c r="M105" i="213"/>
  <c r="L106" i="213"/>
  <c r="M106" i="213"/>
  <c r="L107" i="213"/>
  <c r="M107" i="213"/>
  <c r="L108" i="213"/>
  <c r="M108" i="213"/>
  <c r="L109" i="213"/>
  <c r="M109" i="213"/>
  <c r="G93" i="213"/>
  <c r="H93" i="213"/>
  <c r="G94" i="213"/>
  <c r="H94" i="213"/>
  <c r="G95" i="213"/>
  <c r="H95" i="213"/>
  <c r="G96" i="213"/>
  <c r="H96" i="213"/>
  <c r="G97" i="213"/>
  <c r="H97" i="213"/>
  <c r="G98" i="213"/>
  <c r="H98" i="213"/>
  <c r="G99" i="213"/>
  <c r="H99" i="213"/>
  <c r="G100" i="213"/>
  <c r="H100" i="213"/>
  <c r="G101" i="213"/>
  <c r="H101" i="213"/>
  <c r="G102" i="213"/>
  <c r="H102" i="213"/>
  <c r="G103" i="213"/>
  <c r="H103" i="213"/>
  <c r="G104" i="213"/>
  <c r="H104" i="213"/>
  <c r="G105" i="213"/>
  <c r="H105" i="213"/>
  <c r="G106" i="213"/>
  <c r="H106" i="213"/>
  <c r="F261" i="207"/>
  <c r="E259" i="207"/>
  <c r="G156" i="207"/>
  <c r="G157" i="207"/>
  <c r="L157" i="207" s="1"/>
  <c r="G158" i="207"/>
  <c r="L158" i="207" s="1"/>
  <c r="G159" i="207"/>
  <c r="L159" i="207" s="1"/>
  <c r="G160" i="207"/>
  <c r="L160" i="207" s="1"/>
  <c r="G161" i="207"/>
  <c r="L161" i="207" s="1"/>
  <c r="G162" i="207"/>
  <c r="L162" i="207" s="1"/>
  <c r="G163" i="207"/>
  <c r="L163" i="207" s="1"/>
  <c r="G164" i="207"/>
  <c r="L164" i="207" s="1"/>
  <c r="G165" i="207"/>
  <c r="G166" i="207"/>
  <c r="L166" i="207" s="1"/>
  <c r="G167" i="207"/>
  <c r="L167" i="207" s="1"/>
  <c r="G168" i="207"/>
  <c r="L168" i="207" s="1"/>
  <c r="G169" i="207"/>
  <c r="G170" i="207"/>
  <c r="G171" i="207"/>
  <c r="G172" i="207"/>
  <c r="F116" i="207"/>
  <c r="L92" i="207"/>
  <c r="M92" i="207"/>
  <c r="L93" i="207"/>
  <c r="M93" i="207"/>
  <c r="L94" i="207"/>
  <c r="M94" i="207"/>
  <c r="L95" i="207"/>
  <c r="M95" i="207"/>
  <c r="L96" i="207"/>
  <c r="M96" i="207"/>
  <c r="L97" i="207"/>
  <c r="M97" i="207"/>
  <c r="L98" i="207"/>
  <c r="M98" i="207"/>
  <c r="L99" i="207"/>
  <c r="M99" i="207"/>
  <c r="L100" i="207"/>
  <c r="M100" i="207"/>
  <c r="L101" i="207"/>
  <c r="M101" i="207"/>
  <c r="L102" i="207"/>
  <c r="M102" i="207"/>
  <c r="L103" i="207"/>
  <c r="M103" i="207"/>
  <c r="L104" i="207"/>
  <c r="M104" i="207"/>
  <c r="L105" i="207"/>
  <c r="M105" i="207"/>
  <c r="L106" i="207"/>
  <c r="M106" i="207"/>
  <c r="L107" i="207"/>
  <c r="M107" i="207"/>
  <c r="L108" i="207"/>
  <c r="M108" i="207"/>
  <c r="L109" i="207"/>
  <c r="M109" i="207"/>
  <c r="L110" i="207"/>
  <c r="M110" i="207"/>
  <c r="H92" i="207"/>
  <c r="H93" i="207"/>
  <c r="H94" i="207"/>
  <c r="H95" i="207"/>
  <c r="H96" i="207"/>
  <c r="H97" i="207"/>
  <c r="H98" i="207"/>
  <c r="H99" i="207"/>
  <c r="H100" i="207"/>
  <c r="H101" i="207"/>
  <c r="H102" i="207"/>
  <c r="H103" i="207"/>
  <c r="H104" i="207"/>
  <c r="H105" i="207"/>
  <c r="H106" i="207"/>
  <c r="H107" i="207"/>
  <c r="H108" i="207"/>
  <c r="G93" i="207"/>
  <c r="G94" i="207"/>
  <c r="G95" i="207"/>
  <c r="G96" i="207"/>
  <c r="G97" i="207"/>
  <c r="G98" i="207"/>
  <c r="G99" i="207"/>
  <c r="G100" i="207"/>
  <c r="G101" i="207"/>
  <c r="G102" i="207"/>
  <c r="G103" i="207"/>
  <c r="G104" i="207"/>
  <c r="G105" i="207"/>
  <c r="G106" i="207"/>
  <c r="G107" i="207"/>
  <c r="G108" i="207"/>
  <c r="G109" i="207"/>
  <c r="D265" i="213" l="1"/>
  <c r="N105" i="213"/>
  <c r="N106" i="213"/>
  <c r="L165" i="207"/>
  <c r="L156" i="207"/>
  <c r="N106" i="207"/>
  <c r="N105" i="207"/>
  <c r="D265" i="207" l="1"/>
  <c r="K265" i="207" l="1"/>
  <c r="K26" i="95" l="1"/>
  <c r="I82" i="232" l="1"/>
  <c r="L51" i="232"/>
  <c r="J14" i="106" l="1"/>
  <c r="G23" i="4" l="1"/>
  <c r="K23" i="4" l="1"/>
  <c r="G25" i="4" l="1"/>
  <c r="H43" i="10" s="1"/>
  <c r="O17" i="238" l="1"/>
  <c r="O31" i="238"/>
  <c r="L19" i="34" l="1"/>
  <c r="L18" i="34"/>
  <c r="L23" i="34" l="1"/>
  <c r="L25" i="34"/>
  <c r="L92" i="222"/>
  <c r="H92" i="222"/>
  <c r="O92" i="222"/>
  <c r="K92" i="222"/>
  <c r="G92" i="222"/>
  <c r="N92" i="222"/>
  <c r="J92" i="222"/>
  <c r="F92" i="222"/>
  <c r="D92" i="222"/>
  <c r="M92" i="222"/>
  <c r="I92" i="222"/>
  <c r="E92" i="222"/>
  <c r="S26" i="39" l="1"/>
  <c r="S27" i="39"/>
  <c r="S28" i="39"/>
  <c r="S25" i="39"/>
  <c r="L112" i="209" l="1"/>
  <c r="M112" i="209"/>
  <c r="L113" i="209"/>
  <c r="M113" i="209"/>
  <c r="G112" i="209"/>
  <c r="H112" i="209"/>
  <c r="L112" i="236"/>
  <c r="M112" i="236"/>
  <c r="H112" i="236"/>
  <c r="G112" i="236"/>
  <c r="C83" i="248" l="1"/>
  <c r="G59" i="238" l="1"/>
  <c r="H59" i="238"/>
  <c r="I59" i="238"/>
  <c r="J59" i="238"/>
  <c r="K59" i="238"/>
  <c r="F59" i="238"/>
  <c r="G13" i="238"/>
  <c r="H13" i="238"/>
  <c r="I13" i="238"/>
  <c r="J13" i="238"/>
  <c r="K13" i="238"/>
  <c r="G14" i="238"/>
  <c r="H14" i="238"/>
  <c r="I14" i="238"/>
  <c r="J14" i="238"/>
  <c r="K14" i="238"/>
  <c r="G15" i="238"/>
  <c r="H15" i="238"/>
  <c r="I15" i="238"/>
  <c r="J15" i="238"/>
  <c r="K15" i="238"/>
  <c r="G16" i="238"/>
  <c r="H16" i="238"/>
  <c r="I16" i="238"/>
  <c r="J16" i="238"/>
  <c r="K16" i="238"/>
  <c r="G18" i="238"/>
  <c r="H18" i="238"/>
  <c r="I18" i="238"/>
  <c r="J18" i="238"/>
  <c r="K18" i="238"/>
  <c r="G19" i="238"/>
  <c r="H19" i="238"/>
  <c r="I19" i="238"/>
  <c r="J19" i="238"/>
  <c r="K19" i="238"/>
  <c r="F14" i="238"/>
  <c r="F15" i="238"/>
  <c r="F16" i="238"/>
  <c r="F18" i="238"/>
  <c r="F19" i="238"/>
  <c r="F13" i="238"/>
  <c r="L57" i="238" l="1"/>
  <c r="M57" i="238"/>
  <c r="N57" i="238"/>
  <c r="C57" i="238"/>
  <c r="D57" i="238"/>
  <c r="E57" i="238"/>
  <c r="L58" i="238"/>
  <c r="M58" i="238"/>
  <c r="N58" i="238"/>
  <c r="C58" i="238"/>
  <c r="D58" i="238"/>
  <c r="E58" i="238"/>
  <c r="L59" i="238"/>
  <c r="M59" i="238"/>
  <c r="N59" i="238"/>
  <c r="C59" i="238"/>
  <c r="D59" i="238"/>
  <c r="E59" i="238"/>
  <c r="M56" i="238"/>
  <c r="N56" i="238"/>
  <c r="C56" i="238"/>
  <c r="D56" i="238"/>
  <c r="E56" i="238"/>
  <c r="L56" i="238"/>
  <c r="L44" i="238"/>
  <c r="M44" i="238"/>
  <c r="N44" i="238"/>
  <c r="C44" i="238"/>
  <c r="D44" i="238"/>
  <c r="E44" i="238"/>
  <c r="L45" i="238"/>
  <c r="M45" i="238"/>
  <c r="N45" i="238"/>
  <c r="C45" i="238"/>
  <c r="D45" i="238"/>
  <c r="E45" i="238"/>
  <c r="E43" i="238"/>
  <c r="M43" i="238"/>
  <c r="N43" i="238"/>
  <c r="C43" i="238"/>
  <c r="D43" i="238"/>
  <c r="L43" i="238"/>
  <c r="D30" i="238"/>
  <c r="C29" i="238"/>
  <c r="D29" i="238"/>
  <c r="E29" i="238"/>
  <c r="C30" i="238"/>
  <c r="E30" i="238"/>
  <c r="M28" i="238"/>
  <c r="N28" i="238"/>
  <c r="C28" i="238"/>
  <c r="D28" i="238"/>
  <c r="E28" i="238"/>
  <c r="L28" i="238"/>
  <c r="L14" i="238"/>
  <c r="M14" i="238"/>
  <c r="N14" i="238"/>
  <c r="C14" i="238"/>
  <c r="D14" i="238"/>
  <c r="E14" i="238"/>
  <c r="L15" i="238"/>
  <c r="M15" i="238"/>
  <c r="N15" i="238"/>
  <c r="C15" i="238"/>
  <c r="D15" i="238"/>
  <c r="E15" i="238"/>
  <c r="L16" i="238"/>
  <c r="C16" i="238"/>
  <c r="D16" i="238"/>
  <c r="E16" i="238"/>
  <c r="L18" i="238"/>
  <c r="M18" i="238"/>
  <c r="N18" i="238"/>
  <c r="C18" i="238"/>
  <c r="D18" i="238"/>
  <c r="E18" i="238"/>
  <c r="L19" i="238"/>
  <c r="M19" i="238"/>
  <c r="N19" i="238"/>
  <c r="C19" i="238"/>
  <c r="D19" i="238"/>
  <c r="E19" i="238"/>
  <c r="M13" i="238"/>
  <c r="N13" i="238"/>
  <c r="C13" i="238"/>
  <c r="D13" i="238"/>
  <c r="E13" i="238"/>
  <c r="L13" i="238"/>
  <c r="P13" i="192" l="1"/>
  <c r="P13" i="190"/>
  <c r="P12" i="192" l="1"/>
  <c r="P12" i="190"/>
  <c r="P28" i="44" l="1"/>
  <c r="A13" i="228" l="1"/>
  <c r="A14" i="228" s="1"/>
  <c r="A15" i="228" s="1"/>
  <c r="A16" i="228" s="1"/>
  <c r="A17" i="228" s="1"/>
  <c r="A18" i="228" s="1"/>
  <c r="A19" i="228" s="1"/>
  <c r="A20" i="228" s="1"/>
  <c r="A21" i="228" s="1"/>
  <c r="A22" i="228" s="1"/>
  <c r="A23" i="228" s="1"/>
  <c r="A24" i="228" s="1"/>
  <c r="A25" i="228" s="1"/>
  <c r="A26" i="228" s="1"/>
  <c r="A27" i="228" s="1"/>
  <c r="A28" i="228" s="1"/>
  <c r="A29" i="228" s="1"/>
  <c r="A30" i="228" s="1"/>
  <c r="A31" i="228" s="1"/>
  <c r="A32" i="228" s="1"/>
  <c r="A33" i="228" s="1"/>
  <c r="A34" i="228" s="1"/>
  <c r="A35" i="228" s="1"/>
  <c r="A36" i="228" s="1"/>
  <c r="A37" i="228" s="1"/>
  <c r="A38" i="228" s="1"/>
  <c r="A39" i="228" s="1"/>
  <c r="A40" i="228" s="1"/>
  <c r="A41" i="228" s="1"/>
  <c r="A42" i="228" s="1"/>
  <c r="A43" i="228" s="1"/>
  <c r="A44" i="228" s="1"/>
  <c r="A45" i="228" s="1"/>
  <c r="A46" i="228" s="1"/>
  <c r="A47" i="228" s="1"/>
  <c r="A48" i="228" s="1"/>
  <c r="A49" i="228" s="1"/>
  <c r="A50" i="228" s="1"/>
  <c r="A51" i="228" s="1"/>
  <c r="A52" i="228" s="1"/>
  <c r="A53" i="228" s="1"/>
  <c r="A54" i="228" s="1"/>
  <c r="D29" i="45" l="1"/>
  <c r="K25" i="39"/>
  <c r="K26" i="39"/>
  <c r="K27" i="39"/>
  <c r="K28" i="39"/>
  <c r="J37" i="42"/>
  <c r="L37" i="42" s="1"/>
  <c r="O12" i="39"/>
  <c r="M12" i="39"/>
  <c r="O12" i="41"/>
  <c r="M12" i="41"/>
  <c r="A15" i="192" l="1"/>
  <c r="A16" i="192" s="1"/>
  <c r="A17" i="192" s="1"/>
  <c r="A18" i="192" s="1"/>
  <c r="A19" i="192" s="1"/>
  <c r="A20" i="192" s="1"/>
  <c r="A21" i="192" s="1"/>
  <c r="A22" i="192" s="1"/>
  <c r="A24" i="192" s="1"/>
  <c r="A25" i="192" s="1"/>
  <c r="A26" i="192" s="1"/>
  <c r="A27" i="192" s="1"/>
  <c r="A28" i="192" s="1"/>
  <c r="A29" i="192" s="1"/>
  <c r="A30" i="192" s="1"/>
  <c r="A31" i="192" s="1"/>
  <c r="A32" i="192" s="1"/>
  <c r="A33" i="192" s="1"/>
  <c r="A34" i="192" s="1"/>
  <c r="A35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A46" i="192" s="1"/>
  <c r="A47" i="192" s="1"/>
  <c r="A48" i="192" s="1"/>
  <c r="A49" i="192" s="1"/>
  <c r="A50" i="192" s="1"/>
  <c r="A51" i="192" s="1"/>
  <c r="A52" i="192" s="1"/>
  <c r="A53" i="192" s="1"/>
  <c r="A54" i="192" s="1"/>
  <c r="A55" i="192" s="1"/>
  <c r="A56" i="192" s="1"/>
  <c r="D40" i="190"/>
  <c r="E40" i="190"/>
  <c r="F40" i="190"/>
  <c r="G40" i="190"/>
  <c r="H40" i="190"/>
  <c r="I40" i="190"/>
  <c r="E32" i="193"/>
  <c r="F32" i="193"/>
  <c r="G32" i="193"/>
  <c r="H32" i="193"/>
  <c r="I32" i="193"/>
  <c r="D32" i="193"/>
  <c r="P15" i="192" l="1"/>
  <c r="D30" i="193"/>
  <c r="J44" i="192" l="1"/>
  <c r="J52" i="192" s="1"/>
  <c r="P14" i="192"/>
  <c r="P18" i="42" l="1"/>
  <c r="O18" i="42"/>
  <c r="J22" i="193" l="1"/>
  <c r="P28" i="222"/>
  <c r="D25" i="79" s="1"/>
  <c r="A17" i="250" l="1"/>
  <c r="A19" i="250" s="1"/>
  <c r="A21" i="250" s="1"/>
  <c r="A23" i="250" s="1"/>
  <c r="A27" i="250" s="1"/>
  <c r="A28" i="250" s="1"/>
  <c r="A30" i="250" s="1"/>
  <c r="A31" i="250" s="1"/>
  <c r="A33" i="250" s="1"/>
  <c r="A34" i="250" s="1"/>
  <c r="A36" i="250" s="1"/>
  <c r="A37" i="250" s="1"/>
  <c r="A39" i="250" s="1"/>
  <c r="A41" i="250" s="1"/>
  <c r="F21" i="250"/>
  <c r="F8" i="250"/>
  <c r="A2" i="250"/>
  <c r="A1" i="250"/>
  <c r="A17" i="99" l="1"/>
  <c r="A18" i="99" s="1"/>
  <c r="A19" i="99" s="1"/>
  <c r="A20" i="99" s="1"/>
  <c r="A21" i="99" s="1"/>
  <c r="A22" i="99" s="1"/>
  <c r="A23" i="99" s="1"/>
  <c r="A24" i="99" s="1"/>
  <c r="A25" i="99" s="1"/>
  <c r="A26" i="99" s="1"/>
  <c r="A27" i="99" s="1"/>
  <c r="A28" i="99" s="1"/>
  <c r="A29" i="99" s="1"/>
  <c r="A30" i="99" s="1"/>
  <c r="A31" i="99" s="1"/>
  <c r="A32" i="99" s="1"/>
  <c r="A33" i="99" s="1"/>
  <c r="A34" i="99" s="1"/>
  <c r="I28" i="99"/>
  <c r="G18" i="99"/>
  <c r="G19" i="99"/>
  <c r="G20" i="99"/>
  <c r="G21" i="99"/>
  <c r="G22" i="99"/>
  <c r="G23" i="99"/>
  <c r="G17" i="99"/>
  <c r="G16" i="99"/>
  <c r="E16" i="99"/>
  <c r="E18" i="99"/>
  <c r="E19" i="99"/>
  <c r="E20" i="99"/>
  <c r="E21" i="99"/>
  <c r="E22" i="99"/>
  <c r="E17" i="99"/>
  <c r="C16" i="99"/>
  <c r="C18" i="99"/>
  <c r="C19" i="99"/>
  <c r="C20" i="99"/>
  <c r="C21" i="99"/>
  <c r="C22" i="99"/>
  <c r="C23" i="99"/>
  <c r="C17" i="99"/>
  <c r="A17" i="8"/>
  <c r="J18" i="98"/>
  <c r="E26" i="99" l="1"/>
  <c r="E34" i="99" s="1"/>
  <c r="P19" i="202" s="1"/>
  <c r="A18" i="8"/>
  <c r="A19" i="8" l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C61" i="238"/>
  <c r="D61" i="238" s="1"/>
  <c r="E61" i="238" s="1"/>
  <c r="F61" i="238" s="1"/>
  <c r="G61" i="238" s="1"/>
  <c r="H61" i="238" s="1"/>
  <c r="I61" i="238" s="1"/>
  <c r="J61" i="238" s="1"/>
  <c r="K61" i="238" s="1"/>
  <c r="L61" i="238" s="1"/>
  <c r="M61" i="238" s="1"/>
  <c r="N61" i="238" s="1"/>
  <c r="C33" i="238"/>
  <c r="D33" i="238" s="1"/>
  <c r="E33" i="238" s="1"/>
  <c r="F33" i="238" s="1"/>
  <c r="G33" i="238" s="1"/>
  <c r="H33" i="238" s="1"/>
  <c r="I33" i="238" s="1"/>
  <c r="J33" i="238" s="1"/>
  <c r="K33" i="238" s="1"/>
  <c r="L33" i="238" s="1"/>
  <c r="M33" i="238" s="1"/>
  <c r="N33" i="238" s="1"/>
  <c r="C32" i="238"/>
  <c r="D32" i="238" s="1"/>
  <c r="E32" i="238" s="1"/>
  <c r="F32" i="238" s="1"/>
  <c r="G32" i="238" s="1"/>
  <c r="H32" i="238" s="1"/>
  <c r="I32" i="238" s="1"/>
  <c r="J32" i="238" s="1"/>
  <c r="K32" i="238" s="1"/>
  <c r="L32" i="238" s="1"/>
  <c r="M32" i="238" s="1"/>
  <c r="N32" i="238" s="1"/>
  <c r="G39" i="103" l="1"/>
  <c r="G32" i="103"/>
  <c r="G25" i="103"/>
  <c r="G18" i="103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I128" i="10"/>
  <c r="I124" i="10"/>
  <c r="I98" i="10"/>
  <c r="I55" i="10"/>
  <c r="I58" i="10" s="1"/>
  <c r="I60" i="10" s="1"/>
  <c r="I62" i="10" s="1"/>
  <c r="I45" i="10"/>
  <c r="I31" i="10"/>
  <c r="I25" i="10"/>
  <c r="I27" i="10" s="1"/>
  <c r="K33" i="39"/>
  <c r="K34" i="39"/>
  <c r="K35" i="39"/>
  <c r="K36" i="39"/>
  <c r="S30" i="39"/>
  <c r="S33" i="39"/>
  <c r="S34" i="39"/>
  <c r="S35" i="39"/>
  <c r="S36" i="39"/>
  <c r="S22" i="39"/>
  <c r="R9" i="39"/>
  <c r="K30" i="39"/>
  <c r="K22" i="39"/>
  <c r="K12" i="39"/>
  <c r="R12" i="41"/>
  <c r="S12" i="41"/>
  <c r="S12" i="39" s="1"/>
  <c r="S30" i="41"/>
  <c r="S33" i="41"/>
  <c r="S34" i="41"/>
  <c r="S35" i="41"/>
  <c r="S36" i="41"/>
  <c r="S22" i="41"/>
  <c r="K33" i="41"/>
  <c r="K34" i="41"/>
  <c r="K35" i="41"/>
  <c r="K36" i="41"/>
  <c r="K30" i="41"/>
  <c r="K22" i="41"/>
  <c r="G12" i="41"/>
  <c r="I12" i="41"/>
  <c r="J12" i="41"/>
  <c r="K12" i="41"/>
  <c r="H12" i="41"/>
  <c r="O29" i="42"/>
  <c r="H29" i="42"/>
  <c r="H19" i="42"/>
  <c r="H22" i="42" s="1"/>
  <c r="I33" i="10" l="1"/>
  <c r="I66" i="10"/>
  <c r="I64" i="10"/>
  <c r="O22" i="42"/>
  <c r="O31" i="42" s="1"/>
  <c r="O42" i="42" s="1"/>
  <c r="H31" i="42"/>
  <c r="H42" i="42" s="1"/>
  <c r="H45" i="42" s="1"/>
  <c r="L9" i="5" l="1"/>
  <c r="K45" i="230" l="1"/>
  <c r="L45" i="230" s="1"/>
  <c r="M45" i="230" s="1"/>
  <c r="N45" i="230" s="1"/>
  <c r="O45" i="230" s="1"/>
  <c r="P45" i="230" s="1"/>
  <c r="D45" i="233" s="1"/>
  <c r="E45" i="233" l="1"/>
  <c r="C25" i="216" l="1"/>
  <c r="C20" i="216"/>
  <c r="C15" i="216"/>
  <c r="E19" i="250" l="1"/>
  <c r="E33" i="250" l="1"/>
  <c r="E34" i="250" l="1"/>
  <c r="O8" i="238" l="1"/>
  <c r="P22" i="44" l="1"/>
  <c r="D20" i="45" l="1"/>
  <c r="F38" i="190" l="1"/>
  <c r="A15" i="190" l="1"/>
  <c r="A17" i="190" s="1"/>
  <c r="A18" i="190" s="1"/>
  <c r="A19" i="190" s="1"/>
  <c r="A20" i="190" s="1"/>
  <c r="A21" i="190" s="1"/>
  <c r="A22" i="190" s="1"/>
  <c r="A23" i="190" s="1"/>
  <c r="A24" i="190" s="1"/>
  <c r="A25" i="190" s="1"/>
  <c r="A26" i="190" s="1"/>
  <c r="A27" i="190" s="1"/>
  <c r="A28" i="190" s="1"/>
  <c r="A29" i="190" s="1"/>
  <c r="A30" i="190" s="1"/>
  <c r="A31" i="190" s="1"/>
  <c r="A32" i="190" s="1"/>
  <c r="A33" i="190" s="1"/>
  <c r="A34" i="190" s="1"/>
  <c r="A35" i="190" s="1"/>
  <c r="A36" i="190" s="1"/>
  <c r="A37" i="190" s="1"/>
  <c r="A38" i="190" s="1"/>
  <c r="A39" i="190" s="1"/>
  <c r="A40" i="190" s="1"/>
  <c r="A41" i="190" s="1"/>
  <c r="A42" i="190" s="1"/>
  <c r="Q22" i="241" l="1"/>
  <c r="G113" i="236" l="1"/>
  <c r="H113" i="236"/>
  <c r="L113" i="236"/>
  <c r="M113" i="236"/>
  <c r="P24" i="44" l="1"/>
  <c r="P21" i="44"/>
  <c r="P18" i="44"/>
  <c r="D19" i="45" l="1"/>
  <c r="D16" i="45"/>
  <c r="D22" i="45"/>
  <c r="L9" i="98"/>
  <c r="V10" i="202"/>
  <c r="S8" i="9"/>
  <c r="Q12" i="41" l="1"/>
  <c r="A2" i="84" l="1"/>
  <c r="A16" i="5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8" i="51" s="1"/>
  <c r="A49" i="51" s="1"/>
  <c r="A50" i="51" s="1"/>
  <c r="A51" i="51" s="1"/>
  <c r="A13" i="50" l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M64" i="171" l="1"/>
  <c r="N64" i="171" s="1"/>
  <c r="M9" i="95" l="1"/>
  <c r="N18" i="42" l="1"/>
  <c r="M36" i="171" l="1"/>
  <c r="N36" i="171" s="1"/>
  <c r="M65" i="171"/>
  <c r="N65" i="171" s="1"/>
  <c r="M37" i="171"/>
  <c r="N37" i="171" s="1"/>
  <c r="M50" i="171"/>
  <c r="N50" i="171" s="1"/>
  <c r="M49" i="171"/>
  <c r="N49" i="171" s="1"/>
  <c r="F19" i="243" l="1"/>
  <c r="F30" i="231"/>
  <c r="E20" i="30"/>
  <c r="F39" i="231"/>
  <c r="P39" i="231" s="1"/>
  <c r="E18" i="30"/>
  <c r="F22" i="243"/>
  <c r="E16" i="243"/>
  <c r="E22" i="231"/>
  <c r="F22" i="231"/>
  <c r="F16" i="243"/>
  <c r="E19" i="30"/>
  <c r="E19" i="243"/>
  <c r="E30" i="231"/>
  <c r="E14" i="212"/>
  <c r="E15" i="212"/>
  <c r="E17" i="212"/>
  <c r="P30" i="231" l="1"/>
  <c r="P22" i="231"/>
  <c r="G113" i="209"/>
  <c r="H113" i="209"/>
  <c r="G20" i="249" l="1"/>
  <c r="G9" i="249" l="1"/>
  <c r="A2" i="249"/>
  <c r="A1" i="249"/>
  <c r="F111" i="237" l="1"/>
  <c r="G111" i="237"/>
  <c r="A15" i="106" l="1"/>
  <c r="A16" i="106" s="1"/>
  <c r="A17" i="106" s="1"/>
  <c r="A18" i="106" s="1"/>
  <c r="A19" i="106" s="1"/>
  <c r="A20" i="106" s="1"/>
  <c r="A21" i="106" s="1"/>
  <c r="A22" i="106" s="1"/>
  <c r="A23" i="106" s="1"/>
  <c r="A24" i="106" s="1"/>
  <c r="A25" i="106" s="1"/>
  <c r="A26" i="106" s="1"/>
  <c r="A27" i="106" s="1"/>
  <c r="A28" i="106" s="1"/>
  <c r="A29" i="106" s="1"/>
  <c r="A30" i="106" s="1"/>
  <c r="A31" i="106" s="1"/>
  <c r="F35" i="107"/>
  <c r="F22" i="107"/>
  <c r="F75" i="248"/>
  <c r="D18" i="102" l="1"/>
  <c r="I9" i="171" l="1"/>
  <c r="O45" i="10" l="1"/>
  <c r="R12" i="39" l="1"/>
  <c r="Q12" i="39"/>
  <c r="G12" i="39"/>
  <c r="H12" i="39"/>
  <c r="I12" i="39"/>
  <c r="J12" i="39"/>
  <c r="G25" i="39" l="1"/>
  <c r="H25" i="39"/>
  <c r="I25" i="39"/>
  <c r="G26" i="39"/>
  <c r="H26" i="39"/>
  <c r="I26" i="39"/>
  <c r="G27" i="39"/>
  <c r="H27" i="39"/>
  <c r="I27" i="39"/>
  <c r="G28" i="39"/>
  <c r="H28" i="39"/>
  <c r="I28" i="39"/>
  <c r="J28" i="39"/>
  <c r="J27" i="39"/>
  <c r="J26" i="39"/>
  <c r="J25" i="39"/>
  <c r="H17" i="102" l="1"/>
  <c r="A16" i="102"/>
  <c r="A17" i="102" s="1"/>
  <c r="A18" i="102" s="1"/>
  <c r="A19" i="102" s="1"/>
  <c r="A20" i="102" s="1"/>
  <c r="A21" i="102" s="1"/>
  <c r="A22" i="102" l="1"/>
  <c r="A23" i="102" l="1"/>
  <c r="A24" i="102" s="1"/>
  <c r="A25" i="102" s="1"/>
  <c r="A26" i="102" s="1"/>
  <c r="A27" i="102" s="1"/>
  <c r="A28" i="102" l="1"/>
  <c r="A29" i="102" s="1"/>
  <c r="A30" i="102" s="1"/>
  <c r="A31" i="102" s="1"/>
  <c r="A32" i="102" s="1"/>
  <c r="A33" i="102" s="1"/>
  <c r="A34" i="102" s="1"/>
  <c r="E10" i="192" l="1"/>
  <c r="D10" i="227" l="1"/>
  <c r="A52" i="51" l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l="1"/>
  <c r="A65" i="51" s="1"/>
  <c r="A66" i="51" s="1"/>
  <c r="A67" i="51" s="1"/>
  <c r="A68" i="51" s="1"/>
  <c r="A13" i="227"/>
  <c r="A14" i="227" s="1"/>
  <c r="A15" i="227" s="1"/>
  <c r="A16" i="227" s="1"/>
  <c r="A17" i="227" s="1"/>
  <c r="A18" i="227" s="1"/>
  <c r="A19" i="227" s="1"/>
  <c r="A20" i="227" s="1"/>
  <c r="A21" i="227" s="1"/>
  <c r="A22" i="227" s="1"/>
  <c r="A23" i="227" s="1"/>
  <c r="A24" i="227" s="1"/>
  <c r="A25" i="227" s="1"/>
  <c r="A26" i="227" s="1"/>
  <c r="A27" i="227" s="1"/>
  <c r="A28" i="227" s="1"/>
  <c r="A29" i="227" s="1"/>
  <c r="A30" i="227" s="1"/>
  <c r="A31" i="227" s="1"/>
  <c r="A32" i="227" s="1"/>
  <c r="A33" i="227" s="1"/>
  <c r="A34" i="227" s="1"/>
  <c r="A13" i="226"/>
  <c r="A14" i="226" s="1"/>
  <c r="A15" i="226" s="1"/>
  <c r="A16" i="226" s="1"/>
  <c r="A17" i="226" s="1"/>
  <c r="A18" i="226" s="1"/>
  <c r="A19" i="226" s="1"/>
  <c r="A20" i="226" s="1"/>
  <c r="A21" i="226" s="1"/>
  <c r="A22" i="226" s="1"/>
  <c r="A23" i="226" s="1"/>
  <c r="A24" i="226" s="1"/>
  <c r="A25" i="226" s="1"/>
  <c r="A26" i="226" s="1"/>
  <c r="A27" i="226" s="1"/>
  <c r="A28" i="226" s="1"/>
  <c r="A29" i="226" s="1"/>
  <c r="A30" i="226" s="1"/>
  <c r="A31" i="226" s="1"/>
  <c r="A32" i="226" s="1"/>
  <c r="A33" i="226" s="1"/>
  <c r="A34" i="226" s="1"/>
  <c r="A35" i="226" s="1"/>
  <c r="A36" i="226" s="1"/>
  <c r="A37" i="226" s="1"/>
  <c r="A38" i="226" s="1"/>
  <c r="A39" i="226" s="1"/>
  <c r="A40" i="226" s="1"/>
  <c r="A69" i="51" l="1"/>
  <c r="A13" i="193"/>
  <c r="A14" i="193" s="1"/>
  <c r="A15" i="193" s="1"/>
  <c r="A16" i="193" s="1"/>
  <c r="A17" i="193" s="1"/>
  <c r="A18" i="193" s="1"/>
  <c r="A19" i="193" s="1"/>
  <c r="A20" i="193" s="1"/>
  <c r="A21" i="193" s="1"/>
  <c r="A22" i="193" s="1"/>
  <c r="A23" i="193" s="1"/>
  <c r="A24" i="193" s="1"/>
  <c r="A25" i="193" s="1"/>
  <c r="A26" i="193" s="1"/>
  <c r="A27" i="193" s="1"/>
  <c r="A28" i="193" s="1"/>
  <c r="A29" i="193" s="1"/>
  <c r="A30" i="193" s="1"/>
  <c r="A31" i="193" s="1"/>
  <c r="A32" i="193" s="1"/>
  <c r="A33" i="193" s="1"/>
  <c r="A34" i="193" s="1"/>
  <c r="A35" i="193" s="1"/>
  <c r="A70" i="51" l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4" i="51" s="1"/>
  <c r="J9" i="171" l="1"/>
  <c r="A13" i="171"/>
  <c r="A14" i="171" s="1"/>
  <c r="A15" i="171" s="1"/>
  <c r="A16" i="171" s="1"/>
  <c r="A14" i="238"/>
  <c r="A15" i="238" s="1"/>
  <c r="A16" i="238" s="1"/>
  <c r="A17" i="238" s="1"/>
  <c r="A18" i="238" s="1"/>
  <c r="A19" i="238" s="1"/>
  <c r="A20" i="238" s="1"/>
  <c r="A17" i="171" l="1"/>
  <c r="A18" i="171" s="1"/>
  <c r="A19" i="171" s="1"/>
  <c r="A20" i="171" s="1"/>
  <c r="A21" i="171" s="1"/>
  <c r="A22" i="171" s="1"/>
  <c r="A23" i="171" s="1"/>
  <c r="A24" i="171" s="1"/>
  <c r="A25" i="171" s="1"/>
  <c r="A26" i="171" s="1"/>
  <c r="A27" i="171" s="1"/>
  <c r="A28" i="171" s="1"/>
  <c r="A29" i="171" s="1"/>
  <c r="A30" i="171" s="1"/>
  <c r="A31" i="171" s="1"/>
  <c r="A32" i="171" s="1"/>
  <c r="A33" i="171" s="1"/>
  <c r="A34" i="171" s="1"/>
  <c r="A35" i="171" s="1"/>
  <c r="A36" i="171" s="1"/>
  <c r="A37" i="171" s="1"/>
  <c r="A38" i="171" s="1"/>
  <c r="A39" i="171" s="1"/>
  <c r="A40" i="171" s="1"/>
  <c r="A41" i="171" s="1"/>
  <c r="A42" i="171" s="1"/>
  <c r="A43" i="171" s="1"/>
  <c r="A44" i="171" s="1"/>
  <c r="A21" i="238"/>
  <c r="A22" i="238" s="1"/>
  <c r="A23" i="238" s="1"/>
  <c r="A24" i="238" s="1"/>
  <c r="A25" i="238" s="1"/>
  <c r="A26" i="238" s="1"/>
  <c r="A27" i="238" s="1"/>
  <c r="A28" i="238" s="1"/>
  <c r="A29" i="238" s="1"/>
  <c r="A30" i="238" s="1"/>
  <c r="A31" i="238" s="1"/>
  <c r="A32" i="238" s="1"/>
  <c r="A33" i="238" s="1"/>
  <c r="A34" i="238" l="1"/>
  <c r="A35" i="238" s="1"/>
  <c r="A36" i="238" s="1"/>
  <c r="A37" i="238" s="1"/>
  <c r="A38" i="238" s="1"/>
  <c r="A39" i="238" s="1"/>
  <c r="A40" i="238" s="1"/>
  <c r="A41" i="238" s="1"/>
  <c r="A42" i="238" s="1"/>
  <c r="A43" i="238" s="1"/>
  <c r="A44" i="238" s="1"/>
  <c r="A45" i="238" s="1"/>
  <c r="A46" i="238" s="1"/>
  <c r="A47" i="238" s="1"/>
  <c r="A48" i="238" s="1"/>
  <c r="A49" i="238" s="1"/>
  <c r="A50" i="238" s="1"/>
  <c r="A51" i="238" s="1"/>
  <c r="A52" i="238" s="1"/>
  <c r="A53" i="238" s="1"/>
  <c r="A54" i="238" s="1"/>
  <c r="A55" i="238" s="1"/>
  <c r="A56" i="238" s="1"/>
  <c r="A57" i="238" s="1"/>
  <c r="A58" i="238" s="1"/>
  <c r="A59" i="238" s="1"/>
  <c r="A60" i="238" s="1"/>
  <c r="A61" i="238" s="1"/>
  <c r="A62" i="238" s="1"/>
  <c r="A45" i="171"/>
  <c r="A46" i="171" s="1"/>
  <c r="A47" i="171" s="1"/>
  <c r="A48" i="171" s="1"/>
  <c r="A49" i="171" s="1"/>
  <c r="A50" i="171" s="1"/>
  <c r="A51" i="171" s="1"/>
  <c r="A52" i="171" s="1"/>
  <c r="A53" i="171" s="1"/>
  <c r="A54" i="171" s="1"/>
  <c r="A55" i="171" s="1"/>
  <c r="A56" i="171" s="1"/>
  <c r="A57" i="171" s="1"/>
  <c r="A58" i="171" s="1"/>
  <c r="A59" i="171" s="1"/>
  <c r="A60" i="171" s="1"/>
  <c r="A61" i="171" s="1"/>
  <c r="A62" i="171" s="1"/>
  <c r="A63" i="171" s="1"/>
  <c r="A64" i="171" s="1"/>
  <c r="A65" i="171" s="1"/>
  <c r="A66" i="171" s="1"/>
  <c r="A67" i="171" s="1"/>
  <c r="A63" i="238" l="1"/>
  <c r="A64" i="238" s="1"/>
  <c r="A65" i="238" s="1"/>
  <c r="A66" i="238" s="1"/>
  <c r="A67" i="238" s="1"/>
  <c r="A68" i="238" s="1"/>
  <c r="A14" i="233"/>
  <c r="A15" i="233" s="1"/>
  <c r="A16" i="233" s="1"/>
  <c r="A17" i="233" s="1"/>
  <c r="A18" i="233" s="1"/>
  <c r="A19" i="233" s="1"/>
  <c r="A20" i="233" s="1"/>
  <c r="A21" i="233" s="1"/>
  <c r="A22" i="233" s="1"/>
  <c r="A23" i="233" s="1"/>
  <c r="A24" i="233" s="1"/>
  <c r="A25" i="233" s="1"/>
  <c r="A26" i="233" s="1"/>
  <c r="A27" i="233" s="1"/>
  <c r="A28" i="233" s="1"/>
  <c r="A29" i="233" s="1"/>
  <c r="A30" i="233" s="1"/>
  <c r="A31" i="233" s="1"/>
  <c r="A32" i="233" s="1"/>
  <c r="A33" i="233" s="1"/>
  <c r="A34" i="233" s="1"/>
  <c r="A35" i="233" s="1"/>
  <c r="A36" i="233" s="1"/>
  <c r="A37" i="233" s="1"/>
  <c r="A38" i="233" s="1"/>
  <c r="A39" i="233" s="1"/>
  <c r="A40" i="233" s="1"/>
  <c r="A41" i="233" s="1"/>
  <c r="A42" i="233" s="1"/>
  <c r="A43" i="233" s="1"/>
  <c r="A44" i="233" s="1"/>
  <c r="A45" i="233" s="1"/>
  <c r="A46" i="233" s="1"/>
  <c r="A47" i="233" s="1"/>
  <c r="A48" i="233" s="1"/>
  <c r="A49" i="233" s="1"/>
  <c r="A14" i="230"/>
  <c r="A15" i="230" s="1"/>
  <c r="A16" i="230" s="1"/>
  <c r="A17" i="230" s="1"/>
  <c r="A18" i="230" s="1"/>
  <c r="A19" i="230" s="1"/>
  <c r="A20" i="230" s="1"/>
  <c r="A21" i="230" s="1"/>
  <c r="A22" i="230" s="1"/>
  <c r="A23" i="230" s="1"/>
  <c r="A24" i="230" s="1"/>
  <c r="A25" i="230" s="1"/>
  <c r="A26" i="230" s="1"/>
  <c r="A27" i="230" s="1"/>
  <c r="A28" i="230" s="1"/>
  <c r="A29" i="230" s="1"/>
  <c r="A30" i="230" s="1"/>
  <c r="A31" i="230" s="1"/>
  <c r="A32" i="230" s="1"/>
  <c r="A33" i="230" s="1"/>
  <c r="A34" i="230" s="1"/>
  <c r="A35" i="230" s="1"/>
  <c r="A36" i="230" s="1"/>
  <c r="A37" i="230" s="1"/>
  <c r="A38" i="230" s="1"/>
  <c r="A39" i="230" s="1"/>
  <c r="A40" i="230" s="1"/>
  <c r="A41" i="230" s="1"/>
  <c r="A42" i="230" s="1"/>
  <c r="A43" i="230" s="1"/>
  <c r="A44" i="230" s="1"/>
  <c r="A45" i="230" s="1"/>
  <c r="A46" i="230" s="1"/>
  <c r="A47" i="230" s="1"/>
  <c r="A48" i="230" s="1"/>
  <c r="A49" i="230" s="1"/>
  <c r="A14" i="244" l="1"/>
  <c r="A15" i="244" s="1"/>
  <c r="A16" i="244" s="1"/>
  <c r="A17" i="244" s="1"/>
  <c r="A18" i="244" s="1"/>
  <c r="A19" i="244" s="1"/>
  <c r="A20" i="244" s="1"/>
  <c r="A21" i="244" s="1"/>
  <c r="A22" i="244" s="1"/>
  <c r="A23" i="244" s="1"/>
  <c r="A24" i="244" s="1"/>
  <c r="A14" i="243"/>
  <c r="A15" i="243" s="1"/>
  <c r="A16" i="243" s="1"/>
  <c r="A17" i="243" s="1"/>
  <c r="A18" i="243" s="1"/>
  <c r="A19" i="243" s="1"/>
  <c r="A20" i="243" s="1"/>
  <c r="A21" i="243" s="1"/>
  <c r="A22" i="243" s="1"/>
  <c r="A23" i="243" s="1"/>
  <c r="A24" i="243" s="1"/>
  <c r="Q19" i="242"/>
  <c r="Q16" i="242"/>
  <c r="Q22" i="242" l="1"/>
  <c r="Q13" i="242"/>
  <c r="Q13" i="241"/>
  <c r="E10" i="228" l="1"/>
  <c r="E10" i="227"/>
  <c r="E10" i="226"/>
  <c r="E9" i="192"/>
  <c r="E10" i="193"/>
  <c r="E9" i="193"/>
  <c r="E10" i="190"/>
  <c r="E9" i="190"/>
  <c r="G47" i="230" l="1"/>
  <c r="F47" i="230"/>
  <c r="E47" i="230"/>
  <c r="D47" i="230"/>
  <c r="H47" i="230"/>
  <c r="I30" i="193" l="1"/>
  <c r="I33" i="193" l="1"/>
  <c r="E8" i="216"/>
  <c r="F8" i="216"/>
  <c r="G8" i="216"/>
  <c r="H8" i="216"/>
  <c r="I8" i="216"/>
  <c r="J8" i="216"/>
  <c r="K8" i="216"/>
  <c r="L8" i="216"/>
  <c r="M8" i="216"/>
  <c r="N8" i="216"/>
  <c r="O8" i="216"/>
  <c r="C8" i="216" s="1"/>
  <c r="D8" i="216"/>
  <c r="E8" i="214"/>
  <c r="F11" i="230" s="1"/>
  <c r="F8" i="214"/>
  <c r="G11" i="230" s="1"/>
  <c r="G8" i="214"/>
  <c r="H11" i="230" s="1"/>
  <c r="H8" i="214"/>
  <c r="I11" i="230" s="1"/>
  <c r="I8" i="214"/>
  <c r="J11" i="230" s="1"/>
  <c r="J8" i="214"/>
  <c r="K11" i="230" s="1"/>
  <c r="K8" i="214"/>
  <c r="L11" i="230" s="1"/>
  <c r="L8" i="214"/>
  <c r="M11" i="230" s="1"/>
  <c r="M8" i="214"/>
  <c r="N11" i="230" s="1"/>
  <c r="N8" i="214"/>
  <c r="O11" i="230" s="1"/>
  <c r="O8" i="214"/>
  <c r="C8" i="214" s="1"/>
  <c r="D8" i="214"/>
  <c r="E11" i="230" s="1"/>
  <c r="D11" i="230" l="1"/>
  <c r="P11" i="230"/>
  <c r="A14" i="212" l="1"/>
  <c r="A15" i="212" s="1"/>
  <c r="A16" i="212" s="1"/>
  <c r="A17" i="212" s="1"/>
  <c r="A18" i="212" s="1"/>
  <c r="A19" i="212" s="1"/>
  <c r="A20" i="212" l="1"/>
  <c r="A21" i="212" s="1"/>
  <c r="A22" i="212" s="1"/>
  <c r="A23" i="212" s="1"/>
  <c r="A24" i="212" s="1"/>
  <c r="A25" i="212" s="1"/>
  <c r="A26" i="212" s="1"/>
  <c r="A27" i="212" s="1"/>
  <c r="A28" i="212" s="1"/>
  <c r="A29" i="212" s="1"/>
  <c r="A30" i="212" s="1"/>
  <c r="A31" i="212" s="1"/>
  <c r="I20" i="212"/>
  <c r="G191" i="237" s="1"/>
  <c r="H186" i="209"/>
  <c r="M186" i="209" s="1"/>
  <c r="H184" i="213"/>
  <c r="M184" i="213" s="1"/>
  <c r="I21" i="212"/>
  <c r="H231" i="209"/>
  <c r="M231" i="209" s="1"/>
  <c r="G229" i="237"/>
  <c r="H230" i="213"/>
  <c r="H244" i="236" l="1"/>
  <c r="M244" i="236" s="1"/>
  <c r="H237" i="236"/>
  <c r="H240" i="236"/>
  <c r="H242" i="236"/>
  <c r="H232" i="236"/>
  <c r="H239" i="236"/>
  <c r="H238" i="236"/>
  <c r="H191" i="213"/>
  <c r="H121" i="207"/>
  <c r="H122" i="236"/>
  <c r="G183" i="207"/>
  <c r="G183" i="236"/>
  <c r="L183" i="236" s="1"/>
  <c r="G229" i="207"/>
  <c r="G228" i="236"/>
  <c r="H229" i="207"/>
  <c r="H228" i="236"/>
  <c r="F228" i="237"/>
  <c r="G230" i="209"/>
  <c r="G229" i="213"/>
  <c r="H229" i="213"/>
  <c r="H237" i="213" s="1"/>
  <c r="M237" i="213" s="1"/>
  <c r="G228" i="237"/>
  <c r="H230" i="209"/>
  <c r="M230" i="209" s="1"/>
  <c r="G183" i="237"/>
  <c r="G203" i="237" s="1"/>
  <c r="H183" i="213"/>
  <c r="H200" i="213" s="1"/>
  <c r="M200" i="213" s="1"/>
  <c r="H185" i="209"/>
  <c r="H202" i="209" s="1"/>
  <c r="G185" i="209"/>
  <c r="G183" i="213"/>
  <c r="F183" i="237"/>
  <c r="F203" i="237" s="1"/>
  <c r="G122" i="237"/>
  <c r="H124" i="209"/>
  <c r="H121" i="213"/>
  <c r="H183" i="236"/>
  <c r="H200" i="236" s="1"/>
  <c r="H183" i="207"/>
  <c r="H229" i="236"/>
  <c r="H230" i="207"/>
  <c r="H243" i="213"/>
  <c r="H254" i="213"/>
  <c r="H255" i="213"/>
  <c r="H233" i="213"/>
  <c r="H253" i="213"/>
  <c r="G184" i="237"/>
  <c r="H184" i="207"/>
  <c r="I17" i="212"/>
  <c r="I14" i="212"/>
  <c r="I15" i="212"/>
  <c r="M186" i="207" l="1"/>
  <c r="M184" i="207"/>
  <c r="M191" i="213"/>
  <c r="G160" i="237"/>
  <c r="G162" i="237"/>
  <c r="G164" i="237"/>
  <c r="G161" i="237"/>
  <c r="G163" i="237"/>
  <c r="G165" i="237"/>
  <c r="H241" i="236"/>
  <c r="M241" i="236" s="1"/>
  <c r="H233" i="236"/>
  <c r="M233" i="236" s="1"/>
  <c r="H256" i="236"/>
  <c r="M256" i="236" s="1"/>
  <c r="H236" i="236"/>
  <c r="H234" i="236"/>
  <c r="M234" i="236" s="1"/>
  <c r="H235" i="236"/>
  <c r="M235" i="236" s="1"/>
  <c r="H245" i="236"/>
  <c r="M245" i="236" s="1"/>
  <c r="H236" i="207"/>
  <c r="M236" i="207" s="1"/>
  <c r="H235" i="207"/>
  <c r="M235" i="207" s="1"/>
  <c r="H257" i="207"/>
  <c r="M257" i="207" s="1"/>
  <c r="H160" i="209"/>
  <c r="M160" i="209" s="1"/>
  <c r="H162" i="209"/>
  <c r="M162" i="209" s="1"/>
  <c r="H164" i="209"/>
  <c r="M164" i="209" s="1"/>
  <c r="H161" i="209"/>
  <c r="M161" i="209" s="1"/>
  <c r="H163" i="209"/>
  <c r="M163" i="209" s="1"/>
  <c r="H165" i="209"/>
  <c r="M165" i="209" s="1"/>
  <c r="G205" i="209"/>
  <c r="L205" i="209" s="1"/>
  <c r="G207" i="209"/>
  <c r="L207" i="209" s="1"/>
  <c r="L185" i="209"/>
  <c r="G197" i="209"/>
  <c r="L197" i="209" s="1"/>
  <c r="G206" i="209"/>
  <c r="L206" i="209" s="1"/>
  <c r="G196" i="209"/>
  <c r="L196" i="209" s="1"/>
  <c r="G200" i="209"/>
  <c r="L200" i="209" s="1"/>
  <c r="G202" i="209"/>
  <c r="L202" i="209" s="1"/>
  <c r="G192" i="209"/>
  <c r="L192" i="209" s="1"/>
  <c r="G208" i="209"/>
  <c r="L208" i="209" s="1"/>
  <c r="G195" i="209"/>
  <c r="L195" i="209" s="1"/>
  <c r="G199" i="209"/>
  <c r="L199" i="209" s="1"/>
  <c r="G204" i="209"/>
  <c r="L204" i="209" s="1"/>
  <c r="G241" i="236"/>
  <c r="G235" i="236"/>
  <c r="G233" i="236"/>
  <c r="G245" i="236"/>
  <c r="L245" i="236" s="1"/>
  <c r="G236" i="236"/>
  <c r="L236" i="236" s="1"/>
  <c r="G234" i="236"/>
  <c r="G256" i="236"/>
  <c r="L256" i="236" s="1"/>
  <c r="H196" i="209"/>
  <c r="M196" i="209" s="1"/>
  <c r="H200" i="209"/>
  <c r="M200" i="209" s="1"/>
  <c r="M202" i="209"/>
  <c r="H192" i="209"/>
  <c r="M192" i="209" s="1"/>
  <c r="H205" i="209"/>
  <c r="M205" i="209" s="1"/>
  <c r="H207" i="209"/>
  <c r="M207" i="209" s="1"/>
  <c r="H195" i="209"/>
  <c r="M195" i="209" s="1"/>
  <c r="H199" i="209"/>
  <c r="M199" i="209" s="1"/>
  <c r="H197" i="209"/>
  <c r="M197" i="209" s="1"/>
  <c r="H204" i="209"/>
  <c r="M204" i="209" s="1"/>
  <c r="H206" i="209"/>
  <c r="M206" i="209" s="1"/>
  <c r="H208" i="209"/>
  <c r="M208" i="209" s="1"/>
  <c r="G236" i="207"/>
  <c r="G257" i="207"/>
  <c r="G235" i="207"/>
  <c r="M240" i="236"/>
  <c r="H245" i="207"/>
  <c r="H238" i="207"/>
  <c r="H239" i="207"/>
  <c r="H256" i="207"/>
  <c r="H241" i="207"/>
  <c r="H240" i="207"/>
  <c r="H253" i="236"/>
  <c r="M253" i="236" s="1"/>
  <c r="H254" i="236"/>
  <c r="M254" i="236" s="1"/>
  <c r="H252" i="236"/>
  <c r="M252" i="236" s="1"/>
  <c r="M239" i="236"/>
  <c r="M237" i="236"/>
  <c r="M242" i="236"/>
  <c r="M238" i="236"/>
  <c r="M232" i="236"/>
  <c r="G188" i="237"/>
  <c r="G185" i="237"/>
  <c r="G189" i="237"/>
  <c r="G193" i="237"/>
  <c r="G195" i="237"/>
  <c r="G197" i="237"/>
  <c r="G190" i="237"/>
  <c r="G194" i="237"/>
  <c r="G198" i="237"/>
  <c r="F185" i="237"/>
  <c r="F189" i="237"/>
  <c r="F193" i="237"/>
  <c r="F195" i="237"/>
  <c r="F197" i="237"/>
  <c r="F188" i="237"/>
  <c r="F190" i="237"/>
  <c r="F194" i="237"/>
  <c r="F198" i="237"/>
  <c r="H157" i="236"/>
  <c r="H159" i="236"/>
  <c r="H156" i="236"/>
  <c r="H158" i="236"/>
  <c r="H160" i="236"/>
  <c r="H237" i="207"/>
  <c r="M237" i="207" s="1"/>
  <c r="H261" i="207"/>
  <c r="H157" i="213"/>
  <c r="H156" i="213"/>
  <c r="H158" i="213"/>
  <c r="H160" i="213"/>
  <c r="H162" i="213"/>
  <c r="H164" i="213"/>
  <c r="H166" i="213"/>
  <c r="H159" i="213"/>
  <c r="H165" i="213"/>
  <c r="H161" i="213"/>
  <c r="H163" i="213"/>
  <c r="H156" i="207"/>
  <c r="H158" i="207"/>
  <c r="H165" i="207"/>
  <c r="M165" i="207" s="1"/>
  <c r="H167" i="207"/>
  <c r="M167" i="207" s="1"/>
  <c r="H172" i="207"/>
  <c r="H163" i="207"/>
  <c r="H168" i="207"/>
  <c r="M168" i="207" s="1"/>
  <c r="H160" i="207"/>
  <c r="M160" i="207" s="1"/>
  <c r="H162" i="207"/>
  <c r="H169" i="207"/>
  <c r="H171" i="207"/>
  <c r="H157" i="207"/>
  <c r="H159" i="207"/>
  <c r="H164" i="207"/>
  <c r="H166" i="207"/>
  <c r="H161" i="207"/>
  <c r="M161" i="207" s="1"/>
  <c r="H170" i="207"/>
  <c r="K55" i="192"/>
  <c r="J55" i="192"/>
  <c r="E17" i="250"/>
  <c r="E30" i="250" s="1"/>
  <c r="J33" i="193"/>
  <c r="K33" i="193"/>
  <c r="M41" i="190"/>
  <c r="J41" i="190"/>
  <c r="N41" i="190"/>
  <c r="K41" i="190"/>
  <c r="O41" i="190"/>
  <c r="L41" i="190"/>
  <c r="E15" i="250"/>
  <c r="E27" i="250" s="1"/>
  <c r="H211" i="213"/>
  <c r="M211" i="213" s="1"/>
  <c r="H215" i="213"/>
  <c r="M215" i="213" s="1"/>
  <c r="G215" i="213"/>
  <c r="G211" i="213"/>
  <c r="G237" i="207"/>
  <c r="H191" i="207"/>
  <c r="G237" i="213"/>
  <c r="H243" i="236"/>
  <c r="M243" i="236" s="1"/>
  <c r="G243" i="236"/>
  <c r="D27" i="102"/>
  <c r="D28" i="102" s="1"/>
  <c r="H203" i="236"/>
  <c r="M203" i="236" s="1"/>
  <c r="M33" i="193"/>
  <c r="N33" i="193"/>
  <c r="O33" i="193"/>
  <c r="L33" i="193"/>
  <c r="N55" i="192"/>
  <c r="M55" i="192"/>
  <c r="L55" i="192"/>
  <c r="O55" i="192"/>
  <c r="F21" i="247"/>
  <c r="D23" i="103"/>
  <c r="E25" i="100"/>
  <c r="D18" i="239"/>
  <c r="E21" i="105"/>
  <c r="D22" i="102"/>
  <c r="M200" i="236"/>
  <c r="H215" i="236"/>
  <c r="M215" i="236" s="1"/>
  <c r="H208" i="236"/>
  <c r="M208" i="236" s="1"/>
  <c r="H221" i="236"/>
  <c r="H210" i="236"/>
  <c r="M210" i="236" s="1"/>
  <c r="H211" i="236"/>
  <c r="M211" i="236" s="1"/>
  <c r="H204" i="236"/>
  <c r="M204" i="236" s="1"/>
  <c r="H206" i="236"/>
  <c r="M206" i="236" s="1"/>
  <c r="H207" i="236"/>
  <c r="M207" i="236" s="1"/>
  <c r="H209" i="236"/>
  <c r="M209" i="236" s="1"/>
  <c r="H202" i="236"/>
  <c r="M202" i="236" s="1"/>
  <c r="H205" i="236"/>
  <c r="M205" i="236" s="1"/>
  <c r="H255" i="236"/>
  <c r="M255" i="236" s="1"/>
  <c r="E39" i="100"/>
  <c r="D22" i="239"/>
  <c r="D37" i="103"/>
  <c r="D32" i="102"/>
  <c r="F27" i="247"/>
  <c r="E31" i="105"/>
  <c r="E26" i="105"/>
  <c r="D20" i="239"/>
  <c r="E32" i="100"/>
  <c r="D30" i="103"/>
  <c r="F24" i="247"/>
  <c r="H254" i="207"/>
  <c r="H253" i="207"/>
  <c r="H233" i="207"/>
  <c r="H243" i="207"/>
  <c r="H255" i="207"/>
  <c r="M191" i="207" l="1"/>
  <c r="L257" i="207"/>
  <c r="L236" i="207"/>
  <c r="L241" i="236"/>
  <c r="L233" i="236"/>
  <c r="M236" i="236"/>
  <c r="L243" i="236"/>
  <c r="L235" i="207"/>
  <c r="L234" i="236"/>
  <c r="L235" i="236"/>
  <c r="M256" i="207"/>
  <c r="M239" i="207"/>
  <c r="M240" i="207"/>
  <c r="M238" i="207"/>
  <c r="M241" i="207"/>
  <c r="M245" i="207"/>
  <c r="M158" i="236"/>
  <c r="M156" i="236"/>
  <c r="M159" i="236"/>
  <c r="M160" i="236"/>
  <c r="M157" i="236"/>
  <c r="M160" i="213"/>
  <c r="M163" i="213"/>
  <c r="M166" i="213"/>
  <c r="M158" i="213"/>
  <c r="M159" i="213"/>
  <c r="M161" i="213"/>
  <c r="M164" i="213"/>
  <c r="M156" i="213"/>
  <c r="M165" i="213"/>
  <c r="M162" i="213"/>
  <c r="M157" i="213"/>
  <c r="M166" i="207"/>
  <c r="M164" i="207"/>
  <c r="M158" i="207"/>
  <c r="M157" i="207"/>
  <c r="M163" i="207"/>
  <c r="M159" i="207"/>
  <c r="M162" i="207"/>
  <c r="M156" i="207"/>
  <c r="L211" i="213"/>
  <c r="L215" i="213"/>
  <c r="L237" i="207"/>
  <c r="L237" i="213"/>
  <c r="E28" i="250"/>
  <c r="E31" i="250"/>
  <c r="A13" i="222" l="1"/>
  <c r="A14" i="222" s="1"/>
  <c r="A15" i="222" s="1"/>
  <c r="A16" i="222" s="1"/>
  <c r="A17" i="222" s="1"/>
  <c r="A18" i="222" s="1"/>
  <c r="A19" i="222" s="1"/>
  <c r="A20" i="222" s="1"/>
  <c r="A21" i="222" s="1"/>
  <c r="A22" i="222" s="1"/>
  <c r="A23" i="222" s="1"/>
  <c r="A24" i="222" s="1"/>
  <c r="A25" i="222" s="1"/>
  <c r="A26" i="222" s="1"/>
  <c r="A27" i="222" s="1"/>
  <c r="A28" i="222" s="1"/>
  <c r="A29" i="222" s="1"/>
  <c r="A30" i="222" s="1"/>
  <c r="A31" i="222" s="1"/>
  <c r="A32" i="222" s="1"/>
  <c r="A33" i="222" s="1"/>
  <c r="A34" i="222" s="1"/>
  <c r="A35" i="222" s="1"/>
  <c r="A36" i="222" s="1"/>
  <c r="A37" i="222" s="1"/>
  <c r="A38" i="222" s="1"/>
  <c r="A39" i="222" s="1"/>
  <c r="A40" i="222" s="1"/>
  <c r="A41" i="222" s="1"/>
  <c r="A42" i="222" s="1"/>
  <c r="A43" i="222" s="1"/>
  <c r="A44" i="222" s="1"/>
  <c r="A45" i="222" s="1"/>
  <c r="A46" i="222" s="1"/>
  <c r="A47" i="222" s="1"/>
  <c r="A48" i="222" s="1"/>
  <c r="A49" i="222" s="1"/>
  <c r="A50" i="222" s="1"/>
  <c r="A51" i="222" s="1"/>
  <c r="A52" i="222" s="1"/>
  <c r="A53" i="222" s="1"/>
  <c r="A54" i="222" s="1"/>
  <c r="A55" i="222" s="1"/>
  <c r="A56" i="222" s="1"/>
  <c r="A57" i="222" s="1"/>
  <c r="A58" i="222" s="1"/>
  <c r="A59" i="222" s="1"/>
  <c r="A60" i="222" s="1"/>
  <c r="A61" i="222" s="1"/>
  <c r="A62" i="222" s="1"/>
  <c r="A63" i="222" s="1"/>
  <c r="A64" i="222" s="1"/>
  <c r="A65" i="222" s="1"/>
  <c r="A66" i="222" s="1"/>
  <c r="A67" i="222" s="1"/>
  <c r="A68" i="222" s="1"/>
  <c r="A69" i="222" s="1"/>
  <c r="A70" i="222" s="1"/>
  <c r="A71" i="222" s="1"/>
  <c r="A72" i="222" s="1"/>
  <c r="A73" i="222" s="1"/>
  <c r="A74" i="222" s="1"/>
  <c r="A75" i="222" s="1"/>
  <c r="A76" i="222" s="1"/>
  <c r="A77" i="222" s="1"/>
  <c r="A78" i="222" s="1"/>
  <c r="A79" i="222" s="1"/>
  <c r="A80" i="222" s="1"/>
  <c r="A81" i="222" s="1"/>
  <c r="A82" i="222" s="1"/>
  <c r="A83" i="222" s="1"/>
  <c r="A84" i="222" s="1"/>
  <c r="A85" i="222" s="1"/>
  <c r="A86" i="222" s="1"/>
  <c r="A87" i="222" s="1"/>
  <c r="A88" i="222" s="1"/>
  <c r="A13" i="44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l="1"/>
  <c r="A89" i="222"/>
  <c r="A90" i="222" s="1"/>
  <c r="A91" i="222" s="1"/>
  <c r="A92" i="222" s="1"/>
  <c r="A93" i="222" s="1"/>
  <c r="A94" i="222" s="1"/>
  <c r="A95" i="222" s="1"/>
  <c r="A96" i="222" s="1"/>
  <c r="A97" i="222" s="1"/>
  <c r="A98" i="222" s="1"/>
  <c r="A99" i="222" s="1"/>
  <c r="A100" i="222" s="1"/>
  <c r="A101" i="222" s="1"/>
  <c r="A102" i="222" s="1"/>
  <c r="A103" i="222" s="1"/>
  <c r="A104" i="222" s="1"/>
  <c r="A105" i="222" s="1"/>
  <c r="A106" i="222" s="1"/>
  <c r="A107" i="222" s="1"/>
  <c r="A108" i="222" s="1"/>
  <c r="A109" i="222" s="1"/>
  <c r="A110" i="222" s="1"/>
  <c r="P14" i="44"/>
  <c r="D14" i="48" l="1"/>
  <c r="D155" i="51"/>
  <c r="A14" i="79"/>
  <c r="A15" i="79" s="1"/>
  <c r="A16" i="79" s="1"/>
  <c r="A17" i="79" s="1"/>
  <c r="A18" i="79" s="1"/>
  <c r="A14" i="45"/>
  <c r="A15" i="45" s="1"/>
  <c r="A16" i="45" s="1"/>
  <c r="A17" i="45" s="1"/>
  <c r="A18" i="45" s="1"/>
  <c r="A19" i="45" s="1"/>
  <c r="A20" i="45" l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A110" i="45" s="1"/>
  <c r="A111" i="45" s="1"/>
  <c r="A112" i="45" s="1"/>
  <c r="A113" i="45" s="1"/>
  <c r="A114" i="45" s="1"/>
  <c r="A115" i="45" s="1"/>
  <c r="A116" i="45" s="1"/>
  <c r="A117" i="45" s="1"/>
  <c r="A118" i="45" s="1"/>
  <c r="A119" i="45" s="1"/>
  <c r="A120" i="45" s="1"/>
  <c r="A121" i="45" s="1"/>
  <c r="A122" i="45" s="1"/>
  <c r="A123" i="45" s="1"/>
  <c r="A124" i="45" s="1"/>
  <c r="A125" i="45" s="1"/>
  <c r="A126" i="45" s="1"/>
  <c r="A127" i="45" s="1"/>
  <c r="A128" i="45" s="1"/>
  <c r="A129" i="45" s="1"/>
  <c r="A130" i="45" s="1"/>
  <c r="A131" i="45" s="1"/>
  <c r="A132" i="45" s="1"/>
  <c r="A133" i="45" s="1"/>
  <c r="A134" i="45" s="1"/>
  <c r="A135" i="45" s="1"/>
  <c r="A136" i="45" s="1"/>
  <c r="A137" i="45" s="1"/>
  <c r="A138" i="45" s="1"/>
  <c r="A139" i="45" s="1"/>
  <c r="A140" i="45" s="1"/>
  <c r="A141" i="45" s="1"/>
  <c r="A142" i="45" s="1"/>
  <c r="A143" i="45" s="1"/>
  <c r="A144" i="45" s="1"/>
  <c r="A145" i="45" s="1"/>
  <c r="A146" i="45" s="1"/>
  <c r="A147" i="45" s="1"/>
  <c r="A148" i="45" s="1"/>
  <c r="A149" i="45" s="1"/>
  <c r="A150" i="45" s="1"/>
  <c r="A151" i="45" s="1"/>
  <c r="A152" i="45" s="1"/>
  <c r="A153" i="45" s="1"/>
  <c r="A154" i="45" s="1"/>
  <c r="A155" i="45" s="1"/>
  <c r="A156" i="45" s="1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168" i="45" s="1"/>
  <c r="A169" i="45" s="1"/>
  <c r="A170" i="45" s="1"/>
  <c r="A171" i="45" s="1"/>
  <c r="A172" i="45" s="1"/>
  <c r="A173" i="45" s="1"/>
  <c r="A174" i="45" s="1"/>
  <c r="A175" i="45" s="1"/>
  <c r="A176" i="45" s="1"/>
  <c r="A177" i="45" s="1"/>
  <c r="A178" i="45" s="1"/>
  <c r="A179" i="45" s="1"/>
  <c r="A180" i="45" s="1"/>
  <c r="A181" i="45" s="1"/>
  <c r="A19" i="79"/>
  <c r="A20" i="79" s="1"/>
  <c r="A21" i="79" s="1"/>
  <c r="A22" i="79" s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90" i="79" s="1"/>
  <c r="A91" i="79" s="1"/>
  <c r="A92" i="79" s="1"/>
  <c r="A93" i="79" s="1"/>
  <c r="A94" i="79" s="1"/>
  <c r="A95" i="79" s="1"/>
  <c r="A96" i="79" s="1"/>
  <c r="A97" i="79" s="1"/>
  <c r="A98" i="79" s="1"/>
  <c r="A99" i="79" s="1"/>
  <c r="A100" i="79" s="1"/>
  <c r="A101" i="79" s="1"/>
  <c r="A102" i="79" s="1"/>
  <c r="A103" i="79" s="1"/>
  <c r="A104" i="79" s="1"/>
  <c r="A105" i="79" s="1"/>
  <c r="A106" i="79" s="1"/>
  <c r="A107" i="79" s="1"/>
  <c r="A108" i="79" s="1"/>
  <c r="A109" i="79" s="1"/>
  <c r="A110" i="79" s="1"/>
  <c r="A111" i="79" s="1"/>
  <c r="A112" i="79" s="1"/>
  <c r="A113" i="79" s="1"/>
  <c r="A114" i="79" s="1"/>
  <c r="A115" i="79" s="1"/>
  <c r="A116" i="79" s="1"/>
  <c r="A117" i="79" s="1"/>
  <c r="A118" i="79" s="1"/>
  <c r="A119" i="79" s="1"/>
  <c r="A120" i="79" s="1"/>
  <c r="A121" i="79" s="1"/>
  <c r="A122" i="79" s="1"/>
  <c r="A123" i="79" s="1"/>
  <c r="A124" i="79" s="1"/>
  <c r="A125" i="79" s="1"/>
  <c r="A126" i="79" s="1"/>
  <c r="A127" i="79" s="1"/>
  <c r="A128" i="79" s="1"/>
  <c r="A129" i="79" s="1"/>
  <c r="A130" i="79" s="1"/>
  <c r="A131" i="79" s="1"/>
  <c r="A132" i="79" s="1"/>
  <c r="A133" i="79" s="1"/>
  <c r="A134" i="79" s="1"/>
  <c r="A135" i="79" s="1"/>
  <c r="A136" i="79" s="1"/>
  <c r="A137" i="79" s="1"/>
  <c r="A138" i="79" s="1"/>
  <c r="A139" i="79" s="1"/>
  <c r="A140" i="79" s="1"/>
  <c r="A141" i="79" s="1"/>
  <c r="A142" i="79" s="1"/>
  <c r="A143" i="79" s="1"/>
  <c r="A144" i="79" s="1"/>
  <c r="A145" i="79" s="1"/>
  <c r="A146" i="79" s="1"/>
  <c r="A147" i="79" s="1"/>
  <c r="A148" i="79" s="1"/>
  <c r="A149" i="79" s="1"/>
  <c r="A150" i="79" s="1"/>
  <c r="A151" i="79" s="1"/>
  <c r="A152" i="79" s="1"/>
  <c r="A153" i="79" s="1"/>
  <c r="A154" i="79" s="1"/>
  <c r="A155" i="79" s="1"/>
  <c r="A156" i="79" s="1"/>
  <c r="A157" i="79" s="1"/>
  <c r="A158" i="79" s="1"/>
  <c r="A159" i="79" s="1"/>
  <c r="A160" i="79" s="1"/>
  <c r="A161" i="79" s="1"/>
  <c r="A162" i="79" s="1"/>
  <c r="A163" i="79" s="1"/>
  <c r="A164" i="79" s="1"/>
  <c r="A165" i="79" s="1"/>
  <c r="A166" i="79" s="1"/>
  <c r="A167" i="79" s="1"/>
  <c r="A168" i="79" s="1"/>
  <c r="A169" i="79" s="1"/>
  <c r="A170" i="79" s="1"/>
  <c r="A171" i="79" s="1"/>
  <c r="A172" i="79" s="1"/>
  <c r="A173" i="79" s="1"/>
  <c r="A174" i="79" s="1"/>
  <c r="A175" i="79" s="1"/>
  <c r="A176" i="79" s="1"/>
  <c r="A177" i="79" s="1"/>
  <c r="G111" i="44" l="1"/>
  <c r="F111" i="44"/>
  <c r="I111" i="44"/>
  <c r="E111" i="44"/>
  <c r="H111" i="44"/>
  <c r="E11" i="242" l="1"/>
  <c r="F11" i="242"/>
  <c r="G11" i="242"/>
  <c r="H11" i="242"/>
  <c r="I11" i="242"/>
  <c r="J11" i="242"/>
  <c r="K11" i="242"/>
  <c r="L11" i="242"/>
  <c r="M11" i="242"/>
  <c r="N11" i="242"/>
  <c r="O11" i="242"/>
  <c r="P11" i="242"/>
  <c r="D11" i="242"/>
  <c r="E11" i="241"/>
  <c r="F11" i="241"/>
  <c r="G11" i="241"/>
  <c r="H11" i="241"/>
  <c r="I11" i="241"/>
  <c r="J11" i="241"/>
  <c r="K11" i="241"/>
  <c r="L11" i="241"/>
  <c r="M11" i="241"/>
  <c r="N11" i="241"/>
  <c r="O11" i="241"/>
  <c r="P11" i="241"/>
  <c r="D11" i="241"/>
  <c r="E11" i="233"/>
  <c r="F11" i="233"/>
  <c r="G11" i="233"/>
  <c r="H11" i="233"/>
  <c r="I11" i="233"/>
  <c r="J11" i="233"/>
  <c r="K11" i="233"/>
  <c r="L11" i="233"/>
  <c r="M11" i="233"/>
  <c r="N11" i="233"/>
  <c r="O11" i="233"/>
  <c r="P11" i="233"/>
  <c r="D11" i="233"/>
  <c r="K9" i="99" l="1"/>
  <c r="K8" i="8"/>
  <c r="L9" i="34"/>
  <c r="O9" i="35"/>
  <c r="L9" i="36"/>
  <c r="I9" i="239"/>
  <c r="I10" i="103"/>
  <c r="E9" i="106"/>
  <c r="I9" i="102"/>
  <c r="K10" i="247"/>
  <c r="J10" i="100"/>
  <c r="J10" i="105"/>
  <c r="J10" i="104"/>
  <c r="F9" i="107"/>
  <c r="F10" i="228"/>
  <c r="G10" i="228"/>
  <c r="H10" i="228"/>
  <c r="I10" i="228"/>
  <c r="J10" i="228"/>
  <c r="K10" i="228"/>
  <c r="L10" i="228"/>
  <c r="M10" i="228"/>
  <c r="N10" i="228"/>
  <c r="O10" i="228"/>
  <c r="D10" i="228"/>
  <c r="F10" i="227"/>
  <c r="G10" i="227"/>
  <c r="H10" i="227"/>
  <c r="I10" i="227"/>
  <c r="J10" i="227"/>
  <c r="K10" i="227"/>
  <c r="L10" i="227"/>
  <c r="M10" i="227"/>
  <c r="N10" i="227"/>
  <c r="O10" i="227"/>
  <c r="F10" i="226"/>
  <c r="G10" i="226"/>
  <c r="H10" i="226"/>
  <c r="I10" i="226"/>
  <c r="J10" i="226"/>
  <c r="K10" i="226"/>
  <c r="L10" i="226"/>
  <c r="M10" i="226"/>
  <c r="N10" i="226"/>
  <c r="O10" i="226"/>
  <c r="D10" i="226"/>
  <c r="A16" i="237" l="1"/>
  <c r="A17" i="237" s="1"/>
  <c r="A16" i="209"/>
  <c r="A17" i="209" s="1"/>
  <c r="A16" i="236"/>
  <c r="A17" i="236" s="1"/>
  <c r="A18" i="237" l="1"/>
  <c r="A19" i="237" s="1"/>
  <c r="A20" i="237" s="1"/>
  <c r="A21" i="237" s="1"/>
  <c r="A18" i="209"/>
  <c r="A19" i="209" s="1"/>
  <c r="A20" i="209" s="1"/>
  <c r="A21" i="209" s="1"/>
  <c r="A22" i="209" s="1"/>
  <c r="A23" i="209" s="1"/>
  <c r="A24" i="209" s="1"/>
  <c r="A25" i="209" s="1"/>
  <c r="A26" i="209" s="1"/>
  <c r="A27" i="209" s="1"/>
  <c r="A28" i="209" s="1"/>
  <c r="A29" i="209" s="1"/>
  <c r="A30" i="209" s="1"/>
  <c r="A31" i="209" s="1"/>
  <c r="A32" i="209" s="1"/>
  <c r="A33" i="209" s="1"/>
  <c r="A34" i="209" s="1"/>
  <c r="A35" i="209" s="1"/>
  <c r="A36" i="209" s="1"/>
  <c r="A37" i="209" s="1"/>
  <c r="A38" i="209" s="1"/>
  <c r="A39" i="209" s="1"/>
  <c r="A40" i="209" s="1"/>
  <c r="A41" i="209" s="1"/>
  <c r="A42" i="209" s="1"/>
  <c r="A43" i="209" s="1"/>
  <c r="A44" i="209" s="1"/>
  <c r="A45" i="209" s="1"/>
  <c r="A46" i="209" s="1"/>
  <c r="A47" i="209" s="1"/>
  <c r="A48" i="209" s="1"/>
  <c r="A49" i="209" s="1"/>
  <c r="A50" i="209" s="1"/>
  <c r="A51" i="209" s="1"/>
  <c r="A52" i="209" s="1"/>
  <c r="A53" i="209" s="1"/>
  <c r="A54" i="209" s="1"/>
  <c r="A55" i="209" s="1"/>
  <c r="A56" i="209" s="1"/>
  <c r="A57" i="209" s="1"/>
  <c r="A58" i="209" s="1"/>
  <c r="A59" i="209" s="1"/>
  <c r="A60" i="209" s="1"/>
  <c r="A61" i="209" s="1"/>
  <c r="A62" i="209" s="1"/>
  <c r="A63" i="209" s="1"/>
  <c r="A64" i="209" s="1"/>
  <c r="A65" i="209" s="1"/>
  <c r="A66" i="209" s="1"/>
  <c r="A67" i="209" s="1"/>
  <c r="A68" i="209" s="1"/>
  <c r="A69" i="209" s="1"/>
  <c r="A70" i="209" s="1"/>
  <c r="A71" i="209" s="1"/>
  <c r="A72" i="209" s="1"/>
  <c r="A73" i="209" s="1"/>
  <c r="A74" i="209" s="1"/>
  <c r="A75" i="209" s="1"/>
  <c r="A76" i="209" s="1"/>
  <c r="A77" i="209" s="1"/>
  <c r="A78" i="209" s="1"/>
  <c r="A79" i="209" s="1"/>
  <c r="A80" i="209" s="1"/>
  <c r="A81" i="209" s="1"/>
  <c r="A82" i="209" s="1"/>
  <c r="A83" i="209" s="1"/>
  <c r="A84" i="209" s="1"/>
  <c r="A85" i="209" s="1"/>
  <c r="A18" i="236"/>
  <c r="A19" i="236" s="1"/>
  <c r="A20" i="236" s="1"/>
  <c r="A21" i="236" s="1"/>
  <c r="A16" i="213"/>
  <c r="A17" i="213" s="1"/>
  <c r="A16" i="207"/>
  <c r="A17" i="207" s="1"/>
  <c r="A86" i="209" l="1"/>
  <c r="A87" i="209" s="1"/>
  <c r="A88" i="209" s="1"/>
  <c r="A89" i="209" s="1"/>
  <c r="A90" i="209" s="1"/>
  <c r="A91" i="209" s="1"/>
  <c r="A92" i="209" s="1"/>
  <c r="A93" i="209" s="1"/>
  <c r="A94" i="209" s="1"/>
  <c r="A95" i="209" s="1"/>
  <c r="A96" i="209" s="1"/>
  <c r="A97" i="209" s="1"/>
  <c r="A98" i="209" s="1"/>
  <c r="A99" i="209" s="1"/>
  <c r="A100" i="209" s="1"/>
  <c r="A101" i="209" s="1"/>
  <c r="A102" i="209" s="1"/>
  <c r="A103" i="209" s="1"/>
  <c r="A104" i="209" s="1"/>
  <c r="A105" i="209" s="1"/>
  <c r="A106" i="209" s="1"/>
  <c r="A107" i="209" s="1"/>
  <c r="A108" i="209" s="1"/>
  <c r="A109" i="209" s="1"/>
  <c r="A110" i="209" s="1"/>
  <c r="A111" i="209" s="1"/>
  <c r="A113" i="209" s="1"/>
  <c r="A114" i="209" s="1"/>
  <c r="A115" i="209" s="1"/>
  <c r="A116" i="209" s="1"/>
  <c r="A117" i="209" s="1"/>
  <c r="A118" i="209" s="1"/>
  <c r="A119" i="209" s="1"/>
  <c r="A120" i="209" s="1"/>
  <c r="A121" i="209" s="1"/>
  <c r="A122" i="209" s="1"/>
  <c r="A123" i="209" s="1"/>
  <c r="A124" i="209" s="1"/>
  <c r="A125" i="209" s="1"/>
  <c r="A126" i="209" s="1"/>
  <c r="A127" i="209" s="1"/>
  <c r="A128" i="209" s="1"/>
  <c r="A129" i="209" s="1"/>
  <c r="A130" i="209" s="1"/>
  <c r="A131" i="209" s="1"/>
  <c r="A132" i="209" s="1"/>
  <c r="A133" i="209" s="1"/>
  <c r="A134" i="209" s="1"/>
  <c r="A135" i="209" s="1"/>
  <c r="A136" i="209" s="1"/>
  <c r="A137" i="209" s="1"/>
  <c r="A138" i="209" s="1"/>
  <c r="A139" i="209" s="1"/>
  <c r="A140" i="209" s="1"/>
  <c r="A141" i="209" s="1"/>
  <c r="A142" i="209" s="1"/>
  <c r="A143" i="209" s="1"/>
  <c r="A144" i="209" s="1"/>
  <c r="A145" i="209" s="1"/>
  <c r="A146" i="209" s="1"/>
  <c r="A147" i="209" s="1"/>
  <c r="A148" i="209" s="1"/>
  <c r="A149" i="209" s="1"/>
  <c r="A150" i="209" s="1"/>
  <c r="A151" i="209" s="1"/>
  <c r="A152" i="209" s="1"/>
  <c r="A153" i="209" s="1"/>
  <c r="A154" i="209" s="1"/>
  <c r="A155" i="209" s="1"/>
  <c r="A156" i="209" s="1"/>
  <c r="A22" i="237"/>
  <c r="A23" i="237" s="1"/>
  <c r="A24" i="237" s="1"/>
  <c r="A25" i="237" s="1"/>
  <c r="A26" i="237" s="1"/>
  <c r="A27" i="237" s="1"/>
  <c r="A28" i="237" s="1"/>
  <c r="A29" i="237" s="1"/>
  <c r="A30" i="237" s="1"/>
  <c r="A31" i="237" s="1"/>
  <c r="A32" i="237" s="1"/>
  <c r="A33" i="237" s="1"/>
  <c r="A34" i="237" s="1"/>
  <c r="A35" i="237" s="1"/>
  <c r="A36" i="237" s="1"/>
  <c r="A37" i="237" s="1"/>
  <c r="A38" i="237" s="1"/>
  <c r="A39" i="237" s="1"/>
  <c r="A40" i="237" s="1"/>
  <c r="A41" i="237" s="1"/>
  <c r="A42" i="237" s="1"/>
  <c r="A43" i="237" s="1"/>
  <c r="A44" i="237" s="1"/>
  <c r="A45" i="237" s="1"/>
  <c r="A46" i="237" s="1"/>
  <c r="A47" i="237" s="1"/>
  <c r="A48" i="237" s="1"/>
  <c r="A49" i="237" s="1"/>
  <c r="A50" i="237" s="1"/>
  <c r="A51" i="237" s="1"/>
  <c r="A52" i="237" s="1"/>
  <c r="A53" i="237" s="1"/>
  <c r="A54" i="237" s="1"/>
  <c r="A55" i="237" s="1"/>
  <c r="A56" i="237" s="1"/>
  <c r="A57" i="237" s="1"/>
  <c r="A58" i="237" s="1"/>
  <c r="A59" i="237" s="1"/>
  <c r="A60" i="237" s="1"/>
  <c r="A61" i="237" s="1"/>
  <c r="A62" i="237" s="1"/>
  <c r="A63" i="237" s="1"/>
  <c r="A64" i="237" s="1"/>
  <c r="A65" i="237" s="1"/>
  <c r="A66" i="237" s="1"/>
  <c r="A67" i="237" s="1"/>
  <c r="A68" i="237" s="1"/>
  <c r="A69" i="237" s="1"/>
  <c r="A70" i="237" s="1"/>
  <c r="A71" i="237" s="1"/>
  <c r="A72" i="237" s="1"/>
  <c r="A73" i="237" s="1"/>
  <c r="A74" i="237" s="1"/>
  <c r="A75" i="237" s="1"/>
  <c r="A76" i="237" s="1"/>
  <c r="A77" i="237" s="1"/>
  <c r="A78" i="237" s="1"/>
  <c r="A79" i="237" s="1"/>
  <c r="A80" i="237" s="1"/>
  <c r="A81" i="237" s="1"/>
  <c r="A82" i="237" s="1"/>
  <c r="A83" i="237" s="1"/>
  <c r="A84" i="237" s="1"/>
  <c r="A85" i="237" s="1"/>
  <c r="A86" i="237" s="1"/>
  <c r="A22" i="236"/>
  <c r="A23" i="236" s="1"/>
  <c r="A24" i="236" s="1"/>
  <c r="A25" i="236" s="1"/>
  <c r="A26" i="236" s="1"/>
  <c r="A27" i="236" s="1"/>
  <c r="A28" i="236" s="1"/>
  <c r="A29" i="236" s="1"/>
  <c r="A30" i="236" s="1"/>
  <c r="A31" i="236" s="1"/>
  <c r="A32" i="236" s="1"/>
  <c r="A33" i="236" s="1"/>
  <c r="A34" i="236" s="1"/>
  <c r="A35" i="236" s="1"/>
  <c r="A36" i="236" s="1"/>
  <c r="A37" i="236" s="1"/>
  <c r="A38" i="236" s="1"/>
  <c r="A39" i="236" s="1"/>
  <c r="A40" i="236" s="1"/>
  <c r="A41" i="236" s="1"/>
  <c r="A42" i="236" s="1"/>
  <c r="A43" i="236" s="1"/>
  <c r="A44" i="236" s="1"/>
  <c r="A45" i="236" s="1"/>
  <c r="A46" i="236" s="1"/>
  <c r="A47" i="236" s="1"/>
  <c r="A48" i="236" s="1"/>
  <c r="A49" i="236" s="1"/>
  <c r="A50" i="236" s="1"/>
  <c r="A51" i="236" s="1"/>
  <c r="A52" i="236" s="1"/>
  <c r="A53" i="236" s="1"/>
  <c r="A54" i="236" s="1"/>
  <c r="A55" i="236" s="1"/>
  <c r="A56" i="236" s="1"/>
  <c r="A57" i="236" s="1"/>
  <c r="A58" i="236" s="1"/>
  <c r="A59" i="236" s="1"/>
  <c r="A60" i="236" s="1"/>
  <c r="A61" i="236" s="1"/>
  <c r="A62" i="236" s="1"/>
  <c r="A63" i="236" s="1"/>
  <c r="A64" i="236" s="1"/>
  <c r="A65" i="236" s="1"/>
  <c r="A66" i="236" s="1"/>
  <c r="A67" i="236" s="1"/>
  <c r="A68" i="236" s="1"/>
  <c r="A69" i="236" s="1"/>
  <c r="A70" i="236" s="1"/>
  <c r="A71" i="236" s="1"/>
  <c r="A72" i="236" s="1"/>
  <c r="A73" i="236" s="1"/>
  <c r="A74" i="236" s="1"/>
  <c r="A75" i="236" s="1"/>
  <c r="A76" i="236" s="1"/>
  <c r="A77" i="236" s="1"/>
  <c r="A78" i="236" s="1"/>
  <c r="A79" i="236" s="1"/>
  <c r="A80" i="236" s="1"/>
  <c r="A81" i="236" s="1"/>
  <c r="A82" i="236" s="1"/>
  <c r="A83" i="236" s="1"/>
  <c r="A84" i="236" s="1"/>
  <c r="A85" i="236" s="1"/>
  <c r="A86" i="236" s="1"/>
  <c r="A87" i="236" s="1"/>
  <c r="A88" i="236" s="1"/>
  <c r="A89" i="236" s="1"/>
  <c r="A90" i="236" s="1"/>
  <c r="A91" i="236" s="1"/>
  <c r="A92" i="236" s="1"/>
  <c r="A93" i="236" s="1"/>
  <c r="A18" i="213"/>
  <c r="A19" i="213" s="1"/>
  <c r="A20" i="213" s="1"/>
  <c r="A21" i="213" s="1"/>
  <c r="A18" i="207"/>
  <c r="A19" i="207" s="1"/>
  <c r="A20" i="207" s="1"/>
  <c r="A21" i="207" s="1"/>
  <c r="A87" i="237" l="1"/>
  <c r="A88" i="237" s="1"/>
  <c r="A89" i="237" s="1"/>
  <c r="A90" i="237" s="1"/>
  <c r="A91" i="237" s="1"/>
  <c r="A92" i="237" s="1"/>
  <c r="A93" i="237" s="1"/>
  <c r="A94" i="237" s="1"/>
  <c r="A95" i="237" s="1"/>
  <c r="A96" i="237" s="1"/>
  <c r="A97" i="237" s="1"/>
  <c r="A98" i="237" s="1"/>
  <c r="A99" i="237" s="1"/>
  <c r="A100" i="237" s="1"/>
  <c r="A101" i="237" s="1"/>
  <c r="A102" i="237" s="1"/>
  <c r="A103" i="237" s="1"/>
  <c r="A104" i="237" s="1"/>
  <c r="A105" i="237" s="1"/>
  <c r="A106" i="237" s="1"/>
  <c r="A107" i="237" s="1"/>
  <c r="A108" i="237" s="1"/>
  <c r="A109" i="237" s="1"/>
  <c r="A110" i="237" s="1"/>
  <c r="A111" i="237" s="1"/>
  <c r="A112" i="237" s="1"/>
  <c r="A113" i="237" s="1"/>
  <c r="A114" i="237" s="1"/>
  <c r="A115" i="237" s="1"/>
  <c r="A116" i="237" s="1"/>
  <c r="A117" i="237" s="1"/>
  <c r="A118" i="237" s="1"/>
  <c r="A119" i="237" s="1"/>
  <c r="A120" i="237" s="1"/>
  <c r="A121" i="237" s="1"/>
  <c r="A122" i="237" s="1"/>
  <c r="A123" i="237" s="1"/>
  <c r="A124" i="237" s="1"/>
  <c r="A125" i="237" s="1"/>
  <c r="A126" i="237" s="1"/>
  <c r="A127" i="237" s="1"/>
  <c r="A128" i="237" s="1"/>
  <c r="A129" i="237" s="1"/>
  <c r="A130" i="237" s="1"/>
  <c r="A131" i="237" s="1"/>
  <c r="A132" i="237" s="1"/>
  <c r="A133" i="237" s="1"/>
  <c r="A134" i="237" s="1"/>
  <c r="A135" i="237" s="1"/>
  <c r="A136" i="237" s="1"/>
  <c r="A137" i="237" s="1"/>
  <c r="A138" i="237" s="1"/>
  <c r="A139" i="237" s="1"/>
  <c r="A140" i="237" s="1"/>
  <c r="A141" i="237" s="1"/>
  <c r="A142" i="237" s="1"/>
  <c r="A143" i="237" s="1"/>
  <c r="A144" i="237" s="1"/>
  <c r="A145" i="237" s="1"/>
  <c r="A146" i="237" s="1"/>
  <c r="A147" i="237" s="1"/>
  <c r="A148" i="237" s="1"/>
  <c r="A149" i="237" s="1"/>
  <c r="A150" i="237" s="1"/>
  <c r="A151" i="237" s="1"/>
  <c r="A152" i="237" s="1"/>
  <c r="A153" i="237" s="1"/>
  <c r="A154" i="237" s="1"/>
  <c r="A155" i="237" s="1"/>
  <c r="A156" i="237" s="1"/>
  <c r="A157" i="209"/>
  <c r="A158" i="209" s="1"/>
  <c r="A159" i="209" s="1"/>
  <c r="A160" i="209" s="1"/>
  <c r="A161" i="209" s="1"/>
  <c r="A162" i="209" s="1"/>
  <c r="A163" i="209" s="1"/>
  <c r="A164" i="209" s="1"/>
  <c r="A165" i="209" s="1"/>
  <c r="A166" i="209" s="1"/>
  <c r="A167" i="209" s="1"/>
  <c r="A168" i="209" s="1"/>
  <c r="A169" i="209" s="1"/>
  <c r="A170" i="209" s="1"/>
  <c r="A171" i="209" s="1"/>
  <c r="A172" i="209" s="1"/>
  <c r="A173" i="209" s="1"/>
  <c r="A174" i="209" s="1"/>
  <c r="A175" i="209" s="1"/>
  <c r="A176" i="209" s="1"/>
  <c r="A177" i="209" s="1"/>
  <c r="A178" i="209" s="1"/>
  <c r="A179" i="209" s="1"/>
  <c r="A180" i="209" s="1"/>
  <c r="A181" i="209" s="1"/>
  <c r="A182" i="209" s="1"/>
  <c r="A183" i="209" s="1"/>
  <c r="A184" i="209" s="1"/>
  <c r="A185" i="209" s="1"/>
  <c r="A94" i="236"/>
  <c r="A95" i="236" s="1"/>
  <c r="A96" i="236" s="1"/>
  <c r="A97" i="236" s="1"/>
  <c r="A98" i="236" s="1"/>
  <c r="A99" i="236" s="1"/>
  <c r="A100" i="236" s="1"/>
  <c r="A101" i="236" s="1"/>
  <c r="A102" i="236" s="1"/>
  <c r="A103" i="236" s="1"/>
  <c r="A104" i="236" s="1"/>
  <c r="A105" i="236" s="1"/>
  <c r="A106" i="236" s="1"/>
  <c r="A107" i="236" s="1"/>
  <c r="A108" i="236" s="1"/>
  <c r="A109" i="236" s="1"/>
  <c r="A110" i="236" s="1"/>
  <c r="A111" i="236" s="1"/>
  <c r="A112" i="236" s="1"/>
  <c r="A113" i="236" s="1"/>
  <c r="A114" i="236" s="1"/>
  <c r="A115" i="236" s="1"/>
  <c r="A116" i="236" s="1"/>
  <c r="A117" i="236" s="1"/>
  <c r="A118" i="236" s="1"/>
  <c r="A119" i="236" s="1"/>
  <c r="A120" i="236" s="1"/>
  <c r="A121" i="236" s="1"/>
  <c r="A122" i="236" s="1"/>
  <c r="A123" i="236" s="1"/>
  <c r="A124" i="236" s="1"/>
  <c r="A125" i="236" s="1"/>
  <c r="A126" i="236" s="1"/>
  <c r="A127" i="236" s="1"/>
  <c r="A128" i="236" s="1"/>
  <c r="A129" i="236" s="1"/>
  <c r="A130" i="236" s="1"/>
  <c r="A131" i="236" s="1"/>
  <c r="A132" i="236" s="1"/>
  <c r="A133" i="236" s="1"/>
  <c r="A134" i="236" s="1"/>
  <c r="A135" i="236" s="1"/>
  <c r="A136" i="236" s="1"/>
  <c r="A137" i="236" s="1"/>
  <c r="A138" i="236" s="1"/>
  <c r="A139" i="236" s="1"/>
  <c r="A140" i="236" s="1"/>
  <c r="A141" i="236" s="1"/>
  <c r="A142" i="236" s="1"/>
  <c r="A143" i="236" s="1"/>
  <c r="A144" i="236" s="1"/>
  <c r="A145" i="236" s="1"/>
  <c r="A146" i="236" s="1"/>
  <c r="A147" i="236" s="1"/>
  <c r="A148" i="236" s="1"/>
  <c r="A149" i="236" s="1"/>
  <c r="A22" i="213"/>
  <c r="A23" i="213" s="1"/>
  <c r="A24" i="213" s="1"/>
  <c r="A25" i="213" s="1"/>
  <c r="A26" i="213" s="1"/>
  <c r="A27" i="213" s="1"/>
  <c r="A28" i="213" s="1"/>
  <c r="A29" i="213" s="1"/>
  <c r="A30" i="213" s="1"/>
  <c r="A31" i="213" s="1"/>
  <c r="A32" i="213" s="1"/>
  <c r="A33" i="213" s="1"/>
  <c r="A34" i="213" s="1"/>
  <c r="A35" i="213" s="1"/>
  <c r="A36" i="213" s="1"/>
  <c r="A37" i="213" s="1"/>
  <c r="A38" i="213" s="1"/>
  <c r="A39" i="213" s="1"/>
  <c r="A40" i="213" s="1"/>
  <c r="A41" i="213" s="1"/>
  <c r="A42" i="213" s="1"/>
  <c r="A43" i="213" s="1"/>
  <c r="A44" i="213" s="1"/>
  <c r="A45" i="213" s="1"/>
  <c r="A46" i="213" s="1"/>
  <c r="A47" i="213" s="1"/>
  <c r="A48" i="213" s="1"/>
  <c r="A49" i="213" s="1"/>
  <c r="A50" i="213" s="1"/>
  <c r="A51" i="213" s="1"/>
  <c r="A52" i="213" s="1"/>
  <c r="A53" i="213" s="1"/>
  <c r="A54" i="213" s="1"/>
  <c r="A55" i="213" s="1"/>
  <c r="A56" i="213" s="1"/>
  <c r="A57" i="213" s="1"/>
  <c r="A58" i="213" s="1"/>
  <c r="A59" i="213" s="1"/>
  <c r="A60" i="213" s="1"/>
  <c r="A61" i="213" s="1"/>
  <c r="A62" i="213" s="1"/>
  <c r="A63" i="213" s="1"/>
  <c r="A64" i="213" s="1"/>
  <c r="A65" i="213" s="1"/>
  <c r="A66" i="213" s="1"/>
  <c r="A67" i="213" s="1"/>
  <c r="A68" i="213" s="1"/>
  <c r="A69" i="213" s="1"/>
  <c r="A70" i="213" s="1"/>
  <c r="A71" i="213" s="1"/>
  <c r="A72" i="213" s="1"/>
  <c r="A73" i="213" s="1"/>
  <c r="A74" i="213" s="1"/>
  <c r="A75" i="213" s="1"/>
  <c r="A76" i="213" s="1"/>
  <c r="A77" i="213" s="1"/>
  <c r="A78" i="213" s="1"/>
  <c r="A79" i="213" s="1"/>
  <c r="A80" i="213" s="1"/>
  <c r="A81" i="213" s="1"/>
  <c r="A82" i="213" s="1"/>
  <c r="A83" i="213" s="1"/>
  <c r="A84" i="213" s="1"/>
  <c r="A85" i="213" s="1"/>
  <c r="A86" i="213" s="1"/>
  <c r="A22" i="207"/>
  <c r="A23" i="207" s="1"/>
  <c r="A24" i="207" s="1"/>
  <c r="A25" i="207" s="1"/>
  <c r="A26" i="207" s="1"/>
  <c r="A27" i="207" s="1"/>
  <c r="A28" i="207" s="1"/>
  <c r="A29" i="207" s="1"/>
  <c r="A30" i="207" s="1"/>
  <c r="A31" i="207" s="1"/>
  <c r="A32" i="207" s="1"/>
  <c r="A33" i="207" s="1"/>
  <c r="A34" i="207" s="1"/>
  <c r="A35" i="207" s="1"/>
  <c r="A36" i="207" s="1"/>
  <c r="A37" i="207" s="1"/>
  <c r="A38" i="207" s="1"/>
  <c r="A39" i="207" s="1"/>
  <c r="A40" i="207" s="1"/>
  <c r="A41" i="207" s="1"/>
  <c r="A42" i="207" s="1"/>
  <c r="A43" i="207" s="1"/>
  <c r="A44" i="207" s="1"/>
  <c r="A45" i="207" s="1"/>
  <c r="A46" i="207" s="1"/>
  <c r="A47" i="207" s="1"/>
  <c r="A48" i="207" s="1"/>
  <c r="A49" i="207" s="1"/>
  <c r="A50" i="207" s="1"/>
  <c r="A51" i="207" s="1"/>
  <c r="A52" i="207" s="1"/>
  <c r="A53" i="207" s="1"/>
  <c r="A54" i="207" s="1"/>
  <c r="A55" i="207" s="1"/>
  <c r="A56" i="207" s="1"/>
  <c r="A57" i="207" s="1"/>
  <c r="A58" i="207" s="1"/>
  <c r="A59" i="207" s="1"/>
  <c r="A60" i="207" s="1"/>
  <c r="A61" i="207" s="1"/>
  <c r="A62" i="207" s="1"/>
  <c r="A63" i="207" s="1"/>
  <c r="A64" i="207" s="1"/>
  <c r="A65" i="207" s="1"/>
  <c r="A66" i="207" s="1"/>
  <c r="A67" i="207" s="1"/>
  <c r="A68" i="207" s="1"/>
  <c r="A69" i="207" s="1"/>
  <c r="A70" i="207" s="1"/>
  <c r="A71" i="207" s="1"/>
  <c r="A72" i="207" s="1"/>
  <c r="A73" i="207" s="1"/>
  <c r="A74" i="207" s="1"/>
  <c r="A75" i="207" s="1"/>
  <c r="A76" i="207" s="1"/>
  <c r="A77" i="207" s="1"/>
  <c r="A78" i="207" s="1"/>
  <c r="A79" i="207" s="1"/>
  <c r="A80" i="207" s="1"/>
  <c r="A81" i="207" s="1"/>
  <c r="A82" i="207" s="1"/>
  <c r="A83" i="207" s="1"/>
  <c r="A84" i="207" s="1"/>
  <c r="A157" i="237" l="1"/>
  <c r="A158" i="237" s="1"/>
  <c r="A159" i="237" s="1"/>
  <c r="A160" i="237" s="1"/>
  <c r="A161" i="237" s="1"/>
  <c r="A162" i="237" s="1"/>
  <c r="A163" i="237" s="1"/>
  <c r="A164" i="237" s="1"/>
  <c r="A165" i="237" s="1"/>
  <c r="A166" i="237" s="1"/>
  <c r="A167" i="237" s="1"/>
  <c r="A168" i="237" s="1"/>
  <c r="A169" i="237" s="1"/>
  <c r="A170" i="237" s="1"/>
  <c r="A171" i="237" s="1"/>
  <c r="A172" i="237" s="1"/>
  <c r="A173" i="237" s="1"/>
  <c r="A174" i="237" s="1"/>
  <c r="A175" i="237" s="1"/>
  <c r="A176" i="237" s="1"/>
  <c r="A177" i="237" s="1"/>
  <c r="A178" i="237" s="1"/>
  <c r="A179" i="237" s="1"/>
  <c r="A180" i="237" s="1"/>
  <c r="A181" i="237" s="1"/>
  <c r="A182" i="237" s="1"/>
  <c r="A183" i="237" s="1"/>
  <c r="A186" i="209"/>
  <c r="A187" i="209" s="1"/>
  <c r="A188" i="209" s="1"/>
  <c r="A189" i="209" s="1"/>
  <c r="A190" i="209" s="1"/>
  <c r="A191" i="209" s="1"/>
  <c r="A192" i="209" s="1"/>
  <c r="A193" i="209" s="1"/>
  <c r="A194" i="209" s="1"/>
  <c r="A195" i="209" s="1"/>
  <c r="A196" i="209" s="1"/>
  <c r="A197" i="209" s="1"/>
  <c r="A198" i="209" s="1"/>
  <c r="A199" i="209" s="1"/>
  <c r="A200" i="209" s="1"/>
  <c r="A201" i="209" s="1"/>
  <c r="A202" i="209" s="1"/>
  <c r="A203" i="209" s="1"/>
  <c r="A204" i="209" s="1"/>
  <c r="A205" i="209" s="1"/>
  <c r="A206" i="209" s="1"/>
  <c r="A207" i="209" s="1"/>
  <c r="A208" i="209" s="1"/>
  <c r="A209" i="209" s="1"/>
  <c r="A210" i="209" s="1"/>
  <c r="A211" i="209" s="1"/>
  <c r="A212" i="209" s="1"/>
  <c r="A213" i="209" s="1"/>
  <c r="A214" i="209" s="1"/>
  <c r="A215" i="209" s="1"/>
  <c r="A216" i="209" s="1"/>
  <c r="A217" i="209" s="1"/>
  <c r="A218" i="209" s="1"/>
  <c r="A219" i="209" s="1"/>
  <c r="A220" i="209" s="1"/>
  <c r="A221" i="209" s="1"/>
  <c r="A222" i="209" s="1"/>
  <c r="A223" i="209" s="1"/>
  <c r="A224" i="209" s="1"/>
  <c r="A225" i="209" s="1"/>
  <c r="A226" i="209" s="1"/>
  <c r="A227" i="209" s="1"/>
  <c r="A228" i="209" s="1"/>
  <c r="A150" i="236"/>
  <c r="A151" i="236" s="1"/>
  <c r="A152" i="236" s="1"/>
  <c r="A153" i="236" s="1"/>
  <c r="A154" i="236" s="1"/>
  <c r="A155" i="236" s="1"/>
  <c r="A156" i="236" s="1"/>
  <c r="A157" i="236" s="1"/>
  <c r="A158" i="236" s="1"/>
  <c r="A159" i="236" s="1"/>
  <c r="A160" i="236" s="1"/>
  <c r="A161" i="236" s="1"/>
  <c r="A162" i="236" s="1"/>
  <c r="A163" i="236" s="1"/>
  <c r="A164" i="236" s="1"/>
  <c r="A165" i="236" s="1"/>
  <c r="A166" i="236" s="1"/>
  <c r="A167" i="236" s="1"/>
  <c r="A168" i="236" s="1"/>
  <c r="A169" i="236" s="1"/>
  <c r="A170" i="236" s="1"/>
  <c r="A171" i="236" s="1"/>
  <c r="A172" i="236" s="1"/>
  <c r="A173" i="236" s="1"/>
  <c r="A174" i="236" s="1"/>
  <c r="A175" i="236" s="1"/>
  <c r="A176" i="236" s="1"/>
  <c r="A177" i="236" s="1"/>
  <c r="A178" i="236" s="1"/>
  <c r="A179" i="236" s="1"/>
  <c r="A180" i="236" s="1"/>
  <c r="A181" i="236" s="1"/>
  <c r="A87" i="213"/>
  <c r="A88" i="213" s="1"/>
  <c r="A89" i="213" s="1"/>
  <c r="A90" i="213" s="1"/>
  <c r="A91" i="213" s="1"/>
  <c r="A92" i="213" s="1"/>
  <c r="A93" i="213" s="1"/>
  <c r="A94" i="213" s="1"/>
  <c r="A95" i="213" s="1"/>
  <c r="A96" i="213" s="1"/>
  <c r="A97" i="213" s="1"/>
  <c r="A98" i="213" s="1"/>
  <c r="A99" i="213" s="1"/>
  <c r="A100" i="213" s="1"/>
  <c r="A101" i="213" s="1"/>
  <c r="A102" i="213" s="1"/>
  <c r="A103" i="213" s="1"/>
  <c r="A104" i="213" s="1"/>
  <c r="A105" i="213" s="1"/>
  <c r="A106" i="213" s="1"/>
  <c r="A107" i="213" s="1"/>
  <c r="A108" i="213" s="1"/>
  <c r="A109" i="213" s="1"/>
  <c r="A110" i="213" s="1"/>
  <c r="A111" i="213" s="1"/>
  <c r="A112" i="213" s="1"/>
  <c r="A113" i="213" s="1"/>
  <c r="A114" i="213" s="1"/>
  <c r="A115" i="213" s="1"/>
  <c r="A116" i="213" s="1"/>
  <c r="A117" i="213" s="1"/>
  <c r="A118" i="213" s="1"/>
  <c r="A119" i="213" s="1"/>
  <c r="A120" i="213" s="1"/>
  <c r="A121" i="213" s="1"/>
  <c r="A122" i="213" s="1"/>
  <c r="A123" i="213" s="1"/>
  <c r="A124" i="213" s="1"/>
  <c r="A125" i="213" s="1"/>
  <c r="A126" i="213" s="1"/>
  <c r="A127" i="213" s="1"/>
  <c r="A128" i="213" s="1"/>
  <c r="A129" i="213" s="1"/>
  <c r="A130" i="213" s="1"/>
  <c r="A131" i="213" s="1"/>
  <c r="A132" i="213" s="1"/>
  <c r="A133" i="213" s="1"/>
  <c r="A134" i="213" s="1"/>
  <c r="A135" i="213" s="1"/>
  <c r="A136" i="213" s="1"/>
  <c r="A137" i="213" s="1"/>
  <c r="A138" i="213" s="1"/>
  <c r="A139" i="213" s="1"/>
  <c r="A140" i="213" s="1"/>
  <c r="A141" i="213" s="1"/>
  <c r="A142" i="213" s="1"/>
  <c r="A143" i="213" s="1"/>
  <c r="A144" i="213" s="1"/>
  <c r="A145" i="213" s="1"/>
  <c r="A146" i="213" s="1"/>
  <c r="A147" i="213" s="1"/>
  <c r="A148" i="213" s="1"/>
  <c r="A149" i="213" s="1"/>
  <c r="A150" i="213" s="1"/>
  <c r="A151" i="213" s="1"/>
  <c r="A152" i="213" s="1"/>
  <c r="A153" i="213" s="1"/>
  <c r="A85" i="207"/>
  <c r="A86" i="207" s="1"/>
  <c r="A87" i="207" s="1"/>
  <c r="A88" i="207" s="1"/>
  <c r="A89" i="207" s="1"/>
  <c r="A90" i="207" s="1"/>
  <c r="A91" i="207" s="1"/>
  <c r="A92" i="207" s="1"/>
  <c r="A93" i="207" s="1"/>
  <c r="A94" i="207" s="1"/>
  <c r="A95" i="207" s="1"/>
  <c r="A96" i="207" s="1"/>
  <c r="A97" i="207" s="1"/>
  <c r="A98" i="207" s="1"/>
  <c r="A99" i="207" s="1"/>
  <c r="A100" i="207" s="1"/>
  <c r="A101" i="207" s="1"/>
  <c r="A102" i="207" s="1"/>
  <c r="A103" i="207" s="1"/>
  <c r="A104" i="207" s="1"/>
  <c r="A105" i="207" s="1"/>
  <c r="A106" i="207" s="1"/>
  <c r="A107" i="207" s="1"/>
  <c r="A108" i="207" s="1"/>
  <c r="A109" i="207" s="1"/>
  <c r="A110" i="207" s="1"/>
  <c r="A111" i="207" s="1"/>
  <c r="A112" i="207" s="1"/>
  <c r="A113" i="207" s="1"/>
  <c r="A114" i="207" s="1"/>
  <c r="A115" i="207" s="1"/>
  <c r="A116" i="207" s="1"/>
  <c r="A117" i="207" s="1"/>
  <c r="A118" i="207" s="1"/>
  <c r="A119" i="207" s="1"/>
  <c r="A120" i="207" s="1"/>
  <c r="A121" i="207" s="1"/>
  <c r="A122" i="207" s="1"/>
  <c r="A123" i="207" s="1"/>
  <c r="A124" i="207" s="1"/>
  <c r="A125" i="207" s="1"/>
  <c r="A126" i="207" s="1"/>
  <c r="A127" i="207" s="1"/>
  <c r="A128" i="207" s="1"/>
  <c r="A129" i="207" s="1"/>
  <c r="A130" i="207" s="1"/>
  <c r="A131" i="207" s="1"/>
  <c r="A132" i="207" s="1"/>
  <c r="A133" i="207" s="1"/>
  <c r="A134" i="207" s="1"/>
  <c r="A135" i="207" s="1"/>
  <c r="A136" i="207" s="1"/>
  <c r="A137" i="207" s="1"/>
  <c r="A138" i="207" s="1"/>
  <c r="A139" i="207" s="1"/>
  <c r="A140" i="207" s="1"/>
  <c r="A141" i="207" s="1"/>
  <c r="A142" i="207" s="1"/>
  <c r="A143" i="207" s="1"/>
  <c r="A144" i="207" s="1"/>
  <c r="A145" i="207" s="1"/>
  <c r="A146" i="207" s="1"/>
  <c r="A147" i="207" s="1"/>
  <c r="A148" i="207" s="1"/>
  <c r="A149" i="207" s="1"/>
  <c r="D12" i="237"/>
  <c r="A229" i="209" l="1"/>
  <c r="A230" i="209" s="1"/>
  <c r="A231" i="209" s="1"/>
  <c r="A232" i="209" s="1"/>
  <c r="A233" i="209" s="1"/>
  <c r="A234" i="209" s="1"/>
  <c r="A235" i="209" s="1"/>
  <c r="A236" i="209" s="1"/>
  <c r="A237" i="209" s="1"/>
  <c r="A238" i="209" s="1"/>
  <c r="A239" i="209" s="1"/>
  <c r="A240" i="209" s="1"/>
  <c r="A241" i="209" s="1"/>
  <c r="A242" i="209" s="1"/>
  <c r="A243" i="209" s="1"/>
  <c r="A244" i="209" s="1"/>
  <c r="A245" i="209" s="1"/>
  <c r="A246" i="209" s="1"/>
  <c r="A247" i="209" s="1"/>
  <c r="A248" i="209" s="1"/>
  <c r="A249" i="209" s="1"/>
  <c r="A250" i="209" s="1"/>
  <c r="A251" i="209" s="1"/>
  <c r="A252" i="209" s="1"/>
  <c r="A253" i="209" s="1"/>
  <c r="A254" i="209" s="1"/>
  <c r="A255" i="209" s="1"/>
  <c r="A256" i="209" s="1"/>
  <c r="A257" i="209" s="1"/>
  <c r="A258" i="209" s="1"/>
  <c r="A259" i="209" s="1"/>
  <c r="A260" i="209" s="1"/>
  <c r="A261" i="209" s="1"/>
  <c r="A262" i="209" s="1"/>
  <c r="A263" i="209" s="1"/>
  <c r="A184" i="237"/>
  <c r="A185" i="237" s="1"/>
  <c r="A186" i="237" s="1"/>
  <c r="A187" i="237" s="1"/>
  <c r="A188" i="237" s="1"/>
  <c r="A189" i="237" s="1"/>
  <c r="A190" i="237" s="1"/>
  <c r="A191" i="237" s="1"/>
  <c r="A192" i="237" s="1"/>
  <c r="A193" i="237" s="1"/>
  <c r="A194" i="237" s="1"/>
  <c r="A195" i="237" s="1"/>
  <c r="A196" i="237" s="1"/>
  <c r="A197" i="237" s="1"/>
  <c r="A198" i="237" s="1"/>
  <c r="A199" i="237" s="1"/>
  <c r="A200" i="237" s="1"/>
  <c r="A201" i="237" s="1"/>
  <c r="A202" i="237" s="1"/>
  <c r="A203" i="237" s="1"/>
  <c r="A204" i="237" s="1"/>
  <c r="A205" i="237" s="1"/>
  <c r="A206" i="237" s="1"/>
  <c r="A207" i="237" s="1"/>
  <c r="A208" i="237" s="1"/>
  <c r="A209" i="237" s="1"/>
  <c r="A210" i="237" s="1"/>
  <c r="A211" i="237" s="1"/>
  <c r="A212" i="237" s="1"/>
  <c r="A213" i="237" s="1"/>
  <c r="A214" i="237" s="1"/>
  <c r="A215" i="237" s="1"/>
  <c r="A216" i="237" s="1"/>
  <c r="A217" i="237" s="1"/>
  <c r="A218" i="237" s="1"/>
  <c r="A219" i="237" s="1"/>
  <c r="A220" i="237" s="1"/>
  <c r="A221" i="237" s="1"/>
  <c r="A222" i="237" s="1"/>
  <c r="A223" i="237" s="1"/>
  <c r="A224" i="237" s="1"/>
  <c r="A225" i="237" s="1"/>
  <c r="A226" i="237" s="1"/>
  <c r="A227" i="237" s="1"/>
  <c r="A228" i="237" s="1"/>
  <c r="A229" i="237" s="1"/>
  <c r="A230" i="237" s="1"/>
  <c r="A231" i="237" s="1"/>
  <c r="A232" i="237" s="1"/>
  <c r="A233" i="237" s="1"/>
  <c r="A234" i="237" s="1"/>
  <c r="A235" i="237" s="1"/>
  <c r="A236" i="237" s="1"/>
  <c r="A237" i="237" s="1"/>
  <c r="A238" i="237" s="1"/>
  <c r="A239" i="237" s="1"/>
  <c r="A240" i="237" s="1"/>
  <c r="A241" i="237" s="1"/>
  <c r="A242" i="237" s="1"/>
  <c r="A243" i="237" s="1"/>
  <c r="A244" i="237" s="1"/>
  <c r="A245" i="237" s="1"/>
  <c r="A246" i="237" s="1"/>
  <c r="A182" i="236"/>
  <c r="A183" i="236" s="1"/>
  <c r="A184" i="236" s="1"/>
  <c r="A185" i="236" s="1"/>
  <c r="A186" i="236" s="1"/>
  <c r="A187" i="236" s="1"/>
  <c r="A188" i="236" s="1"/>
  <c r="A189" i="236" s="1"/>
  <c r="A190" i="236" s="1"/>
  <c r="A191" i="236" s="1"/>
  <c r="A192" i="236" s="1"/>
  <c r="A193" i="236" s="1"/>
  <c r="A194" i="236" s="1"/>
  <c r="A195" i="236" s="1"/>
  <c r="A196" i="236" s="1"/>
  <c r="A197" i="236" s="1"/>
  <c r="A198" i="236" s="1"/>
  <c r="A199" i="236" s="1"/>
  <c r="A200" i="236" s="1"/>
  <c r="A201" i="236" s="1"/>
  <c r="A202" i="236" s="1"/>
  <c r="A203" i="236" s="1"/>
  <c r="A204" i="236" s="1"/>
  <c r="A205" i="236" s="1"/>
  <c r="A206" i="236" s="1"/>
  <c r="A207" i="236" s="1"/>
  <c r="A208" i="236" s="1"/>
  <c r="A209" i="236" s="1"/>
  <c r="A210" i="236" s="1"/>
  <c r="A211" i="236" s="1"/>
  <c r="A212" i="236" s="1"/>
  <c r="A213" i="236" s="1"/>
  <c r="A214" i="236" s="1"/>
  <c r="A215" i="236" s="1"/>
  <c r="A216" i="236" s="1"/>
  <c r="A217" i="236" s="1"/>
  <c r="A218" i="236" s="1"/>
  <c r="A219" i="236" s="1"/>
  <c r="A220" i="236" s="1"/>
  <c r="A221" i="236" s="1"/>
  <c r="A222" i="236" s="1"/>
  <c r="A223" i="236" s="1"/>
  <c r="A224" i="236" s="1"/>
  <c r="A225" i="236" s="1"/>
  <c r="A226" i="236" s="1"/>
  <c r="A227" i="236" s="1"/>
  <c r="A154" i="213"/>
  <c r="A155" i="213" s="1"/>
  <c r="A156" i="213" s="1"/>
  <c r="A157" i="213" s="1"/>
  <c r="A158" i="213" s="1"/>
  <c r="A159" i="213" s="1"/>
  <c r="A160" i="213" s="1"/>
  <c r="A161" i="213" s="1"/>
  <c r="A162" i="213" s="1"/>
  <c r="A163" i="213" s="1"/>
  <c r="A164" i="213" s="1"/>
  <c r="A165" i="213" s="1"/>
  <c r="A166" i="213" s="1"/>
  <c r="A167" i="213" s="1"/>
  <c r="A168" i="213" s="1"/>
  <c r="A169" i="213" s="1"/>
  <c r="A170" i="213" s="1"/>
  <c r="A171" i="213" s="1"/>
  <c r="A172" i="213" s="1"/>
  <c r="A173" i="213" s="1"/>
  <c r="A174" i="213" s="1"/>
  <c r="A175" i="213" s="1"/>
  <c r="A176" i="213" s="1"/>
  <c r="A177" i="213" s="1"/>
  <c r="A178" i="213" s="1"/>
  <c r="A179" i="213" s="1"/>
  <c r="A180" i="213" s="1"/>
  <c r="A181" i="213" s="1"/>
  <c r="A182" i="213" s="1"/>
  <c r="A183" i="213" s="1"/>
  <c r="A184" i="213" s="1"/>
  <c r="A185" i="213" s="1"/>
  <c r="A186" i="213" s="1"/>
  <c r="A187" i="213" s="1"/>
  <c r="A188" i="213" s="1"/>
  <c r="A189" i="213" s="1"/>
  <c r="A190" i="213" s="1"/>
  <c r="A191" i="213" s="1"/>
  <c r="A192" i="213" s="1"/>
  <c r="A193" i="213" s="1"/>
  <c r="A194" i="213" s="1"/>
  <c r="A195" i="213" s="1"/>
  <c r="A196" i="213" s="1"/>
  <c r="A197" i="213" s="1"/>
  <c r="A198" i="213" s="1"/>
  <c r="A199" i="213" s="1"/>
  <c r="A200" i="213" s="1"/>
  <c r="A201" i="213" s="1"/>
  <c r="A202" i="213" s="1"/>
  <c r="A203" i="213" s="1"/>
  <c r="A204" i="213" s="1"/>
  <c r="A205" i="213" s="1"/>
  <c r="A206" i="213" s="1"/>
  <c r="A207" i="213" s="1"/>
  <c r="A208" i="213" s="1"/>
  <c r="A209" i="213" s="1"/>
  <c r="A210" i="213" s="1"/>
  <c r="A211" i="213" s="1"/>
  <c r="A212" i="213" s="1"/>
  <c r="A213" i="213" s="1"/>
  <c r="A214" i="213" s="1"/>
  <c r="A215" i="213" s="1"/>
  <c r="A216" i="213" s="1"/>
  <c r="A217" i="213" s="1"/>
  <c r="A218" i="213" s="1"/>
  <c r="A219" i="213" s="1"/>
  <c r="A220" i="213" s="1"/>
  <c r="A221" i="213" s="1"/>
  <c r="A222" i="213" s="1"/>
  <c r="A223" i="213" s="1"/>
  <c r="A224" i="213" s="1"/>
  <c r="A225" i="213" s="1"/>
  <c r="A226" i="213" s="1"/>
  <c r="A227" i="213" s="1"/>
  <c r="A228" i="213" s="1"/>
  <c r="A229" i="213" s="1"/>
  <c r="A230" i="213" s="1"/>
  <c r="A150" i="207"/>
  <c r="A151" i="207" s="1"/>
  <c r="A152" i="207" s="1"/>
  <c r="A153" i="207" s="1"/>
  <c r="A154" i="207" s="1"/>
  <c r="A155" i="207" s="1"/>
  <c r="A156" i="207" s="1"/>
  <c r="A157" i="207" s="1"/>
  <c r="A158" i="207" s="1"/>
  <c r="A159" i="207" s="1"/>
  <c r="A160" i="207" s="1"/>
  <c r="A161" i="207" s="1"/>
  <c r="A162" i="207" s="1"/>
  <c r="A163" i="207" s="1"/>
  <c r="A164" i="207" s="1"/>
  <c r="A165" i="207" s="1"/>
  <c r="A166" i="207" s="1"/>
  <c r="A167" i="207" s="1"/>
  <c r="A168" i="207" s="1"/>
  <c r="A169" i="207" s="1"/>
  <c r="A170" i="207" s="1"/>
  <c r="A171" i="207" s="1"/>
  <c r="A172" i="207" s="1"/>
  <c r="A173" i="207" s="1"/>
  <c r="A174" i="207" s="1"/>
  <c r="A175" i="207" s="1"/>
  <c r="A176" i="207" s="1"/>
  <c r="A177" i="207" s="1"/>
  <c r="A178" i="207" s="1"/>
  <c r="A179" i="207" s="1"/>
  <c r="A180" i="207" s="1"/>
  <c r="C12" i="215"/>
  <c r="C12" i="30"/>
  <c r="H12" i="30" s="1"/>
  <c r="A228" i="236" l="1"/>
  <c r="A229" i="236" s="1"/>
  <c r="A230" i="236" s="1"/>
  <c r="A231" i="236" s="1"/>
  <c r="A232" i="236" s="1"/>
  <c r="A233" i="236" s="1"/>
  <c r="A234" i="236" s="1"/>
  <c r="A235" i="236" s="1"/>
  <c r="A236" i="236" s="1"/>
  <c r="A237" i="236" s="1"/>
  <c r="A238" i="236" s="1"/>
  <c r="A239" i="236" s="1"/>
  <c r="A240" i="236" s="1"/>
  <c r="A241" i="236" s="1"/>
  <c r="A242" i="236" s="1"/>
  <c r="A243" i="236" s="1"/>
  <c r="A244" i="236" s="1"/>
  <c r="A245" i="236" s="1"/>
  <c r="A246" i="236" s="1"/>
  <c r="A247" i="236" s="1"/>
  <c r="A248" i="236" s="1"/>
  <c r="A249" i="236" s="1"/>
  <c r="A250" i="236" s="1"/>
  <c r="A251" i="236" s="1"/>
  <c r="A252" i="236" s="1"/>
  <c r="A253" i="236" s="1"/>
  <c r="A254" i="236" s="1"/>
  <c r="A255" i="236" s="1"/>
  <c r="A256" i="236" s="1"/>
  <c r="A257" i="236" s="1"/>
  <c r="A258" i="236" s="1"/>
  <c r="A259" i="236" s="1"/>
  <c r="A260" i="236" s="1"/>
  <c r="A261" i="236" s="1"/>
  <c r="A231" i="213"/>
  <c r="A232" i="213" s="1"/>
  <c r="A233" i="213" s="1"/>
  <c r="A234" i="213" s="1"/>
  <c r="A235" i="213" s="1"/>
  <c r="A236" i="213" s="1"/>
  <c r="A237" i="213" s="1"/>
  <c r="A238" i="213" s="1"/>
  <c r="A239" i="213" s="1"/>
  <c r="A240" i="213" s="1"/>
  <c r="A241" i="213" s="1"/>
  <c r="A242" i="213" s="1"/>
  <c r="A243" i="213" s="1"/>
  <c r="A244" i="213" s="1"/>
  <c r="A245" i="213" s="1"/>
  <c r="A246" i="213" s="1"/>
  <c r="A247" i="213" s="1"/>
  <c r="A248" i="213" s="1"/>
  <c r="A249" i="213" s="1"/>
  <c r="A250" i="213" s="1"/>
  <c r="A251" i="213" s="1"/>
  <c r="A252" i="213" s="1"/>
  <c r="A253" i="213" s="1"/>
  <c r="A254" i="213" s="1"/>
  <c r="A255" i="213" s="1"/>
  <c r="A256" i="213" s="1"/>
  <c r="A257" i="213" s="1"/>
  <c r="A258" i="213" s="1"/>
  <c r="A259" i="213" s="1"/>
  <c r="A260" i="213" s="1"/>
  <c r="A261" i="213" s="1"/>
  <c r="A262" i="213" s="1"/>
  <c r="A263" i="213" s="1"/>
  <c r="A264" i="213" s="1"/>
  <c r="A265" i="213" s="1"/>
  <c r="A266" i="213" s="1"/>
  <c r="A267" i="213" s="1"/>
  <c r="A268" i="213" s="1"/>
  <c r="A269" i="213" s="1"/>
  <c r="A270" i="213" s="1"/>
  <c r="A247" i="237"/>
  <c r="A248" i="237" s="1"/>
  <c r="A249" i="237" s="1"/>
  <c r="A250" i="237" s="1"/>
  <c r="A251" i="237" s="1"/>
  <c r="A252" i="237" s="1"/>
  <c r="A253" i="237" s="1"/>
  <c r="A254" i="237" s="1"/>
  <c r="A255" i="237" s="1"/>
  <c r="A256" i="237" s="1"/>
  <c r="A257" i="237" s="1"/>
  <c r="A258" i="237" s="1"/>
  <c r="A259" i="237" s="1"/>
  <c r="A260" i="237" s="1"/>
  <c r="A261" i="237" s="1"/>
  <c r="A181" i="207"/>
  <c r="A182" i="207" s="1"/>
  <c r="A183" i="207" s="1"/>
  <c r="A184" i="207" s="1"/>
  <c r="A185" i="207" s="1"/>
  <c r="A186" i="207" s="1"/>
  <c r="A187" i="207" s="1"/>
  <c r="A188" i="207" s="1"/>
  <c r="A189" i="207" s="1"/>
  <c r="A190" i="207" s="1"/>
  <c r="A191" i="207" s="1"/>
  <c r="A192" i="207" s="1"/>
  <c r="A193" i="207" s="1"/>
  <c r="A194" i="207" s="1"/>
  <c r="A195" i="207" s="1"/>
  <c r="A196" i="207" s="1"/>
  <c r="A197" i="207" s="1"/>
  <c r="A198" i="207" s="1"/>
  <c r="A199" i="207" s="1"/>
  <c r="A200" i="207" s="1"/>
  <c r="A201" i="207" s="1"/>
  <c r="A202" i="207" s="1"/>
  <c r="A203" i="207" s="1"/>
  <c r="A204" i="207" s="1"/>
  <c r="A205" i="207" s="1"/>
  <c r="A206" i="207" s="1"/>
  <c r="A207" i="207" s="1"/>
  <c r="A208" i="207" s="1"/>
  <c r="A209" i="207" s="1"/>
  <c r="A210" i="207" s="1"/>
  <c r="A211" i="207" s="1"/>
  <c r="A212" i="207" s="1"/>
  <c r="A213" i="207" s="1"/>
  <c r="G207" i="236"/>
  <c r="L207" i="236" s="1"/>
  <c r="G211" i="236"/>
  <c r="L211" i="236" s="1"/>
  <c r="G204" i="236"/>
  <c r="L204" i="236" s="1"/>
  <c r="G208" i="236"/>
  <c r="L208" i="236" s="1"/>
  <c r="G210" i="236"/>
  <c r="L210" i="236" s="1"/>
  <c r="G215" i="236"/>
  <c r="L215" i="236" s="1"/>
  <c r="G200" i="236"/>
  <c r="L200" i="236" s="1"/>
  <c r="G205" i="236"/>
  <c r="L205" i="236" s="1"/>
  <c r="G209" i="236"/>
  <c r="L209" i="236" s="1"/>
  <c r="G221" i="236"/>
  <c r="G206" i="236"/>
  <c r="L206" i="236" s="1"/>
  <c r="G202" i="236"/>
  <c r="L202" i="236" s="1"/>
  <c r="H185" i="207"/>
  <c r="M185" i="207" s="1"/>
  <c r="G185" i="207"/>
  <c r="G187" i="207" s="1"/>
  <c r="G122" i="10"/>
  <c r="H122" i="10"/>
  <c r="G121" i="10"/>
  <c r="H121" i="10"/>
  <c r="G120" i="10"/>
  <c r="H120" i="10"/>
  <c r="G119" i="10"/>
  <c r="H119" i="10"/>
  <c r="R28" i="39"/>
  <c r="R36" i="39" s="1"/>
  <c r="Q28" i="39"/>
  <c r="O28" i="39"/>
  <c r="O36" i="39" s="1"/>
  <c r="R27" i="39"/>
  <c r="R35" i="39" s="1"/>
  <c r="Q27" i="39"/>
  <c r="Q35" i="39" s="1"/>
  <c r="O27" i="39"/>
  <c r="O35" i="39" s="1"/>
  <c r="M27" i="39"/>
  <c r="M35" i="39" s="1"/>
  <c r="R26" i="39"/>
  <c r="R34" i="39" s="1"/>
  <c r="O26" i="39"/>
  <c r="O34" i="39" s="1"/>
  <c r="M26" i="39"/>
  <c r="M34" i="39" s="1"/>
  <c r="R25" i="39"/>
  <c r="R33" i="39" s="1"/>
  <c r="Q25" i="39"/>
  <c r="M25" i="39"/>
  <c r="M33" i="39" s="1"/>
  <c r="C24" i="30"/>
  <c r="D53" i="50"/>
  <c r="H36" i="35"/>
  <c r="H30" i="35"/>
  <c r="H25" i="35"/>
  <c r="H18" i="35"/>
  <c r="H17" i="35"/>
  <c r="D38" i="79"/>
  <c r="F130" i="209"/>
  <c r="F131" i="209"/>
  <c r="F132" i="209"/>
  <c r="F133" i="209"/>
  <c r="F134" i="209"/>
  <c r="F135" i="209"/>
  <c r="F136" i="209"/>
  <c r="F137" i="209"/>
  <c r="F138" i="209"/>
  <c r="F139" i="209"/>
  <c r="F140" i="209"/>
  <c r="F141" i="209"/>
  <c r="F142" i="209"/>
  <c r="F143" i="209"/>
  <c r="F144" i="209"/>
  <c r="F145" i="209"/>
  <c r="F146" i="209"/>
  <c r="F147" i="209"/>
  <c r="F148" i="209"/>
  <c r="F149" i="209"/>
  <c r="F150" i="209"/>
  <c r="F127" i="213"/>
  <c r="F128" i="213"/>
  <c r="F129" i="213"/>
  <c r="F130" i="213"/>
  <c r="F131" i="213"/>
  <c r="F133" i="213"/>
  <c r="F132" i="213"/>
  <c r="F134" i="213"/>
  <c r="F135" i="213"/>
  <c r="F136" i="213"/>
  <c r="F137" i="213"/>
  <c r="F138" i="213"/>
  <c r="F139" i="213"/>
  <c r="F140" i="213"/>
  <c r="F141" i="213"/>
  <c r="F142" i="213"/>
  <c r="F143" i="213"/>
  <c r="F144" i="213"/>
  <c r="F145" i="213"/>
  <c r="F146" i="213"/>
  <c r="F147" i="213"/>
  <c r="F16" i="105"/>
  <c r="F18" i="105" s="1"/>
  <c r="C38" i="238"/>
  <c r="H38" i="238" s="1"/>
  <c r="C66" i="238"/>
  <c r="F66" i="238" s="1"/>
  <c r="C50" i="238"/>
  <c r="G50" i="238" s="1"/>
  <c r="C37" i="238"/>
  <c r="E37" i="238" s="1"/>
  <c r="D42" i="45"/>
  <c r="D73" i="51"/>
  <c r="D74" i="51"/>
  <c r="D75" i="51"/>
  <c r="D106" i="51"/>
  <c r="G252" i="213"/>
  <c r="L183" i="213"/>
  <c r="M183" i="213"/>
  <c r="H122" i="213"/>
  <c r="M122" i="213" s="1"/>
  <c r="M185" i="209"/>
  <c r="M124" i="209"/>
  <c r="E18" i="215"/>
  <c r="J18" i="215" s="1"/>
  <c r="J25" i="215" s="1"/>
  <c r="D19" i="215"/>
  <c r="I19" i="215" s="1"/>
  <c r="E19" i="215"/>
  <c r="J19" i="215" s="1"/>
  <c r="J26" i="215" s="1"/>
  <c r="D20" i="215"/>
  <c r="E20" i="215"/>
  <c r="J20" i="215" s="1"/>
  <c r="F22" i="244"/>
  <c r="K22" i="244" s="1"/>
  <c r="E19" i="244"/>
  <c r="J19" i="244" s="1"/>
  <c r="F19" i="244"/>
  <c r="K19" i="244" s="1"/>
  <c r="E16" i="244"/>
  <c r="J16" i="244" s="1"/>
  <c r="F16" i="244"/>
  <c r="K16" i="244" s="1"/>
  <c r="F38" i="232"/>
  <c r="E30" i="232"/>
  <c r="F30" i="232"/>
  <c r="K30" i="232" s="1"/>
  <c r="E22" i="232"/>
  <c r="F22" i="232"/>
  <c r="F24" i="232" s="1"/>
  <c r="K24" i="232" s="1"/>
  <c r="H133" i="207"/>
  <c r="M133" i="207" s="1"/>
  <c r="G251" i="236"/>
  <c r="L251" i="236" s="1"/>
  <c r="H257" i="236"/>
  <c r="H153" i="236"/>
  <c r="J18" i="30"/>
  <c r="D19" i="30"/>
  <c r="I19" i="30" s="1"/>
  <c r="J19" i="30"/>
  <c r="J26" i="30" s="1"/>
  <c r="D20" i="30"/>
  <c r="J20" i="30"/>
  <c r="J34" i="30" s="1"/>
  <c r="K22" i="243"/>
  <c r="J19" i="243"/>
  <c r="K19" i="243"/>
  <c r="J16" i="243"/>
  <c r="K16" i="243"/>
  <c r="F43" i="231"/>
  <c r="E32" i="231"/>
  <c r="K30" i="231"/>
  <c r="J22" i="231"/>
  <c r="F24" i="231"/>
  <c r="E18" i="106"/>
  <c r="E29" i="106" s="1"/>
  <c r="I14" i="106" s="1"/>
  <c r="E42" i="232"/>
  <c r="E44" i="232"/>
  <c r="J44" i="232" s="1"/>
  <c r="E40" i="232"/>
  <c r="J40" i="232" s="1"/>
  <c r="E15" i="232"/>
  <c r="F15" i="232"/>
  <c r="E17" i="232"/>
  <c r="J17" i="232" s="1"/>
  <c r="F17" i="232"/>
  <c r="K17" i="232" s="1"/>
  <c r="H16" i="104"/>
  <c r="J16" i="104" s="1"/>
  <c r="J18" i="247"/>
  <c r="G16" i="239"/>
  <c r="H16" i="239"/>
  <c r="G18" i="239"/>
  <c r="G20" i="239"/>
  <c r="G22" i="239"/>
  <c r="E41" i="231"/>
  <c r="E15" i="231"/>
  <c r="F15" i="231"/>
  <c r="E17" i="231"/>
  <c r="F17" i="231"/>
  <c r="E25" i="212"/>
  <c r="D65" i="238"/>
  <c r="E65" i="238"/>
  <c r="F65" i="238"/>
  <c r="G65" i="238"/>
  <c r="H65" i="238"/>
  <c r="I65" i="238"/>
  <c r="J65" i="238"/>
  <c r="K65" i="238"/>
  <c r="L65" i="238"/>
  <c r="M65" i="238"/>
  <c r="N65" i="238"/>
  <c r="A4" i="244"/>
  <c r="A4" i="243"/>
  <c r="A4" i="232"/>
  <c r="A4" i="237"/>
  <c r="A4" i="231"/>
  <c r="A4" i="69"/>
  <c r="A4" i="24"/>
  <c r="A4" i="215"/>
  <c r="A4" i="30"/>
  <c r="A4" i="31"/>
  <c r="A4" i="247"/>
  <c r="J2" i="9"/>
  <c r="J1" i="9"/>
  <c r="F122" i="237"/>
  <c r="F123" i="237"/>
  <c r="F128" i="237"/>
  <c r="F129" i="237"/>
  <c r="F130" i="237"/>
  <c r="F131" i="237"/>
  <c r="F132" i="237"/>
  <c r="F133" i="237"/>
  <c r="F134" i="237"/>
  <c r="F135" i="237"/>
  <c r="F136" i="237"/>
  <c r="F137" i="237"/>
  <c r="F138" i="237"/>
  <c r="F139" i="237"/>
  <c r="F140" i="237"/>
  <c r="F141" i="237"/>
  <c r="F142" i="237"/>
  <c r="F143" i="237"/>
  <c r="F144" i="237"/>
  <c r="F145" i="237"/>
  <c r="F146" i="237"/>
  <c r="F147" i="237"/>
  <c r="F148" i="237"/>
  <c r="F153" i="237"/>
  <c r="F154" i="237"/>
  <c r="F155" i="237"/>
  <c r="F156" i="237"/>
  <c r="F157" i="237"/>
  <c r="F158" i="237"/>
  <c r="F159" i="237"/>
  <c r="F166" i="237"/>
  <c r="F167" i="237"/>
  <c r="F168" i="237"/>
  <c r="F169" i="237"/>
  <c r="F170" i="237"/>
  <c r="F171" i="237"/>
  <c r="F172" i="237"/>
  <c r="F173" i="237"/>
  <c r="F86" i="237"/>
  <c r="G86" i="237"/>
  <c r="F87" i="237"/>
  <c r="G87" i="237"/>
  <c r="F88" i="237"/>
  <c r="G88" i="237"/>
  <c r="F89" i="237"/>
  <c r="G89" i="237"/>
  <c r="F90" i="237"/>
  <c r="G90" i="237"/>
  <c r="F96" i="237"/>
  <c r="G96" i="237"/>
  <c r="F97" i="237"/>
  <c r="G97" i="237"/>
  <c r="F98" i="237"/>
  <c r="G98" i="237"/>
  <c r="F99" i="237"/>
  <c r="G99" i="237"/>
  <c r="F100" i="237"/>
  <c r="G100" i="237"/>
  <c r="F101" i="237"/>
  <c r="G101" i="237"/>
  <c r="F102" i="237"/>
  <c r="G102" i="237"/>
  <c r="F103" i="237"/>
  <c r="G103" i="237"/>
  <c r="F104" i="237"/>
  <c r="G104" i="237"/>
  <c r="F105" i="237"/>
  <c r="G105" i="237"/>
  <c r="F106" i="237"/>
  <c r="G106" i="237"/>
  <c r="F107" i="237"/>
  <c r="G107" i="237"/>
  <c r="F108" i="237"/>
  <c r="G108" i="237"/>
  <c r="F109" i="237"/>
  <c r="G109" i="237"/>
  <c r="F110" i="237"/>
  <c r="G110" i="237"/>
  <c r="F62" i="237"/>
  <c r="G62" i="237"/>
  <c r="F63" i="237"/>
  <c r="G63" i="237"/>
  <c r="F64" i="237"/>
  <c r="G64" i="237"/>
  <c r="F65" i="237"/>
  <c r="G65" i="237"/>
  <c r="F66" i="237"/>
  <c r="G66" i="237"/>
  <c r="F67" i="237"/>
  <c r="G67" i="237"/>
  <c r="F68" i="237"/>
  <c r="G68" i="237"/>
  <c r="F69" i="237"/>
  <c r="G69" i="237"/>
  <c r="F70" i="237"/>
  <c r="G70" i="237"/>
  <c r="F71" i="237"/>
  <c r="G71" i="237"/>
  <c r="F72" i="237"/>
  <c r="G72" i="237"/>
  <c r="F73" i="237"/>
  <c r="G73" i="237"/>
  <c r="F74" i="237"/>
  <c r="G74" i="237"/>
  <c r="F75" i="237"/>
  <c r="G75" i="237"/>
  <c r="F76" i="237"/>
  <c r="G76" i="237"/>
  <c r="F77" i="237"/>
  <c r="G77" i="237"/>
  <c r="F78" i="237"/>
  <c r="G78" i="237"/>
  <c r="F79" i="237"/>
  <c r="G79" i="237"/>
  <c r="F80" i="237"/>
  <c r="G80" i="237"/>
  <c r="F81" i="237"/>
  <c r="G81" i="237"/>
  <c r="F50" i="237"/>
  <c r="G50" i="237"/>
  <c r="F51" i="237"/>
  <c r="G51" i="237"/>
  <c r="F52" i="237"/>
  <c r="G52" i="237"/>
  <c r="F53" i="237"/>
  <c r="G53" i="237"/>
  <c r="F54" i="237"/>
  <c r="G54" i="237"/>
  <c r="F55" i="237"/>
  <c r="G55" i="237"/>
  <c r="F56" i="237"/>
  <c r="G56" i="237"/>
  <c r="F57" i="237"/>
  <c r="G57" i="237"/>
  <c r="F29" i="237"/>
  <c r="G29" i="237"/>
  <c r="F30" i="237"/>
  <c r="G30" i="237"/>
  <c r="F31" i="237"/>
  <c r="G31" i="237"/>
  <c r="F32" i="237"/>
  <c r="G32" i="237"/>
  <c r="F33" i="237"/>
  <c r="G33" i="237"/>
  <c r="F34" i="237"/>
  <c r="G34" i="237"/>
  <c r="F35" i="237"/>
  <c r="G35" i="237"/>
  <c r="F36" i="237"/>
  <c r="G36" i="237"/>
  <c r="F37" i="237"/>
  <c r="G37" i="237"/>
  <c r="F38" i="237"/>
  <c r="G38" i="237"/>
  <c r="F39" i="237"/>
  <c r="G39" i="237"/>
  <c r="F40" i="237"/>
  <c r="G40" i="237"/>
  <c r="F41" i="237"/>
  <c r="G41" i="237"/>
  <c r="F42" i="237"/>
  <c r="G42" i="237"/>
  <c r="F43" i="237"/>
  <c r="G43" i="237"/>
  <c r="F44" i="237"/>
  <c r="G44" i="237"/>
  <c r="F45" i="237"/>
  <c r="G45" i="237"/>
  <c r="F22" i="237"/>
  <c r="G22" i="237"/>
  <c r="F23" i="237"/>
  <c r="G23" i="237"/>
  <c r="F24" i="237"/>
  <c r="G24" i="237"/>
  <c r="G16" i="237"/>
  <c r="F17" i="237"/>
  <c r="G17" i="237"/>
  <c r="G121" i="213"/>
  <c r="G122" i="213"/>
  <c r="G127" i="213"/>
  <c r="L127" i="213" s="1"/>
  <c r="G128" i="213"/>
  <c r="L128" i="213" s="1"/>
  <c r="G129" i="213"/>
  <c r="L129" i="213" s="1"/>
  <c r="G130" i="213"/>
  <c r="L130" i="213" s="1"/>
  <c r="G131" i="213"/>
  <c r="L131" i="213" s="1"/>
  <c r="G133" i="213"/>
  <c r="L133" i="213" s="1"/>
  <c r="G132" i="213"/>
  <c r="L132" i="213" s="1"/>
  <c r="G134" i="213"/>
  <c r="L134" i="213" s="1"/>
  <c r="G135" i="213"/>
  <c r="L135" i="213" s="1"/>
  <c r="G136" i="213"/>
  <c r="L136" i="213" s="1"/>
  <c r="G137" i="213"/>
  <c r="L137" i="213" s="1"/>
  <c r="G138" i="213"/>
  <c r="L138" i="213" s="1"/>
  <c r="G139" i="213"/>
  <c r="L139" i="213" s="1"/>
  <c r="G140" i="213"/>
  <c r="L140" i="213" s="1"/>
  <c r="G141" i="213"/>
  <c r="L141" i="213" s="1"/>
  <c r="G142" i="213"/>
  <c r="L142" i="213" s="1"/>
  <c r="G143" i="213"/>
  <c r="L143" i="213" s="1"/>
  <c r="G144" i="213"/>
  <c r="L144" i="213" s="1"/>
  <c r="G145" i="213"/>
  <c r="L145" i="213" s="1"/>
  <c r="G146" i="213"/>
  <c r="L146" i="213" s="1"/>
  <c r="G147" i="213"/>
  <c r="L147" i="213" s="1"/>
  <c r="G152" i="213"/>
  <c r="G153" i="213"/>
  <c r="G154" i="213"/>
  <c r="G155" i="213"/>
  <c r="G167" i="213"/>
  <c r="L167" i="213" s="1"/>
  <c r="G168" i="213"/>
  <c r="G169" i="213"/>
  <c r="G170" i="213"/>
  <c r="G171" i="213"/>
  <c r="G172" i="213"/>
  <c r="L16" i="213"/>
  <c r="M16" i="213"/>
  <c r="L17" i="213"/>
  <c r="M17" i="213"/>
  <c r="L22" i="213"/>
  <c r="M22" i="213"/>
  <c r="L23" i="213"/>
  <c r="M23" i="213"/>
  <c r="L24" i="213"/>
  <c r="M24" i="213"/>
  <c r="L29" i="213"/>
  <c r="M29" i="213"/>
  <c r="L30" i="213"/>
  <c r="M30" i="213"/>
  <c r="L31" i="213"/>
  <c r="M31" i="213"/>
  <c r="L32" i="213"/>
  <c r="M32" i="213"/>
  <c r="L33" i="213"/>
  <c r="M33" i="213"/>
  <c r="L34" i="213"/>
  <c r="M34" i="213"/>
  <c r="L35" i="213"/>
  <c r="M35" i="213"/>
  <c r="L36" i="213"/>
  <c r="M36" i="213"/>
  <c r="L37" i="213"/>
  <c r="M37" i="213"/>
  <c r="L38" i="213"/>
  <c r="M38" i="213"/>
  <c r="L39" i="213"/>
  <c r="M39" i="213"/>
  <c r="L40" i="213"/>
  <c r="M40" i="213"/>
  <c r="L41" i="213"/>
  <c r="M41" i="213"/>
  <c r="L42" i="213"/>
  <c r="M42" i="213"/>
  <c r="L43" i="213"/>
  <c r="M43" i="213"/>
  <c r="L44" i="213"/>
  <c r="M44" i="213"/>
  <c r="L45" i="213"/>
  <c r="M45" i="213"/>
  <c r="L50" i="213"/>
  <c r="M50" i="213"/>
  <c r="L51" i="213"/>
  <c r="M51" i="213"/>
  <c r="L52" i="213"/>
  <c r="M52" i="213"/>
  <c r="L53" i="213"/>
  <c r="M53" i="213"/>
  <c r="L54" i="213"/>
  <c r="M54" i="213"/>
  <c r="L55" i="213"/>
  <c r="M55" i="213"/>
  <c r="L56" i="213"/>
  <c r="M56" i="213"/>
  <c r="L57" i="213"/>
  <c r="M57" i="213"/>
  <c r="L62" i="213"/>
  <c r="M62" i="213"/>
  <c r="L63" i="213"/>
  <c r="M63" i="213"/>
  <c r="L64" i="213"/>
  <c r="M64" i="213"/>
  <c r="L65" i="213"/>
  <c r="M65" i="213"/>
  <c r="L66" i="213"/>
  <c r="M66" i="213"/>
  <c r="L67" i="213"/>
  <c r="M67" i="213"/>
  <c r="L68" i="213"/>
  <c r="M68" i="213"/>
  <c r="L69" i="213"/>
  <c r="M69" i="213"/>
  <c r="L70" i="213"/>
  <c r="M70" i="213"/>
  <c r="L71" i="213"/>
  <c r="M71" i="213"/>
  <c r="L72" i="213"/>
  <c r="M72" i="213"/>
  <c r="L73" i="213"/>
  <c r="M73" i="213"/>
  <c r="L74" i="213"/>
  <c r="M74" i="213"/>
  <c r="L75" i="213"/>
  <c r="M75" i="213"/>
  <c r="L76" i="213"/>
  <c r="M76" i="213"/>
  <c r="L77" i="213"/>
  <c r="M77" i="213"/>
  <c r="L78" i="213"/>
  <c r="M78" i="213"/>
  <c r="L79" i="213"/>
  <c r="M79" i="213"/>
  <c r="L80" i="213"/>
  <c r="M80" i="213"/>
  <c r="L81" i="213"/>
  <c r="M81" i="213"/>
  <c r="L86" i="213"/>
  <c r="M86" i="213"/>
  <c r="L87" i="213"/>
  <c r="M87" i="213"/>
  <c r="L88" i="213"/>
  <c r="M88" i="213"/>
  <c r="L89" i="213"/>
  <c r="M89" i="213"/>
  <c r="L90" i="213"/>
  <c r="M90" i="213"/>
  <c r="L91" i="213"/>
  <c r="M91" i="213"/>
  <c r="L92" i="213"/>
  <c r="M92" i="213"/>
  <c r="L110" i="213"/>
  <c r="M110" i="213"/>
  <c r="G178" i="213"/>
  <c r="L178" i="213" s="1"/>
  <c r="L116" i="213"/>
  <c r="M116" i="213"/>
  <c r="G124" i="209"/>
  <c r="L124" i="209" s="1"/>
  <c r="G125" i="209"/>
  <c r="G130" i="209"/>
  <c r="G131" i="209"/>
  <c r="L131" i="209" s="1"/>
  <c r="G132" i="209"/>
  <c r="L132" i="209" s="1"/>
  <c r="G133" i="209"/>
  <c r="L133" i="209" s="1"/>
  <c r="G134" i="209"/>
  <c r="L134" i="209" s="1"/>
  <c r="G135" i="209"/>
  <c r="G136" i="209"/>
  <c r="L136" i="209" s="1"/>
  <c r="G137" i="209"/>
  <c r="L137" i="209" s="1"/>
  <c r="G138" i="209"/>
  <c r="L138" i="209" s="1"/>
  <c r="G139" i="209"/>
  <c r="L139" i="209" s="1"/>
  <c r="G140" i="209"/>
  <c r="L140" i="209" s="1"/>
  <c r="G141" i="209"/>
  <c r="L141" i="209" s="1"/>
  <c r="G142" i="209"/>
  <c r="L142" i="209" s="1"/>
  <c r="G143" i="209"/>
  <c r="L143" i="209" s="1"/>
  <c r="G144" i="209"/>
  <c r="L144" i="209" s="1"/>
  <c r="G145" i="209"/>
  <c r="L145" i="209" s="1"/>
  <c r="G146" i="209"/>
  <c r="L146" i="209" s="1"/>
  <c r="G147" i="209"/>
  <c r="L147" i="209" s="1"/>
  <c r="G148" i="209"/>
  <c r="L148" i="209" s="1"/>
  <c r="G149" i="209"/>
  <c r="L149" i="209" s="1"/>
  <c r="G150" i="209"/>
  <c r="L150" i="209" s="1"/>
  <c r="G155" i="209"/>
  <c r="L155" i="209" s="1"/>
  <c r="G156" i="209"/>
  <c r="L156" i="209" s="1"/>
  <c r="G157" i="209"/>
  <c r="L157" i="209" s="1"/>
  <c r="G158" i="209"/>
  <c r="L158" i="209" s="1"/>
  <c r="G159" i="209"/>
  <c r="L159" i="209" s="1"/>
  <c r="G166" i="209"/>
  <c r="L166" i="209" s="1"/>
  <c r="G167" i="209"/>
  <c r="L167" i="209" s="1"/>
  <c r="G168" i="209"/>
  <c r="L168" i="209" s="1"/>
  <c r="G169" i="209"/>
  <c r="L169" i="209" s="1"/>
  <c r="G170" i="209"/>
  <c r="L170" i="209" s="1"/>
  <c r="G171" i="209"/>
  <c r="L171" i="209" s="1"/>
  <c r="G172" i="209"/>
  <c r="L172" i="209" s="1"/>
  <c r="G173" i="209"/>
  <c r="L173" i="209" s="1"/>
  <c r="G174" i="209"/>
  <c r="L174" i="209" s="1"/>
  <c r="G175" i="209"/>
  <c r="L175" i="209" s="1"/>
  <c r="G176" i="209"/>
  <c r="L176" i="209" s="1"/>
  <c r="L86" i="209"/>
  <c r="M86" i="209"/>
  <c r="L87" i="209"/>
  <c r="M87" i="209"/>
  <c r="L88" i="209"/>
  <c r="M88" i="209"/>
  <c r="L89" i="209"/>
  <c r="M89" i="209"/>
  <c r="L90" i="209"/>
  <c r="M90" i="209"/>
  <c r="L91" i="209"/>
  <c r="M91" i="209"/>
  <c r="L92" i="209"/>
  <c r="M92" i="209"/>
  <c r="L100" i="209"/>
  <c r="M100" i="209"/>
  <c r="L101" i="209"/>
  <c r="M101" i="209"/>
  <c r="L102" i="209"/>
  <c r="M102" i="209"/>
  <c r="L103" i="209"/>
  <c r="M103" i="209"/>
  <c r="L104" i="209"/>
  <c r="M104" i="209"/>
  <c r="L105" i="209"/>
  <c r="M105" i="209"/>
  <c r="L106" i="209"/>
  <c r="M106" i="209"/>
  <c r="L107" i="209"/>
  <c r="M107" i="209"/>
  <c r="L108" i="209"/>
  <c r="M108" i="209"/>
  <c r="L109" i="209"/>
  <c r="M109" i="209"/>
  <c r="L110" i="209"/>
  <c r="M110" i="209"/>
  <c r="L111" i="209"/>
  <c r="M111" i="209"/>
  <c r="L62" i="209"/>
  <c r="M62" i="209"/>
  <c r="L63" i="209"/>
  <c r="M63" i="209"/>
  <c r="L64" i="209"/>
  <c r="M64" i="209"/>
  <c r="L65" i="209"/>
  <c r="M65" i="209"/>
  <c r="L66" i="209"/>
  <c r="M66" i="209"/>
  <c r="L67" i="209"/>
  <c r="M67" i="209"/>
  <c r="L68" i="209"/>
  <c r="M68" i="209"/>
  <c r="L69" i="209"/>
  <c r="M69" i="209"/>
  <c r="L70" i="209"/>
  <c r="M70" i="209"/>
  <c r="L71" i="209"/>
  <c r="M71" i="209"/>
  <c r="L72" i="209"/>
  <c r="M72" i="209"/>
  <c r="L73" i="209"/>
  <c r="M73" i="209"/>
  <c r="L74" i="209"/>
  <c r="M74" i="209"/>
  <c r="L75" i="209"/>
  <c r="M75" i="209"/>
  <c r="L76" i="209"/>
  <c r="M76" i="209"/>
  <c r="L77" i="209"/>
  <c r="M77" i="209"/>
  <c r="L78" i="209"/>
  <c r="M78" i="209"/>
  <c r="L79" i="209"/>
  <c r="M79" i="209"/>
  <c r="L80" i="209"/>
  <c r="M80" i="209"/>
  <c r="L81" i="209"/>
  <c r="M81" i="209"/>
  <c r="L50" i="209"/>
  <c r="M50" i="209"/>
  <c r="L51" i="209"/>
  <c r="M51" i="209"/>
  <c r="L52" i="209"/>
  <c r="M52" i="209"/>
  <c r="L53" i="209"/>
  <c r="M53" i="209"/>
  <c r="L54" i="209"/>
  <c r="M54" i="209"/>
  <c r="L55" i="209"/>
  <c r="M55" i="209"/>
  <c r="L56" i="209"/>
  <c r="M56" i="209"/>
  <c r="L57" i="209"/>
  <c r="M57" i="209"/>
  <c r="L29" i="209"/>
  <c r="M29" i="209"/>
  <c r="L30" i="209"/>
  <c r="M30" i="209"/>
  <c r="L31" i="209"/>
  <c r="M31" i="209"/>
  <c r="L32" i="209"/>
  <c r="M32" i="209"/>
  <c r="L33" i="209"/>
  <c r="M33" i="209"/>
  <c r="L34" i="209"/>
  <c r="M34" i="209"/>
  <c r="L35" i="209"/>
  <c r="M35" i="209"/>
  <c r="L36" i="209"/>
  <c r="M36" i="209"/>
  <c r="L37" i="209"/>
  <c r="M37" i="209"/>
  <c r="L38" i="209"/>
  <c r="M38" i="209"/>
  <c r="L39" i="209"/>
  <c r="M39" i="209"/>
  <c r="L40" i="209"/>
  <c r="M40" i="209"/>
  <c r="L41" i="209"/>
  <c r="M41" i="209"/>
  <c r="L42" i="209"/>
  <c r="M42" i="209"/>
  <c r="L43" i="209"/>
  <c r="M43" i="209"/>
  <c r="L44" i="209"/>
  <c r="M44" i="209"/>
  <c r="L45" i="209"/>
  <c r="M45" i="209"/>
  <c r="L22" i="209"/>
  <c r="M22" i="209"/>
  <c r="L23" i="209"/>
  <c r="M23" i="209"/>
  <c r="L24" i="209"/>
  <c r="M24" i="209"/>
  <c r="L16" i="209"/>
  <c r="M16" i="209"/>
  <c r="L17" i="209"/>
  <c r="M17" i="209"/>
  <c r="D20" i="216"/>
  <c r="E20" i="216"/>
  <c r="F20" i="216"/>
  <c r="G20" i="216"/>
  <c r="H20" i="216"/>
  <c r="I20" i="216"/>
  <c r="J20" i="216"/>
  <c r="K20" i="216"/>
  <c r="L20" i="216"/>
  <c r="M20" i="216"/>
  <c r="N20" i="216"/>
  <c r="O20" i="216"/>
  <c r="C18" i="215" s="1"/>
  <c r="I18" i="215"/>
  <c r="I32" i="215"/>
  <c r="D25" i="216"/>
  <c r="E25" i="216"/>
  <c r="F25" i="216"/>
  <c r="G25" i="216"/>
  <c r="H25" i="216"/>
  <c r="I25" i="216"/>
  <c r="J25" i="216"/>
  <c r="K25" i="216"/>
  <c r="L25" i="216"/>
  <c r="M25" i="216"/>
  <c r="N25" i="216"/>
  <c r="O25" i="216"/>
  <c r="C19" i="215" s="1"/>
  <c r="H20" i="215"/>
  <c r="D15" i="216"/>
  <c r="E15" i="216"/>
  <c r="F15" i="216"/>
  <c r="G15" i="216"/>
  <c r="H15" i="216"/>
  <c r="I15" i="216"/>
  <c r="J15" i="216"/>
  <c r="K15" i="216"/>
  <c r="L15" i="216"/>
  <c r="M15" i="216"/>
  <c r="N15" i="216"/>
  <c r="O15" i="216"/>
  <c r="C17" i="215" s="1"/>
  <c r="F17" i="215" s="1"/>
  <c r="I17" i="215"/>
  <c r="I24" i="215" s="1"/>
  <c r="J17" i="215"/>
  <c r="J24" i="215" s="1"/>
  <c r="P36" i="216"/>
  <c r="H25" i="215" s="1"/>
  <c r="P38" i="216"/>
  <c r="H26" i="215" s="1"/>
  <c r="P40" i="216"/>
  <c r="H27" i="215" s="1"/>
  <c r="J31" i="215"/>
  <c r="C33" i="215"/>
  <c r="C34" i="215"/>
  <c r="D22" i="244"/>
  <c r="I19" i="244"/>
  <c r="I16" i="244"/>
  <c r="I13" i="244"/>
  <c r="J13" i="244"/>
  <c r="F13" i="244"/>
  <c r="K13" i="244" s="1"/>
  <c r="J38" i="232"/>
  <c r="J42" i="232"/>
  <c r="J13" i="232"/>
  <c r="K13" i="232"/>
  <c r="J15" i="232"/>
  <c r="K15" i="232"/>
  <c r="G121" i="207"/>
  <c r="G122" i="207"/>
  <c r="G127" i="207"/>
  <c r="L127" i="207" s="1"/>
  <c r="G128" i="207"/>
  <c r="L128" i="207" s="1"/>
  <c r="G129" i="207"/>
  <c r="L129" i="207" s="1"/>
  <c r="G130" i="207"/>
  <c r="L130" i="207" s="1"/>
  <c r="G131" i="207"/>
  <c r="L131" i="207" s="1"/>
  <c r="G133" i="207"/>
  <c r="L133" i="207" s="1"/>
  <c r="G132" i="207"/>
  <c r="L132" i="207" s="1"/>
  <c r="G134" i="207"/>
  <c r="L134" i="207" s="1"/>
  <c r="G135" i="207"/>
  <c r="L135" i="207" s="1"/>
  <c r="G136" i="207"/>
  <c r="L136" i="207" s="1"/>
  <c r="G137" i="207"/>
  <c r="L137" i="207" s="1"/>
  <c r="G138" i="207"/>
  <c r="L138" i="207" s="1"/>
  <c r="G139" i="207"/>
  <c r="L139" i="207" s="1"/>
  <c r="G140" i="207"/>
  <c r="L140" i="207" s="1"/>
  <c r="G141" i="207"/>
  <c r="L141" i="207" s="1"/>
  <c r="G142" i="207"/>
  <c r="L142" i="207" s="1"/>
  <c r="G143" i="207"/>
  <c r="L143" i="207" s="1"/>
  <c r="G144" i="207"/>
  <c r="L144" i="207" s="1"/>
  <c r="G145" i="207"/>
  <c r="L145" i="207" s="1"/>
  <c r="G146" i="207"/>
  <c r="L146" i="207" s="1"/>
  <c r="G147" i="207"/>
  <c r="L147" i="207" s="1"/>
  <c r="G152" i="207"/>
  <c r="G153" i="207"/>
  <c r="G154" i="207"/>
  <c r="G155" i="207"/>
  <c r="L16" i="207"/>
  <c r="M16" i="207"/>
  <c r="L17" i="207"/>
  <c r="M17" i="207"/>
  <c r="L22" i="207"/>
  <c r="M22" i="207"/>
  <c r="L23" i="207"/>
  <c r="M23" i="207"/>
  <c r="L24" i="207"/>
  <c r="M24" i="207"/>
  <c r="L29" i="207"/>
  <c r="M29" i="207"/>
  <c r="L30" i="207"/>
  <c r="M30" i="207"/>
  <c r="L31" i="207"/>
  <c r="M31" i="207"/>
  <c r="L32" i="207"/>
  <c r="M32" i="207"/>
  <c r="L33" i="207"/>
  <c r="M33" i="207"/>
  <c r="L34" i="207"/>
  <c r="M34" i="207"/>
  <c r="L35" i="207"/>
  <c r="M35" i="207"/>
  <c r="L36" i="207"/>
  <c r="M36" i="207"/>
  <c r="L37" i="207"/>
  <c r="M37" i="207"/>
  <c r="L38" i="207"/>
  <c r="M38" i="207"/>
  <c r="L39" i="207"/>
  <c r="M39" i="207"/>
  <c r="L40" i="207"/>
  <c r="M40" i="207"/>
  <c r="L41" i="207"/>
  <c r="M41" i="207"/>
  <c r="L42" i="207"/>
  <c r="M42" i="207"/>
  <c r="L43" i="207"/>
  <c r="M43" i="207"/>
  <c r="L44" i="207"/>
  <c r="M44" i="207"/>
  <c r="L45" i="207"/>
  <c r="M45" i="207"/>
  <c r="L50" i="207"/>
  <c r="M50" i="207"/>
  <c r="L51" i="207"/>
  <c r="M51" i="207"/>
  <c r="L52" i="207"/>
  <c r="M52" i="207"/>
  <c r="L53" i="207"/>
  <c r="M53" i="207"/>
  <c r="L54" i="207"/>
  <c r="M54" i="207"/>
  <c r="L55" i="207"/>
  <c r="M55" i="207"/>
  <c r="L56" i="207"/>
  <c r="M56" i="207"/>
  <c r="L57" i="207"/>
  <c r="M57" i="207"/>
  <c r="L62" i="207"/>
  <c r="M62" i="207"/>
  <c r="L63" i="207"/>
  <c r="M63" i="207"/>
  <c r="L64" i="207"/>
  <c r="M64" i="207"/>
  <c r="L65" i="207"/>
  <c r="M65" i="207"/>
  <c r="L66" i="207"/>
  <c r="M66" i="207"/>
  <c r="L67" i="207"/>
  <c r="M67" i="207"/>
  <c r="L68" i="207"/>
  <c r="M68" i="207"/>
  <c r="L69" i="207"/>
  <c r="M69" i="207"/>
  <c r="L70" i="207"/>
  <c r="M70" i="207"/>
  <c r="L71" i="207"/>
  <c r="M71" i="207"/>
  <c r="L72" i="207"/>
  <c r="M72" i="207"/>
  <c r="L73" i="207"/>
  <c r="M73" i="207"/>
  <c r="L74" i="207"/>
  <c r="M74" i="207"/>
  <c r="L75" i="207"/>
  <c r="M75" i="207"/>
  <c r="L76" i="207"/>
  <c r="M76" i="207"/>
  <c r="L77" i="207"/>
  <c r="M77" i="207"/>
  <c r="L78" i="207"/>
  <c r="M78" i="207"/>
  <c r="L79" i="207"/>
  <c r="M79" i="207"/>
  <c r="L80" i="207"/>
  <c r="M80" i="207"/>
  <c r="L81" i="207"/>
  <c r="M81" i="207"/>
  <c r="L86" i="207"/>
  <c r="M86" i="207"/>
  <c r="L87" i="207"/>
  <c r="M87" i="207"/>
  <c r="L88" i="207"/>
  <c r="M88" i="207"/>
  <c r="L89" i="207"/>
  <c r="M89" i="207"/>
  <c r="L90" i="207"/>
  <c r="M90" i="207"/>
  <c r="L91" i="207"/>
  <c r="M91" i="207"/>
  <c r="G178" i="207"/>
  <c r="L178" i="207" s="1"/>
  <c r="L116" i="207"/>
  <c r="M116" i="207"/>
  <c r="G122" i="236"/>
  <c r="L122" i="236" s="1"/>
  <c r="G123" i="236"/>
  <c r="L123" i="236" s="1"/>
  <c r="G128" i="236"/>
  <c r="L128" i="236" s="1"/>
  <c r="G129" i="236"/>
  <c r="L129" i="236" s="1"/>
  <c r="G130" i="236"/>
  <c r="L130" i="236" s="1"/>
  <c r="G131" i="236"/>
  <c r="L131" i="236" s="1"/>
  <c r="G132" i="236"/>
  <c r="L132" i="236" s="1"/>
  <c r="G133" i="236"/>
  <c r="L133" i="236" s="1"/>
  <c r="G134" i="236"/>
  <c r="L134" i="236" s="1"/>
  <c r="G135" i="236"/>
  <c r="L135" i="236" s="1"/>
  <c r="G136" i="236"/>
  <c r="L136" i="236" s="1"/>
  <c r="G137" i="236"/>
  <c r="L137" i="236" s="1"/>
  <c r="G138" i="236"/>
  <c r="L138" i="236" s="1"/>
  <c r="G139" i="236"/>
  <c r="L139" i="236" s="1"/>
  <c r="G140" i="236"/>
  <c r="L140" i="236" s="1"/>
  <c r="G141" i="236"/>
  <c r="L141" i="236" s="1"/>
  <c r="G142" i="236"/>
  <c r="L142" i="236" s="1"/>
  <c r="G143" i="236"/>
  <c r="L143" i="236" s="1"/>
  <c r="G144" i="236"/>
  <c r="L144" i="236" s="1"/>
  <c r="G145" i="236"/>
  <c r="L145" i="236" s="1"/>
  <c r="G146" i="236"/>
  <c r="L146" i="236" s="1"/>
  <c r="G147" i="236"/>
  <c r="L147" i="236" s="1"/>
  <c r="G148" i="236"/>
  <c r="L148" i="236" s="1"/>
  <c r="G153" i="236"/>
  <c r="L153" i="236" s="1"/>
  <c r="G154" i="236"/>
  <c r="L154" i="236" s="1"/>
  <c r="G155" i="236"/>
  <c r="L155" i="236" s="1"/>
  <c r="G161" i="236"/>
  <c r="G162" i="236"/>
  <c r="G163" i="236"/>
  <c r="L163" i="236" s="1"/>
  <c r="G164" i="236"/>
  <c r="L164" i="236" s="1"/>
  <c r="G165" i="236"/>
  <c r="L165" i="236" s="1"/>
  <c r="G166" i="236"/>
  <c r="L166" i="236" s="1"/>
  <c r="G167" i="236"/>
  <c r="L167" i="236" s="1"/>
  <c r="G168" i="236"/>
  <c r="L168" i="236" s="1"/>
  <c r="G169" i="236"/>
  <c r="L169" i="236" s="1"/>
  <c r="G170" i="236"/>
  <c r="L170" i="236" s="1"/>
  <c r="G171" i="236"/>
  <c r="L171" i="236" s="1"/>
  <c r="G172" i="236"/>
  <c r="L172" i="236" s="1"/>
  <c r="G173" i="236"/>
  <c r="L173" i="236" s="1"/>
  <c r="G174" i="236"/>
  <c r="L174" i="236" s="1"/>
  <c r="L86" i="236"/>
  <c r="M86" i="236"/>
  <c r="L87" i="236"/>
  <c r="M87" i="236"/>
  <c r="L88" i="236"/>
  <c r="M88" i="236"/>
  <c r="L89" i="236"/>
  <c r="M89" i="236"/>
  <c r="L90" i="236"/>
  <c r="M90" i="236"/>
  <c r="L91" i="236"/>
  <c r="M91" i="236"/>
  <c r="L92" i="236"/>
  <c r="M92" i="236"/>
  <c r="L93" i="236"/>
  <c r="M93" i="236"/>
  <c r="L94" i="236"/>
  <c r="M94" i="236"/>
  <c r="L95" i="236"/>
  <c r="M95" i="236"/>
  <c r="L96" i="236"/>
  <c r="M96" i="236"/>
  <c r="L97" i="236"/>
  <c r="M97" i="236"/>
  <c r="L98" i="236"/>
  <c r="M98" i="236"/>
  <c r="L99" i="236"/>
  <c r="M99" i="236"/>
  <c r="L100" i="236"/>
  <c r="M100" i="236"/>
  <c r="L101" i="236"/>
  <c r="M101" i="236"/>
  <c r="L102" i="236"/>
  <c r="M102" i="236"/>
  <c r="L109" i="236"/>
  <c r="M109" i="236"/>
  <c r="L110" i="236"/>
  <c r="M110" i="236"/>
  <c r="L111" i="236"/>
  <c r="M111" i="236"/>
  <c r="L62" i="236"/>
  <c r="M62" i="236"/>
  <c r="L63" i="236"/>
  <c r="M63" i="236"/>
  <c r="L64" i="236"/>
  <c r="M64" i="236"/>
  <c r="L65" i="236"/>
  <c r="M65" i="236"/>
  <c r="L66" i="236"/>
  <c r="M66" i="236"/>
  <c r="L67" i="236"/>
  <c r="M67" i="236"/>
  <c r="L68" i="236"/>
  <c r="M68" i="236"/>
  <c r="L69" i="236"/>
  <c r="M69" i="236"/>
  <c r="L70" i="236"/>
  <c r="M70" i="236"/>
  <c r="L71" i="236"/>
  <c r="M71" i="236"/>
  <c r="L72" i="236"/>
  <c r="M72" i="236"/>
  <c r="L73" i="236"/>
  <c r="M73" i="236"/>
  <c r="L74" i="236"/>
  <c r="M74" i="236"/>
  <c r="L75" i="236"/>
  <c r="M75" i="236"/>
  <c r="L76" i="236"/>
  <c r="M76" i="236"/>
  <c r="L77" i="236"/>
  <c r="M77" i="236"/>
  <c r="L78" i="236"/>
  <c r="M78" i="236"/>
  <c r="L79" i="236"/>
  <c r="M79" i="236"/>
  <c r="L80" i="236"/>
  <c r="M80" i="236"/>
  <c r="L81" i="236"/>
  <c r="M81" i="236"/>
  <c r="L50" i="236"/>
  <c r="M50" i="236"/>
  <c r="L51" i="236"/>
  <c r="M51" i="236"/>
  <c r="L52" i="236"/>
  <c r="M52" i="236"/>
  <c r="L53" i="236"/>
  <c r="M53" i="236"/>
  <c r="L54" i="236"/>
  <c r="M54" i="236"/>
  <c r="L55" i="236"/>
  <c r="M55" i="236"/>
  <c r="L56" i="236"/>
  <c r="M56" i="236"/>
  <c r="L57" i="236"/>
  <c r="M57" i="236"/>
  <c r="L29" i="236"/>
  <c r="M29" i="236"/>
  <c r="L30" i="236"/>
  <c r="M30" i="236"/>
  <c r="L31" i="236"/>
  <c r="M31" i="236"/>
  <c r="L32" i="236"/>
  <c r="M32" i="236"/>
  <c r="L33" i="236"/>
  <c r="M33" i="236"/>
  <c r="L34" i="236"/>
  <c r="M34" i="236"/>
  <c r="L35" i="236"/>
  <c r="M35" i="236"/>
  <c r="L36" i="236"/>
  <c r="M36" i="236"/>
  <c r="L37" i="236"/>
  <c r="M37" i="236"/>
  <c r="L38" i="236"/>
  <c r="M38" i="236"/>
  <c r="L39" i="236"/>
  <c r="M39" i="236"/>
  <c r="L40" i="236"/>
  <c r="M40" i="236"/>
  <c r="L41" i="236"/>
  <c r="M41" i="236"/>
  <c r="L42" i="236"/>
  <c r="M42" i="236"/>
  <c r="L43" i="236"/>
  <c r="M43" i="236"/>
  <c r="L44" i="236"/>
  <c r="M44" i="236"/>
  <c r="L45" i="236"/>
  <c r="M45" i="236"/>
  <c r="L22" i="236"/>
  <c r="M22" i="236"/>
  <c r="L23" i="236"/>
  <c r="M23" i="236"/>
  <c r="L24" i="236"/>
  <c r="M24" i="236"/>
  <c r="L16" i="236"/>
  <c r="M16" i="236"/>
  <c r="L17" i="236"/>
  <c r="M17" i="236"/>
  <c r="C31" i="30"/>
  <c r="I17" i="30"/>
  <c r="I31" i="30" s="1"/>
  <c r="J17" i="30"/>
  <c r="J31" i="30" s="1"/>
  <c r="C32" i="30"/>
  <c r="I18" i="30"/>
  <c r="I25" i="30" s="1"/>
  <c r="C33" i="30"/>
  <c r="C34" i="30"/>
  <c r="P36" i="214"/>
  <c r="H25" i="30" s="1"/>
  <c r="P38" i="214"/>
  <c r="H26" i="30" s="1"/>
  <c r="P40" i="214"/>
  <c r="H27" i="30" s="1"/>
  <c r="C20" i="214"/>
  <c r="D20" i="214"/>
  <c r="E20" i="214"/>
  <c r="F20" i="214"/>
  <c r="G20" i="214"/>
  <c r="H20" i="214"/>
  <c r="I20" i="214"/>
  <c r="J20" i="214"/>
  <c r="K20" i="214"/>
  <c r="L20" i="214"/>
  <c r="M20" i="214"/>
  <c r="N20" i="214"/>
  <c r="O20" i="214"/>
  <c r="C18" i="30" s="1"/>
  <c r="C25" i="214"/>
  <c r="D25" i="214"/>
  <c r="E25" i="214"/>
  <c r="F25" i="214"/>
  <c r="G25" i="214"/>
  <c r="H25" i="214"/>
  <c r="I25" i="214"/>
  <c r="J25" i="214"/>
  <c r="K25" i="214"/>
  <c r="L25" i="214"/>
  <c r="M25" i="214"/>
  <c r="N25" i="214"/>
  <c r="O25" i="214"/>
  <c r="C19" i="30" s="1"/>
  <c r="C30" i="214"/>
  <c r="D30" i="214"/>
  <c r="E30" i="214"/>
  <c r="F30" i="214"/>
  <c r="G30" i="214"/>
  <c r="H30" i="214"/>
  <c r="I30" i="214"/>
  <c r="J30" i="214"/>
  <c r="K30" i="214"/>
  <c r="L30" i="214"/>
  <c r="M30" i="214"/>
  <c r="N30" i="214"/>
  <c r="O30" i="214"/>
  <c r="C20" i="30" s="1"/>
  <c r="C15" i="214"/>
  <c r="D15" i="214"/>
  <c r="E15" i="214"/>
  <c r="F15" i="214"/>
  <c r="G15" i="214"/>
  <c r="H15" i="214"/>
  <c r="I15" i="214"/>
  <c r="J15" i="214"/>
  <c r="K15" i="214"/>
  <c r="L15" i="214"/>
  <c r="M15" i="214"/>
  <c r="N15" i="214"/>
  <c r="O15" i="214"/>
  <c r="C17" i="30" s="1"/>
  <c r="F17" i="30" s="1"/>
  <c r="D22" i="243"/>
  <c r="Q19" i="241"/>
  <c r="I19" i="243" s="1"/>
  <c r="Q16" i="241"/>
  <c r="I16" i="243" s="1"/>
  <c r="I13" i="243"/>
  <c r="J13" i="243"/>
  <c r="F13" i="243"/>
  <c r="K13" i="243" s="1"/>
  <c r="J41" i="231"/>
  <c r="J15" i="231"/>
  <c r="K15" i="231"/>
  <c r="J17" i="231"/>
  <c r="K17" i="231"/>
  <c r="E21" i="84"/>
  <c r="O49" i="35"/>
  <c r="O17" i="35" s="1"/>
  <c r="J17" i="35" s="1"/>
  <c r="M49" i="35"/>
  <c r="M17" i="35" s="1"/>
  <c r="L17" i="35" s="1"/>
  <c r="H16" i="207"/>
  <c r="P8" i="228"/>
  <c r="P8" i="227"/>
  <c r="P8" i="226"/>
  <c r="P8" i="192"/>
  <c r="P8" i="193"/>
  <c r="P8" i="190"/>
  <c r="P8" i="44"/>
  <c r="P8" i="222" s="1"/>
  <c r="D8" i="79"/>
  <c r="D8" i="45"/>
  <c r="O9" i="46"/>
  <c r="J19" i="34"/>
  <c r="J29" i="34"/>
  <c r="A5" i="104"/>
  <c r="A4" i="104"/>
  <c r="A2" i="104"/>
  <c r="A1" i="104"/>
  <c r="F15" i="107"/>
  <c r="D37" i="107"/>
  <c r="F37" i="107" s="1"/>
  <c r="F36" i="107"/>
  <c r="F34" i="107"/>
  <c r="F33" i="107"/>
  <c r="F32" i="107"/>
  <c r="F31" i="107"/>
  <c r="F30" i="107"/>
  <c r="F29" i="107"/>
  <c r="F28" i="107"/>
  <c r="D24" i="107"/>
  <c r="F24" i="107" s="1"/>
  <c r="F23" i="107"/>
  <c r="F21" i="107"/>
  <c r="F20" i="107"/>
  <c r="F19" i="107"/>
  <c r="F18" i="107"/>
  <c r="F17" i="107"/>
  <c r="F16" i="107"/>
  <c r="A5" i="107"/>
  <c r="A4" i="107"/>
  <c r="A2" i="107"/>
  <c r="A1" i="107"/>
  <c r="J128" i="10"/>
  <c r="K128" i="10"/>
  <c r="L128" i="10"/>
  <c r="F83" i="248"/>
  <c r="F84" i="248"/>
  <c r="F85" i="248"/>
  <c r="F86" i="248"/>
  <c r="F87" i="248"/>
  <c r="F88" i="248"/>
  <c r="F89" i="248"/>
  <c r="F90" i="248"/>
  <c r="F91" i="248"/>
  <c r="F92" i="248"/>
  <c r="F93" i="248"/>
  <c r="F94" i="248"/>
  <c r="F95" i="248"/>
  <c r="F96" i="248"/>
  <c r="F97" i="248"/>
  <c r="F98" i="248"/>
  <c r="F99" i="248"/>
  <c r="F100" i="248"/>
  <c r="F101" i="248"/>
  <c r="F102" i="248"/>
  <c r="F103" i="248"/>
  <c r="F104" i="248"/>
  <c r="F105" i="248"/>
  <c r="F106" i="248"/>
  <c r="F107" i="248"/>
  <c r="F108" i="248"/>
  <c r="F109" i="248"/>
  <c r="F110" i="248"/>
  <c r="F111" i="248"/>
  <c r="F112" i="248"/>
  <c r="F113" i="248"/>
  <c r="F114" i="248"/>
  <c r="F115" i="248"/>
  <c r="F116" i="248"/>
  <c r="F117" i="248"/>
  <c r="F118" i="248"/>
  <c r="F119" i="248"/>
  <c r="F120" i="248"/>
  <c r="F121" i="248"/>
  <c r="F122" i="248"/>
  <c r="F123" i="248"/>
  <c r="F124" i="248"/>
  <c r="F125" i="248"/>
  <c r="F126" i="248"/>
  <c r="F127" i="248"/>
  <c r="F128" i="248"/>
  <c r="F129" i="248"/>
  <c r="F130" i="248"/>
  <c r="F131" i="248"/>
  <c r="F132" i="248"/>
  <c r="F133" i="248"/>
  <c r="D147" i="248"/>
  <c r="F15" i="248"/>
  <c r="F17" i="248"/>
  <c r="F18" i="248"/>
  <c r="F19" i="248"/>
  <c r="F20" i="248"/>
  <c r="F21" i="248"/>
  <c r="F22" i="248"/>
  <c r="F23" i="248"/>
  <c r="F24" i="248"/>
  <c r="F25" i="248"/>
  <c r="F26" i="248"/>
  <c r="F27" i="248"/>
  <c r="F28" i="248"/>
  <c r="F29" i="248"/>
  <c r="F30" i="248"/>
  <c r="F31" i="248"/>
  <c r="F32" i="248"/>
  <c r="F33" i="248"/>
  <c r="F34" i="248"/>
  <c r="F35" i="248"/>
  <c r="F36" i="248"/>
  <c r="F37" i="248"/>
  <c r="F38" i="248"/>
  <c r="F39" i="248"/>
  <c r="F40" i="248"/>
  <c r="F41" i="248"/>
  <c r="F42" i="248"/>
  <c r="F43" i="248"/>
  <c r="F44" i="248"/>
  <c r="F45" i="248"/>
  <c r="F46" i="248"/>
  <c r="F47" i="248"/>
  <c r="F48" i="248"/>
  <c r="F49" i="248"/>
  <c r="F50" i="248"/>
  <c r="F51" i="248"/>
  <c r="F52" i="248"/>
  <c r="F53" i="248"/>
  <c r="F54" i="248"/>
  <c r="F55" i="248"/>
  <c r="F56" i="248"/>
  <c r="F57" i="248"/>
  <c r="F58" i="248"/>
  <c r="F59" i="248"/>
  <c r="F60" i="248"/>
  <c r="F61" i="248"/>
  <c r="F62" i="248"/>
  <c r="F63" i="248"/>
  <c r="F64" i="248"/>
  <c r="F65" i="248"/>
  <c r="F71" i="248"/>
  <c r="F72" i="248"/>
  <c r="F73" i="248"/>
  <c r="F74" i="248"/>
  <c r="D79" i="248"/>
  <c r="A5" i="248"/>
  <c r="A4" i="248"/>
  <c r="A2" i="248"/>
  <c r="A1" i="248"/>
  <c r="A84" i="248"/>
  <c r="A85" i="248" s="1"/>
  <c r="A86" i="248" s="1"/>
  <c r="A87" i="248" s="1"/>
  <c r="A88" i="248" s="1"/>
  <c r="A89" i="248" s="1"/>
  <c r="A90" i="248" s="1"/>
  <c r="A91" i="248" s="1"/>
  <c r="A92" i="248" s="1"/>
  <c r="A93" i="248" s="1"/>
  <c r="A94" i="248" s="1"/>
  <c r="A95" i="248" s="1"/>
  <c r="A96" i="248" s="1"/>
  <c r="A97" i="248" s="1"/>
  <c r="A98" i="248" s="1"/>
  <c r="A99" i="248" s="1"/>
  <c r="A101" i="248"/>
  <c r="A102" i="248" s="1"/>
  <c r="A103" i="248" s="1"/>
  <c r="A104" i="248" s="1"/>
  <c r="A106" i="248"/>
  <c r="A107" i="248" s="1"/>
  <c r="A108" i="248" s="1"/>
  <c r="A109" i="248" s="1"/>
  <c r="A110" i="248" s="1"/>
  <c r="A111" i="248" s="1"/>
  <c r="A112" i="248" s="1"/>
  <c r="A113" i="248" s="1"/>
  <c r="A114" i="248" s="1"/>
  <c r="A115" i="248" s="1"/>
  <c r="A116" i="248" s="1"/>
  <c r="A117" i="248" s="1"/>
  <c r="A118" i="248" s="1"/>
  <c r="A119" i="248" s="1"/>
  <c r="A120" i="248" s="1"/>
  <c r="A121" i="248" s="1"/>
  <c r="A122" i="248" s="1"/>
  <c r="A123" i="248" s="1"/>
  <c r="A124" i="248" s="1"/>
  <c r="A125" i="248" s="1"/>
  <c r="A126" i="248" s="1"/>
  <c r="A127" i="248" s="1"/>
  <c r="A128" i="248" s="1"/>
  <c r="A129" i="248" s="1"/>
  <c r="A130" i="248" s="1"/>
  <c r="A131" i="248" s="1"/>
  <c r="A132" i="248" s="1"/>
  <c r="A133" i="248" s="1"/>
  <c r="A134" i="248" s="1"/>
  <c r="A135" i="248" s="1"/>
  <c r="A136" i="248" s="1"/>
  <c r="A137" i="248" s="1"/>
  <c r="A138" i="248" s="1"/>
  <c r="A139" i="248" s="1"/>
  <c r="A140" i="248" s="1"/>
  <c r="A141" i="248" s="1"/>
  <c r="A142" i="248" s="1"/>
  <c r="A143" i="248" s="1"/>
  <c r="A144" i="248" s="1"/>
  <c r="A145" i="248" s="1"/>
  <c r="G34" i="103"/>
  <c r="G27" i="103"/>
  <c r="G20" i="103"/>
  <c r="A1" i="247"/>
  <c r="A2" i="247"/>
  <c r="J13" i="247"/>
  <c r="J14" i="247"/>
  <c r="H16" i="213"/>
  <c r="G17" i="213"/>
  <c r="H17" i="213"/>
  <c r="G17" i="207"/>
  <c r="H17" i="207"/>
  <c r="G22" i="213"/>
  <c r="H22" i="213"/>
  <c r="G23" i="213"/>
  <c r="H23" i="213"/>
  <c r="G24" i="213"/>
  <c r="H24" i="213"/>
  <c r="G22" i="207"/>
  <c r="H22" i="207"/>
  <c r="G23" i="207"/>
  <c r="H23" i="207"/>
  <c r="G24" i="207"/>
  <c r="H24" i="207"/>
  <c r="G29" i="213"/>
  <c r="H29" i="213"/>
  <c r="G30" i="213"/>
  <c r="H30" i="213"/>
  <c r="G31" i="213"/>
  <c r="H31" i="213"/>
  <c r="G32" i="213"/>
  <c r="H32" i="213"/>
  <c r="G33" i="213"/>
  <c r="H33" i="213"/>
  <c r="G34" i="213"/>
  <c r="H34" i="213"/>
  <c r="G35" i="213"/>
  <c r="H35" i="213"/>
  <c r="G36" i="213"/>
  <c r="H36" i="213"/>
  <c r="G37" i="213"/>
  <c r="H37" i="213"/>
  <c r="G38" i="213"/>
  <c r="H38" i="213"/>
  <c r="G39" i="213"/>
  <c r="H39" i="213"/>
  <c r="G40" i="213"/>
  <c r="H40" i="213"/>
  <c r="G41" i="213"/>
  <c r="H41" i="213"/>
  <c r="G42" i="213"/>
  <c r="H42" i="213"/>
  <c r="G43" i="213"/>
  <c r="H43" i="213"/>
  <c r="G44" i="213"/>
  <c r="H44" i="213"/>
  <c r="G45" i="213"/>
  <c r="H45" i="213"/>
  <c r="G29" i="207"/>
  <c r="H29" i="207"/>
  <c r="G30" i="207"/>
  <c r="H30" i="207"/>
  <c r="G31" i="207"/>
  <c r="H31" i="207"/>
  <c r="G32" i="207"/>
  <c r="H32" i="207"/>
  <c r="G33" i="207"/>
  <c r="H33" i="207"/>
  <c r="G34" i="207"/>
  <c r="H34" i="207"/>
  <c r="G35" i="207"/>
  <c r="H35" i="207"/>
  <c r="G36" i="207"/>
  <c r="H36" i="207"/>
  <c r="G37" i="207"/>
  <c r="H37" i="207"/>
  <c r="G38" i="207"/>
  <c r="H38" i="207"/>
  <c r="G39" i="207"/>
  <c r="H39" i="207"/>
  <c r="G40" i="207"/>
  <c r="H40" i="207"/>
  <c r="G41" i="207"/>
  <c r="H41" i="207"/>
  <c r="G42" i="207"/>
  <c r="H42" i="207"/>
  <c r="G43" i="207"/>
  <c r="H43" i="207"/>
  <c r="G44" i="207"/>
  <c r="H44" i="207"/>
  <c r="G45" i="207"/>
  <c r="H45" i="207"/>
  <c r="G50" i="213"/>
  <c r="H50" i="213"/>
  <c r="G51" i="213"/>
  <c r="H51" i="213"/>
  <c r="G52" i="213"/>
  <c r="H52" i="213"/>
  <c r="G53" i="213"/>
  <c r="H53" i="213"/>
  <c r="G54" i="213"/>
  <c r="H54" i="213"/>
  <c r="G55" i="213"/>
  <c r="H55" i="213"/>
  <c r="G56" i="213"/>
  <c r="H56" i="213"/>
  <c r="G57" i="213"/>
  <c r="H57" i="213"/>
  <c r="G50" i="207"/>
  <c r="H50" i="207"/>
  <c r="G51" i="207"/>
  <c r="H51" i="207"/>
  <c r="G52" i="207"/>
  <c r="H52" i="207"/>
  <c r="G53" i="207"/>
  <c r="H53" i="207"/>
  <c r="G54" i="207"/>
  <c r="H54" i="207"/>
  <c r="G55" i="207"/>
  <c r="H55" i="207"/>
  <c r="G56" i="207"/>
  <c r="H56" i="207"/>
  <c r="G57" i="207"/>
  <c r="H57" i="207"/>
  <c r="G62" i="213"/>
  <c r="H62" i="213"/>
  <c r="G63" i="213"/>
  <c r="H63" i="213"/>
  <c r="G64" i="213"/>
  <c r="H64" i="213"/>
  <c r="G65" i="213"/>
  <c r="H65" i="213"/>
  <c r="G66" i="213"/>
  <c r="H66" i="213"/>
  <c r="G67" i="213"/>
  <c r="H67" i="213"/>
  <c r="G68" i="213"/>
  <c r="H68" i="213"/>
  <c r="G69" i="213"/>
  <c r="H69" i="213"/>
  <c r="G70" i="213"/>
  <c r="H70" i="213"/>
  <c r="G71" i="213"/>
  <c r="H71" i="213"/>
  <c r="G72" i="213"/>
  <c r="H72" i="213"/>
  <c r="G73" i="213"/>
  <c r="H73" i="213"/>
  <c r="G74" i="213"/>
  <c r="H74" i="213"/>
  <c r="G75" i="213"/>
  <c r="H75" i="213"/>
  <c r="G76" i="213"/>
  <c r="H76" i="213"/>
  <c r="G77" i="213"/>
  <c r="H77" i="213"/>
  <c r="G78" i="213"/>
  <c r="H78" i="213"/>
  <c r="G79" i="213"/>
  <c r="H79" i="213"/>
  <c r="G80" i="213"/>
  <c r="H80" i="213"/>
  <c r="G81" i="213"/>
  <c r="H81" i="213"/>
  <c r="G62" i="207"/>
  <c r="H62" i="207"/>
  <c r="G63" i="207"/>
  <c r="H63" i="207"/>
  <c r="G64" i="207"/>
  <c r="H64" i="207"/>
  <c r="G65" i="207"/>
  <c r="H65" i="207"/>
  <c r="G66" i="207"/>
  <c r="H66" i="207"/>
  <c r="G67" i="207"/>
  <c r="H67" i="207"/>
  <c r="G68" i="207"/>
  <c r="H68" i="207"/>
  <c r="G69" i="207"/>
  <c r="H69" i="207"/>
  <c r="G70" i="207"/>
  <c r="H70" i="207"/>
  <c r="G71" i="207"/>
  <c r="H71" i="207"/>
  <c r="G72" i="207"/>
  <c r="H72" i="207"/>
  <c r="G73" i="207"/>
  <c r="H73" i="207"/>
  <c r="G74" i="207"/>
  <c r="H74" i="207"/>
  <c r="G75" i="207"/>
  <c r="H75" i="207"/>
  <c r="G76" i="207"/>
  <c r="H76" i="207"/>
  <c r="G77" i="207"/>
  <c r="H77" i="207"/>
  <c r="G78" i="207"/>
  <c r="H78" i="207"/>
  <c r="G79" i="207"/>
  <c r="H79" i="207"/>
  <c r="G80" i="207"/>
  <c r="H80" i="207"/>
  <c r="G81" i="207"/>
  <c r="H81" i="207"/>
  <c r="F127" i="207"/>
  <c r="F128" i="207"/>
  <c r="F129" i="207"/>
  <c r="F130" i="207"/>
  <c r="F131" i="207"/>
  <c r="F133" i="207"/>
  <c r="F132" i="207"/>
  <c r="F134" i="207"/>
  <c r="F135" i="207"/>
  <c r="F136" i="207"/>
  <c r="F137" i="207"/>
  <c r="F138" i="207"/>
  <c r="F139" i="207"/>
  <c r="F140" i="207"/>
  <c r="F141" i="207"/>
  <c r="F142" i="207"/>
  <c r="F143" i="207"/>
  <c r="F144" i="207"/>
  <c r="F145" i="207"/>
  <c r="F146" i="207"/>
  <c r="F147" i="207"/>
  <c r="G86" i="213"/>
  <c r="H86" i="213"/>
  <c r="G87" i="213"/>
  <c r="H87" i="213"/>
  <c r="G88" i="213"/>
  <c r="H88" i="213"/>
  <c r="G89" i="213"/>
  <c r="H89" i="213"/>
  <c r="G90" i="213"/>
  <c r="H90" i="213"/>
  <c r="G91" i="213"/>
  <c r="H91" i="213"/>
  <c r="G92" i="213"/>
  <c r="H92" i="213"/>
  <c r="G107" i="213"/>
  <c r="H107" i="213"/>
  <c r="G108" i="213"/>
  <c r="H108" i="213"/>
  <c r="G109" i="213"/>
  <c r="H109" i="213"/>
  <c r="G110" i="213"/>
  <c r="H110" i="213"/>
  <c r="G86" i="207"/>
  <c r="H86" i="207"/>
  <c r="G87" i="207"/>
  <c r="H87" i="207"/>
  <c r="G88" i="207"/>
  <c r="H88" i="207"/>
  <c r="G89" i="207"/>
  <c r="H89" i="207"/>
  <c r="G90" i="207"/>
  <c r="H90" i="207"/>
  <c r="G91" i="207"/>
  <c r="H91" i="207"/>
  <c r="G92" i="207"/>
  <c r="H109" i="207"/>
  <c r="G110" i="207"/>
  <c r="H110" i="207"/>
  <c r="G86" i="209"/>
  <c r="H86" i="209"/>
  <c r="G87" i="209"/>
  <c r="H87" i="209"/>
  <c r="G88" i="209"/>
  <c r="H88" i="209"/>
  <c r="G89" i="209"/>
  <c r="H89" i="209"/>
  <c r="G90" i="209"/>
  <c r="H90" i="209"/>
  <c r="G91" i="209"/>
  <c r="H91" i="209"/>
  <c r="G92" i="209"/>
  <c r="H92" i="209"/>
  <c r="G98" i="209"/>
  <c r="H98" i="209"/>
  <c r="G99" i="209"/>
  <c r="H99" i="209"/>
  <c r="G100" i="209"/>
  <c r="H100" i="209"/>
  <c r="G101" i="209"/>
  <c r="H101" i="209"/>
  <c r="G102" i="209"/>
  <c r="H102" i="209"/>
  <c r="G103" i="209"/>
  <c r="H103" i="209"/>
  <c r="G104" i="209"/>
  <c r="H104" i="209"/>
  <c r="G105" i="209"/>
  <c r="H105" i="209"/>
  <c r="G106" i="209"/>
  <c r="H106" i="209"/>
  <c r="G107" i="209"/>
  <c r="H107" i="209"/>
  <c r="G108" i="209"/>
  <c r="H108" i="209"/>
  <c r="G109" i="209"/>
  <c r="H109" i="209"/>
  <c r="G110" i="209"/>
  <c r="H110" i="209"/>
  <c r="G111" i="209"/>
  <c r="H111" i="209"/>
  <c r="G62" i="209"/>
  <c r="H62" i="209"/>
  <c r="G63" i="209"/>
  <c r="H63" i="209"/>
  <c r="G64" i="209"/>
  <c r="H64" i="209"/>
  <c r="G65" i="209"/>
  <c r="H65" i="209"/>
  <c r="G66" i="209"/>
  <c r="H66" i="209"/>
  <c r="G67" i="209"/>
  <c r="H67" i="209"/>
  <c r="G68" i="209"/>
  <c r="H68" i="209"/>
  <c r="G69" i="209"/>
  <c r="H69" i="209"/>
  <c r="G70" i="209"/>
  <c r="H70" i="209"/>
  <c r="G71" i="209"/>
  <c r="H71" i="209"/>
  <c r="G72" i="209"/>
  <c r="H72" i="209"/>
  <c r="G73" i="209"/>
  <c r="H73" i="209"/>
  <c r="G74" i="209"/>
  <c r="H74" i="209"/>
  <c r="G75" i="209"/>
  <c r="H75" i="209"/>
  <c r="G76" i="209"/>
  <c r="H76" i="209"/>
  <c r="G77" i="209"/>
  <c r="H77" i="209"/>
  <c r="G78" i="209"/>
  <c r="H78" i="209"/>
  <c r="G79" i="209"/>
  <c r="H79" i="209"/>
  <c r="G80" i="209"/>
  <c r="H80" i="209"/>
  <c r="G81" i="209"/>
  <c r="H81" i="209"/>
  <c r="G50" i="209"/>
  <c r="H50" i="209"/>
  <c r="G51" i="209"/>
  <c r="H51" i="209"/>
  <c r="G52" i="209"/>
  <c r="H52" i="209"/>
  <c r="G53" i="209"/>
  <c r="H53" i="209"/>
  <c r="G54" i="209"/>
  <c r="H54" i="209"/>
  <c r="G55" i="209"/>
  <c r="H55" i="209"/>
  <c r="G56" i="209"/>
  <c r="H56" i="209"/>
  <c r="G57" i="209"/>
  <c r="H57" i="209"/>
  <c r="G29" i="209"/>
  <c r="H29" i="209"/>
  <c r="G30" i="209"/>
  <c r="H30" i="209"/>
  <c r="G31" i="209"/>
  <c r="H31" i="209"/>
  <c r="G32" i="209"/>
  <c r="H32" i="209"/>
  <c r="G33" i="209"/>
  <c r="H33" i="209"/>
  <c r="G34" i="209"/>
  <c r="H34" i="209"/>
  <c r="G35" i="209"/>
  <c r="H35" i="209"/>
  <c r="G36" i="209"/>
  <c r="H36" i="209"/>
  <c r="G37" i="209"/>
  <c r="H37" i="209"/>
  <c r="G38" i="209"/>
  <c r="H38" i="209"/>
  <c r="G39" i="209"/>
  <c r="H39" i="209"/>
  <c r="G40" i="209"/>
  <c r="H40" i="209"/>
  <c r="G41" i="209"/>
  <c r="H41" i="209"/>
  <c r="G42" i="209"/>
  <c r="H42" i="209"/>
  <c r="G43" i="209"/>
  <c r="H43" i="209"/>
  <c r="G44" i="209"/>
  <c r="H44" i="209"/>
  <c r="G45" i="209"/>
  <c r="H45" i="209"/>
  <c r="G22" i="209"/>
  <c r="H22" i="209"/>
  <c r="G23" i="209"/>
  <c r="H23" i="209"/>
  <c r="G24" i="209"/>
  <c r="H24" i="209"/>
  <c r="H16" i="209"/>
  <c r="G17" i="209"/>
  <c r="H17" i="209"/>
  <c r="F128" i="236"/>
  <c r="F129" i="236"/>
  <c r="F130" i="236"/>
  <c r="F131" i="236"/>
  <c r="F132" i="236"/>
  <c r="F133" i="236"/>
  <c r="F134" i="236"/>
  <c r="F135" i="236"/>
  <c r="F136" i="236"/>
  <c r="F137" i="236"/>
  <c r="F138" i="236"/>
  <c r="F139" i="236"/>
  <c r="F140" i="236"/>
  <c r="F141" i="236"/>
  <c r="F142" i="236"/>
  <c r="F143" i="236"/>
  <c r="F144" i="236"/>
  <c r="F145" i="236"/>
  <c r="F146" i="236"/>
  <c r="F147" i="236"/>
  <c r="F148" i="236"/>
  <c r="G86" i="236"/>
  <c r="H86" i="236"/>
  <c r="G87" i="236"/>
  <c r="H87" i="236"/>
  <c r="G88" i="236"/>
  <c r="H88" i="236"/>
  <c r="G89" i="236"/>
  <c r="H89" i="236"/>
  <c r="G90" i="236"/>
  <c r="H90" i="236"/>
  <c r="G91" i="236"/>
  <c r="H91" i="236"/>
  <c r="G92" i="236"/>
  <c r="H92" i="236"/>
  <c r="G93" i="236"/>
  <c r="H93" i="236"/>
  <c r="G94" i="236"/>
  <c r="H94" i="236"/>
  <c r="G95" i="236"/>
  <c r="H95" i="236"/>
  <c r="G96" i="236"/>
  <c r="H96" i="236"/>
  <c r="G97" i="236"/>
  <c r="H97" i="236"/>
  <c r="G98" i="236"/>
  <c r="H98" i="236"/>
  <c r="G99" i="236"/>
  <c r="H99" i="236"/>
  <c r="G100" i="236"/>
  <c r="H100" i="236"/>
  <c r="G101" i="236"/>
  <c r="H101" i="236"/>
  <c r="G102" i="236"/>
  <c r="H102" i="236"/>
  <c r="G108" i="236"/>
  <c r="H108" i="236"/>
  <c r="G109" i="236"/>
  <c r="H109" i="236"/>
  <c r="G110" i="236"/>
  <c r="H110" i="236"/>
  <c r="G111" i="236"/>
  <c r="H111" i="236"/>
  <c r="G62" i="236"/>
  <c r="H62" i="236"/>
  <c r="G63" i="236"/>
  <c r="H63" i="236"/>
  <c r="G64" i="236"/>
  <c r="H64" i="236"/>
  <c r="G65" i="236"/>
  <c r="H65" i="236"/>
  <c r="G66" i="236"/>
  <c r="H66" i="236"/>
  <c r="G67" i="236"/>
  <c r="H67" i="236"/>
  <c r="G68" i="236"/>
  <c r="H68" i="236"/>
  <c r="G69" i="236"/>
  <c r="H69" i="236"/>
  <c r="G70" i="236"/>
  <c r="H70" i="236"/>
  <c r="G71" i="236"/>
  <c r="H71" i="236"/>
  <c r="G72" i="236"/>
  <c r="H72" i="236"/>
  <c r="G73" i="236"/>
  <c r="H73" i="236"/>
  <c r="G74" i="236"/>
  <c r="H74" i="236"/>
  <c r="G75" i="236"/>
  <c r="H75" i="236"/>
  <c r="G76" i="236"/>
  <c r="H76" i="236"/>
  <c r="G77" i="236"/>
  <c r="H77" i="236"/>
  <c r="G78" i="236"/>
  <c r="H78" i="236"/>
  <c r="G79" i="236"/>
  <c r="H79" i="236"/>
  <c r="G80" i="236"/>
  <c r="H80" i="236"/>
  <c r="G81" i="236"/>
  <c r="H81" i="236"/>
  <c r="G50" i="236"/>
  <c r="H50" i="236"/>
  <c r="G51" i="236"/>
  <c r="H51" i="236"/>
  <c r="G52" i="236"/>
  <c r="H52" i="236"/>
  <c r="G53" i="236"/>
  <c r="H53" i="236"/>
  <c r="G54" i="236"/>
  <c r="H54" i="236"/>
  <c r="G55" i="236"/>
  <c r="H55" i="236"/>
  <c r="G56" i="236"/>
  <c r="H56" i="236"/>
  <c r="G57" i="236"/>
  <c r="H57" i="236"/>
  <c r="G29" i="236"/>
  <c r="H29" i="236"/>
  <c r="G30" i="236"/>
  <c r="H30" i="236"/>
  <c r="G31" i="236"/>
  <c r="H31" i="236"/>
  <c r="G32" i="236"/>
  <c r="H32" i="236"/>
  <c r="G33" i="236"/>
  <c r="H33" i="236"/>
  <c r="G34" i="236"/>
  <c r="H34" i="236"/>
  <c r="G35" i="236"/>
  <c r="H35" i="236"/>
  <c r="G36" i="236"/>
  <c r="H36" i="236"/>
  <c r="G37" i="236"/>
  <c r="H37" i="236"/>
  <c r="G38" i="236"/>
  <c r="H38" i="236"/>
  <c r="G39" i="236"/>
  <c r="H39" i="236"/>
  <c r="G40" i="236"/>
  <c r="H40" i="236"/>
  <c r="G41" i="236"/>
  <c r="H41" i="236"/>
  <c r="G42" i="236"/>
  <c r="H42" i="236"/>
  <c r="G43" i="236"/>
  <c r="H43" i="236"/>
  <c r="G44" i="236"/>
  <c r="H44" i="236"/>
  <c r="G45" i="236"/>
  <c r="H45" i="236"/>
  <c r="G22" i="236"/>
  <c r="H22" i="236"/>
  <c r="G23" i="236"/>
  <c r="H23" i="236"/>
  <c r="G24" i="236"/>
  <c r="H24" i="236"/>
  <c r="H16" i="236"/>
  <c r="G17" i="236"/>
  <c r="H17" i="236"/>
  <c r="G116" i="213"/>
  <c r="H116" i="213"/>
  <c r="G116" i="207"/>
  <c r="H116" i="207"/>
  <c r="L98" i="10"/>
  <c r="K98" i="10"/>
  <c r="J98" i="10"/>
  <c r="D13" i="244"/>
  <c r="M98" i="10"/>
  <c r="N98" i="10"/>
  <c r="O98" i="10"/>
  <c r="P98" i="10"/>
  <c r="Q98" i="10"/>
  <c r="R98" i="10"/>
  <c r="A2" i="212"/>
  <c r="A2" i="244" s="1"/>
  <c r="D40" i="51"/>
  <c r="D146" i="51" s="1"/>
  <c r="A1" i="245"/>
  <c r="A2" i="245"/>
  <c r="A3" i="245"/>
  <c r="A4" i="245"/>
  <c r="H18" i="102"/>
  <c r="E45" i="231"/>
  <c r="J45" i="231" s="1"/>
  <c r="E43" i="231"/>
  <c r="J43" i="231"/>
  <c r="J39" i="231"/>
  <c r="D19" i="244"/>
  <c r="D16" i="244"/>
  <c r="A1" i="212"/>
  <c r="A1" i="244" s="1"/>
  <c r="A3" i="212"/>
  <c r="A4" i="242" s="1"/>
  <c r="F8" i="137"/>
  <c r="L8" i="244" s="1"/>
  <c r="J22" i="244"/>
  <c r="D19" i="243"/>
  <c r="D16" i="243"/>
  <c r="L8" i="243"/>
  <c r="J22" i="243"/>
  <c r="A7" i="137"/>
  <c r="A7" i="237" s="1"/>
  <c r="A8" i="242"/>
  <c r="A6" i="242"/>
  <c r="A8" i="233"/>
  <c r="A6" i="233"/>
  <c r="A7" i="3"/>
  <c r="A7" i="241" s="1"/>
  <c r="A6" i="241"/>
  <c r="A8" i="241"/>
  <c r="A2" i="34"/>
  <c r="A1" i="34"/>
  <c r="A5" i="34"/>
  <c r="A4" i="34"/>
  <c r="J33" i="39"/>
  <c r="I34" i="39"/>
  <c r="J34" i="41"/>
  <c r="J36" i="41"/>
  <c r="I34" i="41"/>
  <c r="I36" i="41"/>
  <c r="H34" i="41"/>
  <c r="H36" i="41"/>
  <c r="H33" i="41"/>
  <c r="H16" i="103"/>
  <c r="I16" i="103" s="1"/>
  <c r="D17" i="103"/>
  <c r="H17" i="103" s="1"/>
  <c r="I17" i="103" s="1"/>
  <c r="D18" i="103"/>
  <c r="H18" i="103" s="1"/>
  <c r="D19" i="103"/>
  <c r="E19" i="103" s="1"/>
  <c r="G41" i="103"/>
  <c r="E16" i="103"/>
  <c r="E18" i="103"/>
  <c r="C41" i="103"/>
  <c r="A5" i="103"/>
  <c r="A4" i="103"/>
  <c r="A2" i="103"/>
  <c r="A1" i="103"/>
  <c r="H13" i="103"/>
  <c r="H12" i="103"/>
  <c r="E16" i="239"/>
  <c r="A1" i="239"/>
  <c r="A2" i="239"/>
  <c r="H11" i="239"/>
  <c r="H12" i="239"/>
  <c r="H15" i="239"/>
  <c r="A5" i="37"/>
  <c r="A4" i="37"/>
  <c r="A2" i="37"/>
  <c r="A1" i="37"/>
  <c r="A2" i="98"/>
  <c r="A1" i="98"/>
  <c r="A2" i="95"/>
  <c r="A1" i="95"/>
  <c r="A5" i="202"/>
  <c r="A4" i="202"/>
  <c r="A2" i="202"/>
  <c r="A1" i="202"/>
  <c r="A4" i="99"/>
  <c r="A2" i="99"/>
  <c r="A1" i="99"/>
  <c r="A2" i="106"/>
  <c r="A1" i="106"/>
  <c r="I16" i="105"/>
  <c r="J16" i="105" s="1"/>
  <c r="J18" i="105" s="1"/>
  <c r="A5" i="105"/>
  <c r="A4" i="105"/>
  <c r="A2" i="105"/>
  <c r="A1" i="105"/>
  <c r="H12" i="102"/>
  <c r="H11" i="102"/>
  <c r="A5" i="102"/>
  <c r="A4" i="102"/>
  <c r="A2" i="102"/>
  <c r="A1" i="102"/>
  <c r="A5" i="100"/>
  <c r="A4" i="100"/>
  <c r="A2" i="100"/>
  <c r="A1" i="100"/>
  <c r="H73" i="100"/>
  <c r="D73" i="100"/>
  <c r="E48" i="100"/>
  <c r="E19" i="100"/>
  <c r="E49" i="100" s="1"/>
  <c r="E20" i="100"/>
  <c r="I20" i="100" s="1"/>
  <c r="E21" i="100"/>
  <c r="E51" i="100" s="1"/>
  <c r="I18" i="100"/>
  <c r="I48" i="100" s="1"/>
  <c r="I13" i="100"/>
  <c r="I12" i="100"/>
  <c r="L8" i="231"/>
  <c r="A5" i="10"/>
  <c r="A4" i="10"/>
  <c r="A2" i="10"/>
  <c r="A1" i="10"/>
  <c r="A5" i="36"/>
  <c r="A4" i="36"/>
  <c r="A2" i="36"/>
  <c r="A1" i="36"/>
  <c r="A4" i="8"/>
  <c r="A2" i="8"/>
  <c r="A1" i="8"/>
  <c r="A8" i="5"/>
  <c r="A9" i="5"/>
  <c r="A7" i="5"/>
  <c r="A2" i="5"/>
  <c r="A1" i="5"/>
  <c r="A5" i="84"/>
  <c r="A4" i="84"/>
  <c r="A1" i="84"/>
  <c r="D9" i="238"/>
  <c r="E9" i="238"/>
  <c r="F9" i="238"/>
  <c r="G9" i="238"/>
  <c r="H9" i="238"/>
  <c r="I9" i="238"/>
  <c r="J9" i="238"/>
  <c r="K9" i="238"/>
  <c r="L9" i="238"/>
  <c r="M9" i="238"/>
  <c r="N9" i="238"/>
  <c r="D10" i="238"/>
  <c r="E10" i="238"/>
  <c r="F10" i="238"/>
  <c r="G10" i="238"/>
  <c r="H10" i="238"/>
  <c r="I10" i="238"/>
  <c r="J10" i="238"/>
  <c r="K10" i="238"/>
  <c r="L10" i="238"/>
  <c r="M10" i="238"/>
  <c r="N10" i="238"/>
  <c r="C10" i="238"/>
  <c r="C9" i="238"/>
  <c r="A7" i="79"/>
  <c r="A7" i="238" s="1"/>
  <c r="A8" i="238"/>
  <c r="A6" i="238"/>
  <c r="A4" i="238"/>
  <c r="A1" i="238"/>
  <c r="A2" i="238"/>
  <c r="O10" i="238"/>
  <c r="A1" i="237"/>
  <c r="A2" i="237"/>
  <c r="A6" i="237"/>
  <c r="A8" i="237"/>
  <c r="H8" i="237"/>
  <c r="A8" i="236"/>
  <c r="A6" i="236"/>
  <c r="A4" i="236"/>
  <c r="A1" i="236"/>
  <c r="A2" i="236"/>
  <c r="N8" i="236"/>
  <c r="E19" i="236"/>
  <c r="E26" i="236"/>
  <c r="E47" i="236"/>
  <c r="E59" i="236"/>
  <c r="E83" i="236"/>
  <c r="E115" i="236"/>
  <c r="E125" i="236"/>
  <c r="D150" i="236"/>
  <c r="E150" i="236"/>
  <c r="K150" i="236"/>
  <c r="E176" i="236"/>
  <c r="E223" i="236"/>
  <c r="E259" i="236"/>
  <c r="K149" i="213"/>
  <c r="E225" i="209"/>
  <c r="E178" i="209"/>
  <c r="E59" i="209"/>
  <c r="K152" i="209"/>
  <c r="E115" i="209"/>
  <c r="E83" i="209"/>
  <c r="E47" i="209"/>
  <c r="E26" i="209"/>
  <c r="E19" i="209"/>
  <c r="E127" i="209"/>
  <c r="E152" i="209"/>
  <c r="D152" i="209"/>
  <c r="A8" i="209"/>
  <c r="A6" i="209"/>
  <c r="A4" i="209"/>
  <c r="H27" i="102"/>
  <c r="A1" i="235"/>
  <c r="A2" i="235"/>
  <c r="A3" i="235"/>
  <c r="A4" i="235"/>
  <c r="D36" i="230"/>
  <c r="D19" i="230"/>
  <c r="E36" i="230"/>
  <c r="E19" i="230"/>
  <c r="F36" i="230"/>
  <c r="F19" i="230"/>
  <c r="G36" i="230"/>
  <c r="G19" i="230"/>
  <c r="H36" i="230"/>
  <c r="H19" i="230"/>
  <c r="A8" i="230"/>
  <c r="A6" i="230"/>
  <c r="L25" i="202"/>
  <c r="C52" i="228"/>
  <c r="B52" i="228"/>
  <c r="C32" i="227"/>
  <c r="B32" i="227"/>
  <c r="C38" i="226"/>
  <c r="B38" i="226"/>
  <c r="C54" i="192"/>
  <c r="B54" i="192"/>
  <c r="C32" i="193"/>
  <c r="B32" i="193"/>
  <c r="C40" i="190"/>
  <c r="B40" i="190"/>
  <c r="P10" i="228"/>
  <c r="A8" i="228"/>
  <c r="A6" i="228"/>
  <c r="A4" i="228"/>
  <c r="A1" i="228"/>
  <c r="A2" i="228"/>
  <c r="P12" i="228"/>
  <c r="P14" i="228"/>
  <c r="A8" i="227"/>
  <c r="A6" i="227"/>
  <c r="A4" i="227"/>
  <c r="A4" i="226"/>
  <c r="A1" i="227"/>
  <c r="A2" i="227"/>
  <c r="P10" i="227"/>
  <c r="P12" i="227"/>
  <c r="P13" i="227"/>
  <c r="P12" i="226"/>
  <c r="P13" i="226"/>
  <c r="A8" i="226"/>
  <c r="A6" i="226"/>
  <c r="A1" i="226"/>
  <c r="A2" i="226"/>
  <c r="P10" i="226"/>
  <c r="A4" i="222"/>
  <c r="A8" i="222"/>
  <c r="A6" i="222"/>
  <c r="A1" i="222"/>
  <c r="A2" i="222"/>
  <c r="A2" i="221"/>
  <c r="A3" i="221"/>
  <c r="A4" i="221"/>
  <c r="A1" i="221"/>
  <c r="A4" i="48"/>
  <c r="A2" i="48"/>
  <c r="A1" i="48"/>
  <c r="A4" i="49"/>
  <c r="A2" i="49"/>
  <c r="A1" i="49"/>
  <c r="A4" i="212"/>
  <c r="A4" i="50" s="1"/>
  <c r="A2" i="50"/>
  <c r="A1" i="50"/>
  <c r="A2" i="51"/>
  <c r="A1" i="51"/>
  <c r="C31" i="215"/>
  <c r="D31" i="215"/>
  <c r="E31" i="215"/>
  <c r="C32" i="215"/>
  <c r="D32" i="215"/>
  <c r="E33" i="30"/>
  <c r="D32" i="30"/>
  <c r="D31" i="30"/>
  <c r="E31" i="30"/>
  <c r="D149" i="213"/>
  <c r="A3" i="216"/>
  <c r="K9" i="215"/>
  <c r="C27" i="215"/>
  <c r="C26" i="215"/>
  <c r="C25" i="215"/>
  <c r="D25" i="215"/>
  <c r="C24" i="215"/>
  <c r="D24" i="215"/>
  <c r="E24" i="215"/>
  <c r="O30" i="216"/>
  <c r="C20" i="215" s="1"/>
  <c r="C27" i="30"/>
  <c r="C26" i="30"/>
  <c r="C25" i="30"/>
  <c r="D25" i="30"/>
  <c r="D24" i="30"/>
  <c r="E24" i="30"/>
  <c r="A1" i="216"/>
  <c r="A2" i="216"/>
  <c r="C30" i="216"/>
  <c r="D30" i="216"/>
  <c r="E30" i="216"/>
  <c r="F30" i="216"/>
  <c r="G30" i="216"/>
  <c r="H30" i="216"/>
  <c r="I30" i="216"/>
  <c r="J30" i="216"/>
  <c r="K30" i="216"/>
  <c r="L30" i="216"/>
  <c r="M30" i="216"/>
  <c r="N30" i="216"/>
  <c r="A9" i="215"/>
  <c r="A7" i="215"/>
  <c r="H12" i="215"/>
  <c r="A3" i="214"/>
  <c r="A2" i="214"/>
  <c r="A1" i="214"/>
  <c r="A9" i="30"/>
  <c r="A7" i="30"/>
  <c r="A7" i="67"/>
  <c r="A8" i="67"/>
  <c r="A6" i="67"/>
  <c r="A9" i="69"/>
  <c r="A7" i="69"/>
  <c r="A2" i="69"/>
  <c r="A1" i="69"/>
  <c r="A9" i="24"/>
  <c r="A7" i="24"/>
  <c r="A2" i="24"/>
  <c r="A1" i="24"/>
  <c r="A7" i="213"/>
  <c r="A8" i="213"/>
  <c r="A6" i="213"/>
  <c r="A4" i="213"/>
  <c r="A1" i="213"/>
  <c r="A2" i="213"/>
  <c r="N8" i="213"/>
  <c r="E19" i="213"/>
  <c r="E26" i="213"/>
  <c r="E47" i="213"/>
  <c r="E59" i="213"/>
  <c r="E83" i="213"/>
  <c r="E112" i="213"/>
  <c r="E124" i="213"/>
  <c r="E149" i="213"/>
  <c r="E174" i="213"/>
  <c r="K149" i="207"/>
  <c r="E124" i="207"/>
  <c r="E149" i="207"/>
  <c r="E174" i="207"/>
  <c r="E19" i="207"/>
  <c r="E26" i="207"/>
  <c r="E47" i="207"/>
  <c r="E59" i="207"/>
  <c r="E83" i="207"/>
  <c r="E112" i="207"/>
  <c r="D149" i="207"/>
  <c r="A7" i="171"/>
  <c r="A8" i="171"/>
  <c r="A6" i="171"/>
  <c r="A4" i="171"/>
  <c r="A2" i="171"/>
  <c r="A1" i="171"/>
  <c r="O10" i="171"/>
  <c r="N10" i="171"/>
  <c r="M10" i="171"/>
  <c r="L10" i="171"/>
  <c r="K10" i="171"/>
  <c r="J10" i="171"/>
  <c r="I10" i="171"/>
  <c r="H10" i="171"/>
  <c r="G10" i="171"/>
  <c r="F10" i="171"/>
  <c r="E10" i="171"/>
  <c r="D10" i="171"/>
  <c r="C10" i="171"/>
  <c r="N9" i="171"/>
  <c r="M9" i="171"/>
  <c r="L9" i="171"/>
  <c r="K9" i="171"/>
  <c r="H9" i="171"/>
  <c r="G9" i="171"/>
  <c r="F9" i="171"/>
  <c r="E9" i="171"/>
  <c r="D9" i="171"/>
  <c r="C9" i="171"/>
  <c r="A4" i="192"/>
  <c r="A2" i="192"/>
  <c r="A1" i="192"/>
  <c r="P10" i="192"/>
  <c r="O10" i="192"/>
  <c r="N10" i="192"/>
  <c r="M10" i="192"/>
  <c r="L10" i="192"/>
  <c r="K10" i="192"/>
  <c r="J10" i="192"/>
  <c r="I10" i="192"/>
  <c r="H10" i="192"/>
  <c r="G10" i="192"/>
  <c r="F10" i="192"/>
  <c r="D10" i="192"/>
  <c r="O9" i="192"/>
  <c r="N9" i="192"/>
  <c r="M9" i="192"/>
  <c r="L9" i="192"/>
  <c r="K9" i="192"/>
  <c r="J9" i="192"/>
  <c r="I9" i="192"/>
  <c r="H9" i="192"/>
  <c r="G9" i="192"/>
  <c r="F9" i="192"/>
  <c r="D9" i="192"/>
  <c r="A7" i="44"/>
  <c r="A7" i="192" s="1"/>
  <c r="A8" i="44"/>
  <c r="A8" i="192" s="1"/>
  <c r="A6" i="44"/>
  <c r="A6" i="192" s="1"/>
  <c r="A4" i="193"/>
  <c r="A2" i="193"/>
  <c r="A1" i="193"/>
  <c r="P10" i="193"/>
  <c r="O10" i="193"/>
  <c r="N10" i="193"/>
  <c r="M10" i="193"/>
  <c r="L10" i="193"/>
  <c r="K10" i="193"/>
  <c r="J10" i="193"/>
  <c r="I10" i="193"/>
  <c r="H10" i="193"/>
  <c r="G10" i="193"/>
  <c r="F10" i="193"/>
  <c r="D10" i="193"/>
  <c r="O9" i="193"/>
  <c r="N9" i="193"/>
  <c r="M9" i="193"/>
  <c r="L9" i="193"/>
  <c r="K9" i="193"/>
  <c r="J9" i="193"/>
  <c r="I9" i="193"/>
  <c r="H9" i="193"/>
  <c r="G9" i="193"/>
  <c r="F9" i="193"/>
  <c r="D9" i="193"/>
  <c r="A4" i="190"/>
  <c r="A2" i="190"/>
  <c r="A1" i="190"/>
  <c r="P15" i="190"/>
  <c r="F9" i="190"/>
  <c r="G9" i="190"/>
  <c r="H9" i="190"/>
  <c r="I9" i="190"/>
  <c r="J9" i="190"/>
  <c r="K9" i="190"/>
  <c r="L9" i="190"/>
  <c r="M9" i="190"/>
  <c r="N9" i="190"/>
  <c r="O9" i="190"/>
  <c r="F10" i="190"/>
  <c r="G10" i="190"/>
  <c r="H10" i="190"/>
  <c r="I10" i="190"/>
  <c r="J10" i="190"/>
  <c r="K10" i="190"/>
  <c r="L10" i="190"/>
  <c r="M10" i="190"/>
  <c r="N10" i="190"/>
  <c r="O10" i="190"/>
  <c r="P10" i="190"/>
  <c r="D10" i="190"/>
  <c r="D9" i="190"/>
  <c r="A4" i="44"/>
  <c r="A2" i="44"/>
  <c r="A1" i="44"/>
  <c r="A4" i="4"/>
  <c r="A2" i="4"/>
  <c r="A1" i="4"/>
  <c r="G36" i="39"/>
  <c r="G35" i="39"/>
  <c r="G34" i="39"/>
  <c r="G33" i="39"/>
  <c r="G30" i="39"/>
  <c r="G22" i="39"/>
  <c r="H35" i="39"/>
  <c r="A5" i="39"/>
  <c r="A4" i="39"/>
  <c r="A2" i="39"/>
  <c r="A1" i="39"/>
  <c r="A2" i="41"/>
  <c r="A4" i="41"/>
  <c r="A5" i="41"/>
  <c r="A1" i="41"/>
  <c r="G36" i="41"/>
  <c r="G35" i="41"/>
  <c r="G34" i="41"/>
  <c r="G33" i="41"/>
  <c r="G30" i="41"/>
  <c r="G22" i="41"/>
  <c r="H35" i="41"/>
  <c r="A5" i="42"/>
  <c r="A4" i="42"/>
  <c r="A2" i="42"/>
  <c r="A1" i="42"/>
  <c r="D19" i="42"/>
  <c r="A5" i="35"/>
  <c r="A4" i="35"/>
  <c r="A2" i="35"/>
  <c r="A1" i="35"/>
  <c r="A4" i="79"/>
  <c r="A2" i="79"/>
  <c r="A1" i="79"/>
  <c r="A4" i="45"/>
  <c r="A2" i="45"/>
  <c r="A1" i="45"/>
  <c r="A1" i="211"/>
  <c r="A2" i="211"/>
  <c r="A3" i="211"/>
  <c r="A4" i="211"/>
  <c r="A8" i="46"/>
  <c r="A9" i="46"/>
  <c r="A7" i="46"/>
  <c r="A5" i="46"/>
  <c r="A4" i="46"/>
  <c r="A2" i="46"/>
  <c r="A1" i="46"/>
  <c r="A4" i="47"/>
  <c r="A2" i="47"/>
  <c r="A1" i="47"/>
  <c r="A4" i="67"/>
  <c r="A2" i="67"/>
  <c r="A1" i="67"/>
  <c r="A8" i="31"/>
  <c r="A6" i="31"/>
  <c r="A2" i="31"/>
  <c r="A1" i="31"/>
  <c r="A1" i="209"/>
  <c r="A2" i="209"/>
  <c r="N8" i="209"/>
  <c r="A2" i="137"/>
  <c r="A1" i="137"/>
  <c r="A2" i="3"/>
  <c r="A1" i="3"/>
  <c r="N8" i="207"/>
  <c r="A8" i="207"/>
  <c r="A7" i="207"/>
  <c r="A6" i="207"/>
  <c r="A4" i="207"/>
  <c r="A2" i="207"/>
  <c r="A1" i="207"/>
  <c r="A4" i="1"/>
  <c r="A2" i="1"/>
  <c r="A1" i="1"/>
  <c r="A4" i="206"/>
  <c r="A2" i="206"/>
  <c r="A3" i="206"/>
  <c r="A1" i="206"/>
  <c r="A4" i="205"/>
  <c r="A3" i="205"/>
  <c r="A2" i="205"/>
  <c r="A1" i="205"/>
  <c r="J25" i="10"/>
  <c r="J27" i="10" s="1"/>
  <c r="K25" i="10"/>
  <c r="K27" i="10" s="1"/>
  <c r="L25" i="10"/>
  <c r="L27" i="10" s="1"/>
  <c r="M25" i="10"/>
  <c r="M27" i="10" s="1"/>
  <c r="N25" i="10"/>
  <c r="N27" i="10" s="1"/>
  <c r="O25" i="10"/>
  <c r="O27" i="10" s="1"/>
  <c r="P25" i="10"/>
  <c r="P27" i="10" s="1"/>
  <c r="Q25" i="10"/>
  <c r="Q27" i="10" s="1"/>
  <c r="R25" i="10"/>
  <c r="R27" i="10" s="1"/>
  <c r="J31" i="10"/>
  <c r="K31" i="10"/>
  <c r="L31" i="10"/>
  <c r="M31" i="10"/>
  <c r="N31" i="10"/>
  <c r="O31" i="10"/>
  <c r="P31" i="10"/>
  <c r="Q31" i="10"/>
  <c r="R31" i="10"/>
  <c r="J45" i="10"/>
  <c r="K45" i="10"/>
  <c r="L45" i="10"/>
  <c r="M45" i="10"/>
  <c r="N45" i="10"/>
  <c r="P45" i="10"/>
  <c r="Q45" i="10"/>
  <c r="R45" i="10"/>
  <c r="O55" i="10"/>
  <c r="O58" i="10" s="1"/>
  <c r="O60" i="10" s="1"/>
  <c r="O62" i="10" s="1"/>
  <c r="Q55" i="10"/>
  <c r="Q58" i="10" s="1"/>
  <c r="Q60" i="10" s="1"/>
  <c r="Q62" i="10" s="1"/>
  <c r="R55" i="10"/>
  <c r="R58" i="10" s="1"/>
  <c r="R60" i="10" s="1"/>
  <c r="R62" i="10" s="1"/>
  <c r="P55" i="10"/>
  <c r="P58" i="10" s="1"/>
  <c r="P60" i="10" s="1"/>
  <c r="P62" i="10" s="1"/>
  <c r="G123" i="10"/>
  <c r="H123" i="10"/>
  <c r="M124" i="10"/>
  <c r="N124" i="10"/>
  <c r="O124" i="10"/>
  <c r="P124" i="10"/>
  <c r="Q124" i="10"/>
  <c r="R124" i="10"/>
  <c r="M128" i="10"/>
  <c r="N128" i="10"/>
  <c r="O128" i="10"/>
  <c r="P128" i="10"/>
  <c r="Q128" i="10"/>
  <c r="R128" i="10"/>
  <c r="G24" i="95"/>
  <c r="M28" i="39"/>
  <c r="M36" i="39" s="1"/>
  <c r="I35" i="41"/>
  <c r="J35" i="41"/>
  <c r="A14" i="35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F17" i="35"/>
  <c r="F18" i="35"/>
  <c r="H19" i="35"/>
  <c r="F24" i="35"/>
  <c r="H24" i="35"/>
  <c r="F25" i="35"/>
  <c r="F30" i="35"/>
  <c r="F35" i="35"/>
  <c r="F36" i="35"/>
  <c r="F42" i="35"/>
  <c r="F43" i="35"/>
  <c r="H43" i="35"/>
  <c r="F49" i="35"/>
  <c r="H49" i="35"/>
  <c r="J49" i="35"/>
  <c r="F50" i="35"/>
  <c r="H50" i="35"/>
  <c r="J50" i="35"/>
  <c r="H24" i="36"/>
  <c r="J24" i="36" s="1"/>
  <c r="F16" i="104"/>
  <c r="F18" i="104"/>
  <c r="J18" i="104"/>
  <c r="D20" i="104"/>
  <c r="A16" i="107"/>
  <c r="A17" i="107" s="1"/>
  <c r="A18" i="107" s="1"/>
  <c r="A19" i="107" s="1"/>
  <c r="A20" i="107" s="1"/>
  <c r="A21" i="107" s="1"/>
  <c r="A22" i="107" s="1"/>
  <c r="A23" i="107" s="1"/>
  <c r="A29" i="107"/>
  <c r="A30" i="107" s="1"/>
  <c r="A31" i="107" s="1"/>
  <c r="A32" i="107" s="1"/>
  <c r="A33" i="107" s="1"/>
  <c r="A34" i="107" s="1"/>
  <c r="A35" i="107" s="1"/>
  <c r="A36" i="107" s="1"/>
  <c r="D8" i="48"/>
  <c r="D8" i="49"/>
  <c r="D9" i="50"/>
  <c r="D35" i="50"/>
  <c r="D36" i="50"/>
  <c r="H21" i="51"/>
  <c r="J21" i="51"/>
  <c r="L21" i="51"/>
  <c r="N21" i="51"/>
  <c r="F29" i="51"/>
  <c r="J29" i="51"/>
  <c r="L29" i="51"/>
  <c r="N29" i="51"/>
  <c r="F36" i="51"/>
  <c r="H36" i="51"/>
  <c r="L36" i="51"/>
  <c r="N36" i="51"/>
  <c r="A138" i="51"/>
  <c r="A139" i="51" s="1"/>
  <c r="A140" i="51" s="1"/>
  <c r="A141" i="51" s="1"/>
  <c r="A142" i="51" s="1"/>
  <c r="A144" i="51" s="1"/>
  <c r="A146" i="51" s="1"/>
  <c r="A148" i="51" s="1"/>
  <c r="A155" i="51" s="1"/>
  <c r="A156" i="51" s="1"/>
  <c r="A157" i="51" s="1"/>
  <c r="A158" i="51" s="1"/>
  <c r="A159" i="51" s="1"/>
  <c r="A160" i="51" s="1"/>
  <c r="A161" i="51" s="1"/>
  <c r="A162" i="51" s="1"/>
  <c r="A163" i="51" s="1"/>
  <c r="A164" i="51" s="1"/>
  <c r="A165" i="51" s="1"/>
  <c r="A166" i="51" s="1"/>
  <c r="A167" i="51" s="1"/>
  <c r="A168" i="51" s="1"/>
  <c r="A169" i="51" s="1"/>
  <c r="A170" i="51" s="1"/>
  <c r="A171" i="51" s="1"/>
  <c r="A172" i="51" s="1"/>
  <c r="P156" i="51"/>
  <c r="P157" i="51"/>
  <c r="P12" i="193"/>
  <c r="P14" i="190"/>
  <c r="H31" i="46"/>
  <c r="H33" i="46" s="1"/>
  <c r="A16" i="69"/>
  <c r="A18" i="69" s="1"/>
  <c r="A20" i="69" s="1"/>
  <c r="A22" i="69" s="1"/>
  <c r="A24" i="69" s="1"/>
  <c r="A26" i="69" s="1"/>
  <c r="A28" i="69" s="1"/>
  <c r="A30" i="69" s="1"/>
  <c r="A32" i="69" s="1"/>
  <c r="B16" i="69"/>
  <c r="B18" i="69"/>
  <c r="B20" i="69"/>
  <c r="B22" i="69"/>
  <c r="B24" i="69"/>
  <c r="B26" i="69"/>
  <c r="B28" i="69"/>
  <c r="B30" i="69"/>
  <c r="H9" i="24"/>
  <c r="A16" i="24"/>
  <c r="A18" i="24" s="1"/>
  <c r="A20" i="24" s="1"/>
  <c r="A22" i="24" s="1"/>
  <c r="A24" i="24" s="1"/>
  <c r="A26" i="24" s="1"/>
  <c r="A28" i="24" s="1"/>
  <c r="A30" i="24" s="1"/>
  <c r="A32" i="24" s="1"/>
  <c r="B16" i="24"/>
  <c r="B18" i="24"/>
  <c r="B20" i="24"/>
  <c r="B22" i="24"/>
  <c r="B24" i="24"/>
  <c r="B26" i="24"/>
  <c r="B28" i="24"/>
  <c r="B30" i="24"/>
  <c r="K9" i="30"/>
  <c r="E8" i="31"/>
  <c r="A16" i="137"/>
  <c r="A17" i="137" s="1"/>
  <c r="A19" i="137" s="1"/>
  <c r="A21" i="137" s="1"/>
  <c r="A22" i="137" s="1"/>
  <c r="A23" i="137" s="1"/>
  <c r="A16" i="3"/>
  <c r="A17" i="3" s="1"/>
  <c r="A19" i="3" s="1"/>
  <c r="A21" i="3" s="1"/>
  <c r="A22" i="3" s="1"/>
  <c r="A23" i="3" s="1"/>
  <c r="A24" i="3" s="1"/>
  <c r="A25" i="3" s="1"/>
  <c r="A27" i="3" s="1"/>
  <c r="L50" i="35"/>
  <c r="N50" i="35"/>
  <c r="I21" i="100"/>
  <c r="E50" i="100"/>
  <c r="I22" i="243"/>
  <c r="I25" i="215"/>
  <c r="E34" i="231"/>
  <c r="E24" i="231"/>
  <c r="J30" i="231"/>
  <c r="M183" i="236"/>
  <c r="M171" i="207"/>
  <c r="M169" i="207"/>
  <c r="H155" i="207"/>
  <c r="M155" i="207" s="1"/>
  <c r="H167" i="209"/>
  <c r="H137" i="209"/>
  <c r="M137" i="209" s="1"/>
  <c r="H223" i="209"/>
  <c r="M223" i="209" s="1"/>
  <c r="H211" i="209"/>
  <c r="M211" i="209" s="1"/>
  <c r="G130" i="237"/>
  <c r="G134" i="237"/>
  <c r="G138" i="237"/>
  <c r="G142" i="237"/>
  <c r="G146" i="237"/>
  <c r="G153" i="237"/>
  <c r="G155" i="237"/>
  <c r="G157" i="237"/>
  <c r="G158" i="237"/>
  <c r="G169" i="237"/>
  <c r="G171" i="237"/>
  <c r="G123" i="237"/>
  <c r="G131" i="237"/>
  <c r="G135" i="237"/>
  <c r="G139" i="237"/>
  <c r="G143" i="237"/>
  <c r="G147" i="237"/>
  <c r="G156" i="237"/>
  <c r="G159" i="237"/>
  <c r="G166" i="237"/>
  <c r="G170" i="237"/>
  <c r="G172" i="237"/>
  <c r="G128" i="237"/>
  <c r="G132" i="237"/>
  <c r="G136" i="237"/>
  <c r="G140" i="237"/>
  <c r="G144" i="237"/>
  <c r="G148" i="237"/>
  <c r="G167" i="237"/>
  <c r="G173" i="237"/>
  <c r="G129" i="237"/>
  <c r="G133" i="237"/>
  <c r="G137" i="237"/>
  <c r="G141" i="237"/>
  <c r="G145" i="237"/>
  <c r="G154" i="237"/>
  <c r="G168" i="237"/>
  <c r="C51" i="238"/>
  <c r="H51" i="238" s="1"/>
  <c r="G210" i="237"/>
  <c r="G208" i="237"/>
  <c r="G215" i="237"/>
  <c r="G211" i="237"/>
  <c r="G209" i="237"/>
  <c r="G207" i="237"/>
  <c r="D150" i="237"/>
  <c r="I51" i="100"/>
  <c r="A8" i="69" l="1"/>
  <c r="A1" i="30"/>
  <c r="A1" i="231"/>
  <c r="I19" i="100"/>
  <c r="I49" i="100" s="1"/>
  <c r="A1" i="232"/>
  <c r="J34" i="106"/>
  <c r="J38" i="106"/>
  <c r="J42" i="106"/>
  <c r="J19" i="106"/>
  <c r="J23" i="106"/>
  <c r="J15" i="106"/>
  <c r="J37" i="106"/>
  <c r="J22" i="106"/>
  <c r="J31" i="106"/>
  <c r="J35" i="106"/>
  <c r="J39" i="106"/>
  <c r="J16" i="106"/>
  <c r="J20" i="106"/>
  <c r="J24" i="106"/>
  <c r="J41" i="106"/>
  <c r="J26" i="106"/>
  <c r="J32" i="106"/>
  <c r="J36" i="106"/>
  <c r="J40" i="106"/>
  <c r="J17" i="106"/>
  <c r="J21" i="106"/>
  <c r="J25" i="106"/>
  <c r="J33" i="106"/>
  <c r="J18" i="106"/>
  <c r="A214" i="207"/>
  <c r="A215" i="207" s="1"/>
  <c r="A216" i="207" s="1"/>
  <c r="A217" i="207" s="1"/>
  <c r="A218" i="207" s="1"/>
  <c r="A219" i="207" s="1"/>
  <c r="A220" i="207" s="1"/>
  <c r="A221" i="207" s="1"/>
  <c r="A222" i="207" s="1"/>
  <c r="A223" i="207" s="1"/>
  <c r="A224" i="207" s="1"/>
  <c r="A225" i="207" s="1"/>
  <c r="A226" i="207" s="1"/>
  <c r="A227" i="207" s="1"/>
  <c r="A228" i="207" s="1"/>
  <c r="A229" i="207" s="1"/>
  <c r="A230" i="207" s="1"/>
  <c r="A231" i="207" s="1"/>
  <c r="A232" i="207" s="1"/>
  <c r="A233" i="207" s="1"/>
  <c r="A234" i="207" s="1"/>
  <c r="A235" i="207" s="1"/>
  <c r="A236" i="207" s="1"/>
  <c r="A237" i="207" s="1"/>
  <c r="A238" i="207" s="1"/>
  <c r="A239" i="207" s="1"/>
  <c r="A240" i="207" s="1"/>
  <c r="A241" i="207" s="1"/>
  <c r="A242" i="207" s="1"/>
  <c r="A243" i="207" s="1"/>
  <c r="A244" i="207" s="1"/>
  <c r="A245" i="207" s="1"/>
  <c r="A246" i="207" s="1"/>
  <c r="A247" i="207" s="1"/>
  <c r="A248" i="207" s="1"/>
  <c r="A249" i="207" s="1"/>
  <c r="A250" i="207" s="1"/>
  <c r="A251" i="207" s="1"/>
  <c r="A252" i="207" s="1"/>
  <c r="A253" i="207" s="1"/>
  <c r="A254" i="207" s="1"/>
  <c r="I31" i="215"/>
  <c r="A1" i="215"/>
  <c r="A8" i="215"/>
  <c r="A2" i="231"/>
  <c r="A1" i="230"/>
  <c r="A1" i="233"/>
  <c r="H188" i="207"/>
  <c r="M187" i="207"/>
  <c r="A4" i="241"/>
  <c r="A4" i="230"/>
  <c r="L187" i="207"/>
  <c r="L162" i="236"/>
  <c r="L161" i="236"/>
  <c r="A2" i="232"/>
  <c r="A2" i="230"/>
  <c r="A2" i="233"/>
  <c r="F19" i="35"/>
  <c r="G21" i="84"/>
  <c r="O43" i="42" s="1"/>
  <c r="O45" i="42" s="1"/>
  <c r="D68" i="232"/>
  <c r="D70" i="232" s="1"/>
  <c r="E17" i="103"/>
  <c r="J24" i="30"/>
  <c r="P43" i="231"/>
  <c r="A24" i="137"/>
  <c r="A25" i="137" s="1"/>
  <c r="A27" i="137" s="1"/>
  <c r="T25" i="202"/>
  <c r="K25" i="4"/>
  <c r="E31" i="106"/>
  <c r="A7" i="31"/>
  <c r="A8" i="24"/>
  <c r="A8" i="30"/>
  <c r="E8" i="67"/>
  <c r="H9" i="69"/>
  <c r="L8" i="232"/>
  <c r="H20" i="104"/>
  <c r="M21" i="46" s="1"/>
  <c r="F20" i="104"/>
  <c r="N17" i="35"/>
  <c r="Q30" i="231"/>
  <c r="N137" i="209"/>
  <c r="A4" i="233"/>
  <c r="M167" i="209"/>
  <c r="F42" i="232"/>
  <c r="P38" i="232"/>
  <c r="J24" i="231"/>
  <c r="P24" i="231"/>
  <c r="M153" i="236"/>
  <c r="J30" i="232"/>
  <c r="Q30" i="232" s="1"/>
  <c r="P30" i="232"/>
  <c r="J34" i="231"/>
  <c r="J22" i="232"/>
  <c r="P22" i="232"/>
  <c r="A7" i="230"/>
  <c r="A7" i="209"/>
  <c r="H19" i="103"/>
  <c r="I19" i="103" s="1"/>
  <c r="L171" i="207"/>
  <c r="L154" i="207"/>
  <c r="L122" i="207"/>
  <c r="L169" i="213"/>
  <c r="L152" i="213"/>
  <c r="F31" i="30"/>
  <c r="L170" i="207"/>
  <c r="L153" i="207"/>
  <c r="L121" i="207"/>
  <c r="L172" i="213"/>
  <c r="L168" i="213"/>
  <c r="L155" i="213"/>
  <c r="F24" i="30"/>
  <c r="C28" i="215"/>
  <c r="L169" i="207"/>
  <c r="L152" i="207"/>
  <c r="L171" i="213"/>
  <c r="L154" i="213"/>
  <c r="L122" i="213"/>
  <c r="I16" i="239"/>
  <c r="L172" i="207"/>
  <c r="L155" i="207"/>
  <c r="L170" i="213"/>
  <c r="L153" i="213"/>
  <c r="L121" i="213"/>
  <c r="G188" i="207"/>
  <c r="A7" i="236"/>
  <c r="A7" i="233"/>
  <c r="A6" i="190"/>
  <c r="D26" i="30"/>
  <c r="J38" i="238"/>
  <c r="N49" i="35"/>
  <c r="L49" i="35"/>
  <c r="F26" i="35"/>
  <c r="A7" i="242"/>
  <c r="H50" i="202"/>
  <c r="N66" i="238"/>
  <c r="J33" i="30"/>
  <c r="F19" i="215"/>
  <c r="E66" i="238"/>
  <c r="D26" i="215"/>
  <c r="E23" i="37"/>
  <c r="E25" i="37" s="1"/>
  <c r="E27" i="37" s="1"/>
  <c r="K22" i="231"/>
  <c r="Q22" i="231" s="1"/>
  <c r="F26" i="231"/>
  <c r="K26" i="231" s="1"/>
  <c r="D33" i="30"/>
  <c r="F33" i="30" s="1"/>
  <c r="J37" i="238"/>
  <c r="L22" i="243"/>
  <c r="D33" i="215"/>
  <c r="G22" i="244"/>
  <c r="L252" i="213"/>
  <c r="D51" i="238"/>
  <c r="D161" i="51"/>
  <c r="L38" i="238"/>
  <c r="K38" i="232"/>
  <c r="Q38" i="232" s="1"/>
  <c r="E26" i="30"/>
  <c r="G22" i="243"/>
  <c r="F19" i="30"/>
  <c r="E32" i="215"/>
  <c r="F32" i="215" s="1"/>
  <c r="F32" i="231"/>
  <c r="K32" i="231" s="1"/>
  <c r="J27" i="30"/>
  <c r="N51" i="238"/>
  <c r="K51" i="238"/>
  <c r="F51" i="238"/>
  <c r="J20" i="104"/>
  <c r="G51" i="238"/>
  <c r="M51" i="238"/>
  <c r="I51" i="238"/>
  <c r="J51" i="238"/>
  <c r="E51" i="238"/>
  <c r="L51" i="238"/>
  <c r="H28" i="102"/>
  <c r="N33" i="10"/>
  <c r="M33" i="10"/>
  <c r="L33" i="10"/>
  <c r="K33" i="10"/>
  <c r="J33" i="10"/>
  <c r="P33" i="10"/>
  <c r="O33" i="10"/>
  <c r="R33" i="10"/>
  <c r="Q33" i="10"/>
  <c r="Q36" i="39"/>
  <c r="H30" i="41"/>
  <c r="H34" i="39"/>
  <c r="J34" i="39"/>
  <c r="I24" i="30"/>
  <c r="I32" i="30"/>
  <c r="H20" i="239"/>
  <c r="D39" i="226"/>
  <c r="E39" i="226" s="1"/>
  <c r="F39" i="226" s="1"/>
  <c r="G39" i="226" s="1"/>
  <c r="H39" i="226" s="1"/>
  <c r="I39" i="226" s="1"/>
  <c r="J39" i="226" s="1"/>
  <c r="K39" i="226" s="1"/>
  <c r="L39" i="226" s="1"/>
  <c r="M39" i="226" s="1"/>
  <c r="N39" i="226" s="1"/>
  <c r="O39" i="226" s="1"/>
  <c r="J24" i="247"/>
  <c r="H30" i="103"/>
  <c r="I26" i="105"/>
  <c r="I32" i="100"/>
  <c r="F147" i="248"/>
  <c r="J21" i="247"/>
  <c r="I21" i="105"/>
  <c r="D53" i="228"/>
  <c r="E53" i="228" s="1"/>
  <c r="F53" i="228" s="1"/>
  <c r="G53" i="228" s="1"/>
  <c r="H53" i="228" s="1"/>
  <c r="I53" i="228" s="1"/>
  <c r="J53" i="228" s="1"/>
  <c r="K53" i="228" s="1"/>
  <c r="L53" i="228" s="1"/>
  <c r="M53" i="228" s="1"/>
  <c r="N53" i="228" s="1"/>
  <c r="O53" i="228" s="1"/>
  <c r="H22" i="102"/>
  <c r="I25" i="100"/>
  <c r="H18" i="239"/>
  <c r="H23" i="103"/>
  <c r="I23" i="103" s="1"/>
  <c r="I31" i="105"/>
  <c r="J27" i="247"/>
  <c r="I39" i="100"/>
  <c r="D33" i="227"/>
  <c r="H22" i="239"/>
  <c r="H32" i="102"/>
  <c r="H33" i="102" s="1"/>
  <c r="N31" i="51"/>
  <c r="N38" i="51" s="1"/>
  <c r="L31" i="51"/>
  <c r="L38" i="51" s="1"/>
  <c r="J31" i="51"/>
  <c r="L50" i="238"/>
  <c r="J36" i="39"/>
  <c r="H36" i="39"/>
  <c r="J18" i="34"/>
  <c r="J20" i="34" s="1"/>
  <c r="H22" i="39"/>
  <c r="C20" i="103"/>
  <c r="O30" i="41"/>
  <c r="C21" i="215"/>
  <c r="P30" i="216"/>
  <c r="P25" i="216"/>
  <c r="H19" i="215" s="1"/>
  <c r="K19" i="215" s="1"/>
  <c r="P20" i="216"/>
  <c r="H18" i="215" s="1"/>
  <c r="K18" i="215" s="1"/>
  <c r="P15" i="216"/>
  <c r="H17" i="215" s="1"/>
  <c r="P30" i="214"/>
  <c r="H20" i="30" s="1"/>
  <c r="P25" i="214"/>
  <c r="H19" i="30" s="1"/>
  <c r="K19" i="30" s="1"/>
  <c r="C21" i="30"/>
  <c r="P15" i="214"/>
  <c r="H17" i="30" s="1"/>
  <c r="K17" i="30" s="1"/>
  <c r="P20" i="214"/>
  <c r="H18" i="30" s="1"/>
  <c r="K18" i="30" s="1"/>
  <c r="O25" i="39"/>
  <c r="O33" i="39" s="1"/>
  <c r="J30" i="39"/>
  <c r="H30" i="34"/>
  <c r="J35" i="39"/>
  <c r="I22" i="39"/>
  <c r="I22" i="41"/>
  <c r="I30" i="41"/>
  <c r="J22" i="41"/>
  <c r="J30" i="41"/>
  <c r="H30" i="39"/>
  <c r="I30" i="39"/>
  <c r="N55" i="10"/>
  <c r="D29" i="42"/>
  <c r="M55" i="10" s="1"/>
  <c r="M58" i="10" s="1"/>
  <c r="M60" i="10" s="1"/>
  <c r="I18" i="103"/>
  <c r="I20" i="103" s="1"/>
  <c r="P34" i="216"/>
  <c r="Q30" i="41"/>
  <c r="M22" i="39"/>
  <c r="R22" i="39"/>
  <c r="Q22" i="39"/>
  <c r="P26" i="44"/>
  <c r="D27" i="45" s="1"/>
  <c r="R30" i="41"/>
  <c r="M30" i="41"/>
  <c r="Q26" i="39"/>
  <c r="Q34" i="39" s="1"/>
  <c r="O22" i="39"/>
  <c r="P34" i="214"/>
  <c r="Q34" i="41"/>
  <c r="Q33" i="41"/>
  <c r="D170" i="51"/>
  <c r="K25" i="215"/>
  <c r="F31" i="215"/>
  <c r="A1" i="241"/>
  <c r="A1" i="243"/>
  <c r="A1" i="242"/>
  <c r="J50" i="238"/>
  <c r="H50" i="238"/>
  <c r="N50" i="238"/>
  <c r="E26" i="232"/>
  <c r="I33" i="41"/>
  <c r="I35" i="39"/>
  <c r="I33" i="39"/>
  <c r="J22" i="39"/>
  <c r="D23" i="37"/>
  <c r="D25" i="37" s="1"/>
  <c r="D27" i="37" s="1"/>
  <c r="D29" i="37" s="1"/>
  <c r="D31" i="37" s="1"/>
  <c r="D34" i="37" s="1"/>
  <c r="E28" i="1" s="1"/>
  <c r="H22" i="41"/>
  <c r="H33" i="39"/>
  <c r="G24" i="239"/>
  <c r="H26" i="35"/>
  <c r="I36" i="39"/>
  <c r="J33" i="41"/>
  <c r="D22" i="42"/>
  <c r="C24" i="239"/>
  <c r="L184" i="207"/>
  <c r="G248" i="236"/>
  <c r="L248" i="236" s="1"/>
  <c r="A7" i="226"/>
  <c r="A7" i="222"/>
  <c r="A6" i="193"/>
  <c r="I37" i="238"/>
  <c r="I38" i="238"/>
  <c r="F24" i="215"/>
  <c r="D38" i="238"/>
  <c r="M37" i="238"/>
  <c r="E38" i="238"/>
  <c r="M38" i="238"/>
  <c r="E25" i="215"/>
  <c r="F25" i="215" s="1"/>
  <c r="N38" i="238"/>
  <c r="F37" i="238"/>
  <c r="N37" i="238"/>
  <c r="F20" i="215"/>
  <c r="F18" i="215"/>
  <c r="G16" i="244"/>
  <c r="A8" i="190"/>
  <c r="A8" i="193"/>
  <c r="A7" i="190"/>
  <c r="A7" i="193"/>
  <c r="A7" i="227"/>
  <c r="D15" i="222"/>
  <c r="E15" i="222" s="1"/>
  <c r="A7" i="228"/>
  <c r="I23" i="8"/>
  <c r="I18" i="8"/>
  <c r="I38" i="190"/>
  <c r="E30" i="193"/>
  <c r="O18" i="35"/>
  <c r="J18" i="35" s="1"/>
  <c r="J66" i="238"/>
  <c r="L66" i="238"/>
  <c r="M66" i="238"/>
  <c r="J33" i="215"/>
  <c r="H145" i="209"/>
  <c r="M145" i="209" s="1"/>
  <c r="N145" i="209" s="1"/>
  <c r="D24" i="103"/>
  <c r="D26" i="103"/>
  <c r="E25" i="30"/>
  <c r="F25" i="30" s="1"/>
  <c r="K66" i="238"/>
  <c r="I137" i="209"/>
  <c r="H66" i="238"/>
  <c r="I66" i="238"/>
  <c r="H134" i="209"/>
  <c r="M134" i="209" s="1"/>
  <c r="N134" i="209" s="1"/>
  <c r="H150" i="209"/>
  <c r="M150" i="209" s="1"/>
  <c r="N150" i="209" s="1"/>
  <c r="E23" i="103"/>
  <c r="D25" i="103"/>
  <c r="G16" i="243"/>
  <c r="G257" i="236"/>
  <c r="G250" i="236"/>
  <c r="L250" i="236" s="1"/>
  <c r="L228" i="236"/>
  <c r="D66" i="238"/>
  <c r="H142" i="209"/>
  <c r="M142" i="209" s="1"/>
  <c r="N142" i="209" s="1"/>
  <c r="F40" i="232"/>
  <c r="E26" i="215"/>
  <c r="E32" i="30"/>
  <c r="F32" i="30" s="1"/>
  <c r="E33" i="215"/>
  <c r="G247" i="236"/>
  <c r="L247" i="236" s="1"/>
  <c r="G66" i="238"/>
  <c r="P50" i="202"/>
  <c r="G26" i="95"/>
  <c r="G43" i="10" s="1"/>
  <c r="H26" i="34"/>
  <c r="G38" i="190"/>
  <c r="E38" i="190"/>
  <c r="P13" i="193"/>
  <c r="F30" i="193"/>
  <c r="G30" i="193"/>
  <c r="H30" i="193"/>
  <c r="D24" i="244"/>
  <c r="C34" i="103"/>
  <c r="F45" i="233"/>
  <c r="D18" i="105"/>
  <c r="F200" i="237"/>
  <c r="F204" i="237"/>
  <c r="F202" i="237"/>
  <c r="F206" i="237"/>
  <c r="F205" i="237"/>
  <c r="G205" i="237"/>
  <c r="G200" i="237"/>
  <c r="G204" i="237"/>
  <c r="G202" i="237"/>
  <c r="G206" i="237"/>
  <c r="F152" i="209"/>
  <c r="H210" i="209"/>
  <c r="M210" i="209" s="1"/>
  <c r="H187" i="209"/>
  <c r="M187" i="209" s="1"/>
  <c r="E117" i="209"/>
  <c r="E180" i="209"/>
  <c r="E263" i="209" s="1"/>
  <c r="H190" i="209"/>
  <c r="M190" i="209" s="1"/>
  <c r="I24" i="243"/>
  <c r="L13" i="243"/>
  <c r="I19" i="99"/>
  <c r="G29" i="42"/>
  <c r="D13" i="243"/>
  <c r="G13" i="243" s="1"/>
  <c r="M18" i="35"/>
  <c r="I20" i="8"/>
  <c r="D41" i="231"/>
  <c r="I23" i="99"/>
  <c r="I16" i="99"/>
  <c r="C27" i="103"/>
  <c r="G13" i="244"/>
  <c r="I22" i="8"/>
  <c r="H141" i="236"/>
  <c r="M141" i="236" s="1"/>
  <c r="N141" i="236" s="1"/>
  <c r="H165" i="236"/>
  <c r="M228" i="236"/>
  <c r="G230" i="236"/>
  <c r="H133" i="236"/>
  <c r="M133" i="236" s="1"/>
  <c r="N133" i="236" s="1"/>
  <c r="H145" i="236"/>
  <c r="M145" i="236" s="1"/>
  <c r="N145" i="236" s="1"/>
  <c r="H129" i="236"/>
  <c r="M129" i="236" s="1"/>
  <c r="N129" i="236" s="1"/>
  <c r="H137" i="236"/>
  <c r="M137" i="236" s="1"/>
  <c r="N137" i="236" s="1"/>
  <c r="H154" i="236"/>
  <c r="H147" i="236"/>
  <c r="M147" i="236" s="1"/>
  <c r="N147" i="236" s="1"/>
  <c r="H143" i="236"/>
  <c r="M143" i="236" s="1"/>
  <c r="N143" i="236" s="1"/>
  <c r="H139" i="236"/>
  <c r="M139" i="236" s="1"/>
  <c r="N139" i="236" s="1"/>
  <c r="H135" i="236"/>
  <c r="M135" i="236" s="1"/>
  <c r="N135" i="236" s="1"/>
  <c r="H131" i="236"/>
  <c r="M131" i="236" s="1"/>
  <c r="N131" i="236" s="1"/>
  <c r="M122" i="236"/>
  <c r="H170" i="236"/>
  <c r="H172" i="236"/>
  <c r="H146" i="236"/>
  <c r="M146" i="236" s="1"/>
  <c r="N146" i="236" s="1"/>
  <c r="H142" i="236"/>
  <c r="M142" i="236" s="1"/>
  <c r="N142" i="236" s="1"/>
  <c r="H138" i="236"/>
  <c r="M138" i="236" s="1"/>
  <c r="N138" i="236" s="1"/>
  <c r="H134" i="236"/>
  <c r="M134" i="236" s="1"/>
  <c r="N134" i="236" s="1"/>
  <c r="H130" i="236"/>
  <c r="M130" i="236" s="1"/>
  <c r="N130" i="236" s="1"/>
  <c r="H164" i="236"/>
  <c r="H173" i="236"/>
  <c r="H148" i="236"/>
  <c r="M148" i="236" s="1"/>
  <c r="N148" i="236" s="1"/>
  <c r="H144" i="236"/>
  <c r="M144" i="236" s="1"/>
  <c r="N144" i="236" s="1"/>
  <c r="H140" i="236"/>
  <c r="M140" i="236" s="1"/>
  <c r="N140" i="236" s="1"/>
  <c r="H136" i="236"/>
  <c r="M136" i="236" s="1"/>
  <c r="N136" i="236" s="1"/>
  <c r="H132" i="236"/>
  <c r="M132" i="236" s="1"/>
  <c r="N132" i="236" s="1"/>
  <c r="H128" i="236"/>
  <c r="M128" i="236" s="1"/>
  <c r="N128" i="236" s="1"/>
  <c r="H168" i="236"/>
  <c r="H161" i="236"/>
  <c r="M161" i="236" s="1"/>
  <c r="H166" i="236"/>
  <c r="H171" i="236"/>
  <c r="E178" i="236"/>
  <c r="E117" i="236"/>
  <c r="H139" i="213"/>
  <c r="M139" i="213" s="1"/>
  <c r="N139" i="213" s="1"/>
  <c r="M121" i="213"/>
  <c r="H172" i="213"/>
  <c r="M172" i="213" s="1"/>
  <c r="H147" i="213"/>
  <c r="M147" i="213" s="1"/>
  <c r="N147" i="213" s="1"/>
  <c r="H142" i="213"/>
  <c r="M142" i="213" s="1"/>
  <c r="N142" i="213" s="1"/>
  <c r="H131" i="213"/>
  <c r="M131" i="213" s="1"/>
  <c r="N131" i="213" s="1"/>
  <c r="H169" i="213"/>
  <c r="M169" i="213" s="1"/>
  <c r="H143" i="213"/>
  <c r="M143" i="213" s="1"/>
  <c r="N143" i="213" s="1"/>
  <c r="H135" i="213"/>
  <c r="M135" i="213" s="1"/>
  <c r="N135" i="213" s="1"/>
  <c r="H127" i="213"/>
  <c r="M127" i="213" s="1"/>
  <c r="N127" i="213" s="1"/>
  <c r="H134" i="213"/>
  <c r="M134" i="213" s="1"/>
  <c r="N134" i="213" s="1"/>
  <c r="H168" i="213"/>
  <c r="M168" i="213" s="1"/>
  <c r="H152" i="213"/>
  <c r="M152" i="213" s="1"/>
  <c r="H141" i="213"/>
  <c r="M141" i="213" s="1"/>
  <c r="N141" i="213" s="1"/>
  <c r="H132" i="213"/>
  <c r="M132" i="213" s="1"/>
  <c r="N132" i="213" s="1"/>
  <c r="H138" i="213"/>
  <c r="M138" i="213" s="1"/>
  <c r="N138" i="213" s="1"/>
  <c r="H155" i="213"/>
  <c r="M155" i="213" s="1"/>
  <c r="H170" i="213"/>
  <c r="M170" i="213" s="1"/>
  <c r="H154" i="213"/>
  <c r="M154" i="213" s="1"/>
  <c r="H145" i="213"/>
  <c r="M145" i="213" s="1"/>
  <c r="N145" i="213" s="1"/>
  <c r="H137" i="213"/>
  <c r="M137" i="213" s="1"/>
  <c r="N137" i="213" s="1"/>
  <c r="H129" i="213"/>
  <c r="M129" i="213" s="1"/>
  <c r="N129" i="213" s="1"/>
  <c r="H130" i="213"/>
  <c r="M130" i="213" s="1"/>
  <c r="N130" i="213" s="1"/>
  <c r="H146" i="213"/>
  <c r="M146" i="213" s="1"/>
  <c r="N146" i="213" s="1"/>
  <c r="H171" i="213"/>
  <c r="M171" i="213" s="1"/>
  <c r="L243" i="213"/>
  <c r="G261" i="213"/>
  <c r="L254" i="213"/>
  <c r="L230" i="213"/>
  <c r="G224" i="213"/>
  <c r="L253" i="213"/>
  <c r="E176" i="213"/>
  <c r="L255" i="213"/>
  <c r="L233" i="213"/>
  <c r="G209" i="209"/>
  <c r="L209" i="209" s="1"/>
  <c r="G223" i="209"/>
  <c r="L223" i="209" s="1"/>
  <c r="I20" i="30"/>
  <c r="I34" i="30" s="1"/>
  <c r="D34" i="30"/>
  <c r="D27" i="30"/>
  <c r="I20" i="215"/>
  <c r="I27" i="215" s="1"/>
  <c r="D27" i="215"/>
  <c r="D34" i="215"/>
  <c r="M254" i="213"/>
  <c r="H261" i="213"/>
  <c r="M261" i="213" s="1"/>
  <c r="F149" i="213"/>
  <c r="L191" i="207"/>
  <c r="F20" i="30"/>
  <c r="H173" i="209"/>
  <c r="H140" i="209"/>
  <c r="H259" i="209"/>
  <c r="M259" i="209" s="1"/>
  <c r="H206" i="213"/>
  <c r="M206" i="213" s="1"/>
  <c r="H234" i="213"/>
  <c r="M234" i="213" s="1"/>
  <c r="H250" i="213"/>
  <c r="M250" i="213" s="1"/>
  <c r="L229" i="213"/>
  <c r="G250" i="213"/>
  <c r="G251" i="213"/>
  <c r="H209" i="213"/>
  <c r="M209" i="213" s="1"/>
  <c r="G249" i="213"/>
  <c r="H204" i="213"/>
  <c r="M204" i="213" s="1"/>
  <c r="G248" i="213"/>
  <c r="H210" i="213"/>
  <c r="M210" i="213" s="1"/>
  <c r="H203" i="213"/>
  <c r="M203" i="213" s="1"/>
  <c r="G247" i="213"/>
  <c r="G246" i="213"/>
  <c r="G244" i="213"/>
  <c r="E114" i="213"/>
  <c r="H205" i="213"/>
  <c r="M205" i="213" s="1"/>
  <c r="H194" i="213"/>
  <c r="M194" i="213" s="1"/>
  <c r="G242" i="213"/>
  <c r="G232" i="213"/>
  <c r="H202" i="213"/>
  <c r="M202" i="213" s="1"/>
  <c r="M254" i="207"/>
  <c r="M255" i="207"/>
  <c r="M172" i="207"/>
  <c r="N133" i="207"/>
  <c r="H153" i="207"/>
  <c r="M153" i="207" s="1"/>
  <c r="I133" i="207"/>
  <c r="H152" i="207"/>
  <c r="M152" i="207" s="1"/>
  <c r="H154" i="207"/>
  <c r="M154" i="207" s="1"/>
  <c r="M170" i="207"/>
  <c r="M230" i="207"/>
  <c r="M233" i="207"/>
  <c r="L230" i="207"/>
  <c r="E114" i="207"/>
  <c r="H178" i="207"/>
  <c r="M178" i="207" s="1"/>
  <c r="H147" i="207"/>
  <c r="M147" i="207" s="1"/>
  <c r="N147" i="207" s="1"/>
  <c r="H146" i="207"/>
  <c r="M146" i="207" s="1"/>
  <c r="N146" i="207" s="1"/>
  <c r="E176" i="207"/>
  <c r="E263" i="207" s="1"/>
  <c r="H144" i="207"/>
  <c r="M144" i="207" s="1"/>
  <c r="N144" i="207" s="1"/>
  <c r="H130" i="207"/>
  <c r="M130" i="207" s="1"/>
  <c r="N130" i="207" s="1"/>
  <c r="G252" i="207"/>
  <c r="L185" i="207"/>
  <c r="G250" i="207"/>
  <c r="G246" i="207"/>
  <c r="G261" i="207"/>
  <c r="G249" i="207"/>
  <c r="L243" i="207"/>
  <c r="L253" i="207"/>
  <c r="G248" i="207"/>
  <c r="G242" i="207"/>
  <c r="F41" i="231"/>
  <c r="P41" i="231" s="1"/>
  <c r="H251" i="236"/>
  <c r="M251" i="236" s="1"/>
  <c r="H143" i="207"/>
  <c r="M143" i="207" s="1"/>
  <c r="N143" i="207" s="1"/>
  <c r="G244" i="207"/>
  <c r="L230" i="209"/>
  <c r="G204" i="213"/>
  <c r="D50" i="238"/>
  <c r="H248" i="236"/>
  <c r="M248" i="236" s="1"/>
  <c r="H230" i="236"/>
  <c r="M230" i="236" s="1"/>
  <c r="H136" i="207"/>
  <c r="M136" i="207" s="1"/>
  <c r="N136" i="207" s="1"/>
  <c r="J32" i="30"/>
  <c r="J25" i="30"/>
  <c r="K25" i="30" s="1"/>
  <c r="M183" i="207"/>
  <c r="G234" i="207"/>
  <c r="F26" i="232"/>
  <c r="K26" i="232" s="1"/>
  <c r="E32" i="232"/>
  <c r="H176" i="209"/>
  <c r="H175" i="209"/>
  <c r="H169" i="209"/>
  <c r="H143" i="209"/>
  <c r="H130" i="209"/>
  <c r="M130" i="209" s="1"/>
  <c r="G210" i="209"/>
  <c r="L210" i="209" s="1"/>
  <c r="G259" i="209"/>
  <c r="L259" i="209" s="1"/>
  <c r="H207" i="213"/>
  <c r="M207" i="213" s="1"/>
  <c r="H197" i="213"/>
  <c r="M197" i="213" s="1"/>
  <c r="G234" i="213"/>
  <c r="D23" i="102"/>
  <c r="H174" i="236"/>
  <c r="H148" i="209"/>
  <c r="H138" i="209"/>
  <c r="H212" i="209"/>
  <c r="M212" i="209" s="1"/>
  <c r="F34" i="231"/>
  <c r="P34" i="231" s="1"/>
  <c r="H123" i="236"/>
  <c r="M123" i="236" s="1"/>
  <c r="G249" i="236"/>
  <c r="L249" i="236" s="1"/>
  <c r="G246" i="236"/>
  <c r="L246" i="236" s="1"/>
  <c r="G231" i="236"/>
  <c r="L229" i="236"/>
  <c r="M261" i="207"/>
  <c r="H127" i="207"/>
  <c r="M127" i="207" s="1"/>
  <c r="N127" i="207" s="1"/>
  <c r="H251" i="207"/>
  <c r="M251" i="207" s="1"/>
  <c r="H248" i="207"/>
  <c r="M248" i="207" s="1"/>
  <c r="H171" i="209"/>
  <c r="H157" i="209"/>
  <c r="H146" i="209"/>
  <c r="H135" i="209"/>
  <c r="M135" i="209" s="1"/>
  <c r="G211" i="209"/>
  <c r="L211" i="209" s="1"/>
  <c r="H224" i="213"/>
  <c r="H208" i="213"/>
  <c r="M208" i="213" s="1"/>
  <c r="H252" i="213"/>
  <c r="G187" i="209"/>
  <c r="L187" i="209" s="1"/>
  <c r="K39" i="231"/>
  <c r="Q39" i="231" s="1"/>
  <c r="H195" i="213"/>
  <c r="M195" i="213" s="1"/>
  <c r="H190" i="213"/>
  <c r="M190" i="213" s="1"/>
  <c r="H188" i="213"/>
  <c r="M188" i="213" s="1"/>
  <c r="H231" i="213"/>
  <c r="M231" i="213" s="1"/>
  <c r="H138" i="207"/>
  <c r="M138" i="207" s="1"/>
  <c r="N138" i="207" s="1"/>
  <c r="H185" i="213"/>
  <c r="M185" i="213" s="1"/>
  <c r="H135" i="207"/>
  <c r="M135" i="207" s="1"/>
  <c r="N135" i="207" s="1"/>
  <c r="F44" i="232"/>
  <c r="P44" i="232" s="1"/>
  <c r="H174" i="209"/>
  <c r="H172" i="209"/>
  <c r="H170" i="209"/>
  <c r="H168" i="209"/>
  <c r="H166" i="209"/>
  <c r="H159" i="209"/>
  <c r="H158" i="209"/>
  <c r="H156" i="209"/>
  <c r="H155" i="209"/>
  <c r="H149" i="209"/>
  <c r="H147" i="209"/>
  <c r="M147" i="209" s="1"/>
  <c r="N147" i="209" s="1"/>
  <c r="H144" i="209"/>
  <c r="H141" i="209"/>
  <c r="H139" i="209"/>
  <c r="H136" i="209"/>
  <c r="H217" i="209"/>
  <c r="M217" i="209" s="1"/>
  <c r="H213" i="209"/>
  <c r="M213" i="209" s="1"/>
  <c r="H209" i="209"/>
  <c r="M209" i="209" s="1"/>
  <c r="H198" i="213"/>
  <c r="M198" i="213" s="1"/>
  <c r="H193" i="213"/>
  <c r="M193" i="213" s="1"/>
  <c r="H189" i="213"/>
  <c r="M189" i="213" s="1"/>
  <c r="F149" i="207"/>
  <c r="L30" i="34"/>
  <c r="J30" i="34"/>
  <c r="I21" i="8"/>
  <c r="I16" i="8"/>
  <c r="G124" i="10"/>
  <c r="H38" i="190"/>
  <c r="I20" i="99"/>
  <c r="I17" i="99"/>
  <c r="C35" i="30"/>
  <c r="F29" i="42"/>
  <c r="F19" i="42"/>
  <c r="F22" i="42" s="1"/>
  <c r="H20" i="34"/>
  <c r="I17" i="8"/>
  <c r="J124" i="10"/>
  <c r="R30" i="39"/>
  <c r="P16" i="192"/>
  <c r="Q33" i="39"/>
  <c r="C35" i="215"/>
  <c r="H18" i="105"/>
  <c r="G19" i="42"/>
  <c r="G22" i="42" s="1"/>
  <c r="E29" i="42"/>
  <c r="E20" i="103"/>
  <c r="G43" i="103"/>
  <c r="E19" i="42"/>
  <c r="E22" i="42" s="1"/>
  <c r="P50" i="216"/>
  <c r="H34" i="215" s="1"/>
  <c r="P46" i="214"/>
  <c r="H32" i="30" s="1"/>
  <c r="P44" i="214"/>
  <c r="H31" i="30" s="1"/>
  <c r="K31" i="30" s="1"/>
  <c r="P48" i="216"/>
  <c r="H33" i="215" s="1"/>
  <c r="P46" i="216"/>
  <c r="H32" i="215" s="1"/>
  <c r="I18" i="99"/>
  <c r="J38" i="42"/>
  <c r="H57" i="10" s="1"/>
  <c r="I22" i="99"/>
  <c r="P50" i="214"/>
  <c r="H34" i="30" s="1"/>
  <c r="I22" i="244"/>
  <c r="I24" i="244" s="1"/>
  <c r="P44" i="216"/>
  <c r="H31" i="215" s="1"/>
  <c r="H132" i="209"/>
  <c r="H125" i="209"/>
  <c r="M125" i="209" s="1"/>
  <c r="H178" i="213"/>
  <c r="H133" i="209"/>
  <c r="H131" i="209"/>
  <c r="E27" i="30"/>
  <c r="E34" i="30"/>
  <c r="H247" i="236"/>
  <c r="M247" i="236" s="1"/>
  <c r="H231" i="236"/>
  <c r="M231" i="236" s="1"/>
  <c r="H252" i="207"/>
  <c r="H249" i="207"/>
  <c r="M249" i="207" s="1"/>
  <c r="F32" i="232"/>
  <c r="H251" i="213"/>
  <c r="E27" i="215"/>
  <c r="E34" i="215"/>
  <c r="G19" i="243"/>
  <c r="H250" i="236"/>
  <c r="M250" i="236" s="1"/>
  <c r="H246" i="207"/>
  <c r="M246" i="207" s="1"/>
  <c r="H232" i="207"/>
  <c r="M232" i="207" s="1"/>
  <c r="G19" i="244"/>
  <c r="H247" i="207"/>
  <c r="M247" i="207" s="1"/>
  <c r="H242" i="207"/>
  <c r="M242" i="207" s="1"/>
  <c r="M229" i="207"/>
  <c r="F34" i="232"/>
  <c r="K34" i="232" s="1"/>
  <c r="K24" i="231"/>
  <c r="K22" i="232"/>
  <c r="L16" i="243"/>
  <c r="J32" i="231"/>
  <c r="L19" i="243"/>
  <c r="L19" i="244"/>
  <c r="E34" i="232"/>
  <c r="G231" i="207"/>
  <c r="G231" i="213"/>
  <c r="F50" i="238"/>
  <c r="L183" i="207"/>
  <c r="G212" i="209"/>
  <c r="L212" i="209" s="1"/>
  <c r="G190" i="209"/>
  <c r="L190" i="209" s="1"/>
  <c r="E24" i="232"/>
  <c r="P24" i="232" s="1"/>
  <c r="G217" i="209"/>
  <c r="L217" i="209" s="1"/>
  <c r="G213" i="209"/>
  <c r="L213" i="209" s="1"/>
  <c r="G191" i="209"/>
  <c r="L191" i="209" s="1"/>
  <c r="I26" i="215"/>
  <c r="K26" i="215" s="1"/>
  <c r="I33" i="215"/>
  <c r="G205" i="213"/>
  <c r="G185" i="213"/>
  <c r="L16" i="244"/>
  <c r="L40" i="51"/>
  <c r="L42" i="51" s="1"/>
  <c r="R66" i="10"/>
  <c r="R64" i="10"/>
  <c r="I50" i="100"/>
  <c r="K124" i="10"/>
  <c r="F150" i="236"/>
  <c r="P64" i="10"/>
  <c r="P66" i="10"/>
  <c r="Q66" i="10"/>
  <c r="Q64" i="10"/>
  <c r="O66" i="10"/>
  <c r="O64" i="10"/>
  <c r="N40" i="51"/>
  <c r="N42" i="51" s="1"/>
  <c r="L124" i="10"/>
  <c r="A5" i="51"/>
  <c r="A2" i="241"/>
  <c r="A2" i="242"/>
  <c r="A2" i="243"/>
  <c r="A2" i="215"/>
  <c r="F18" i="30"/>
  <c r="A2" i="30"/>
  <c r="H124" i="10"/>
  <c r="C28" i="30"/>
  <c r="I33" i="30"/>
  <c r="I26" i="30"/>
  <c r="K26" i="30" s="1"/>
  <c r="L38" i="42"/>
  <c r="G57" i="10" s="1"/>
  <c r="P48" i="214"/>
  <c r="H33" i="30" s="1"/>
  <c r="L13" i="244"/>
  <c r="K43" i="231"/>
  <c r="Q43" i="231" s="1"/>
  <c r="L135" i="209"/>
  <c r="L130" i="209"/>
  <c r="L125" i="209"/>
  <c r="E26" i="231"/>
  <c r="H249" i="236"/>
  <c r="M249" i="236" s="1"/>
  <c r="H246" i="236"/>
  <c r="M246" i="236" s="1"/>
  <c r="M229" i="236"/>
  <c r="H142" i="207"/>
  <c r="M142" i="207" s="1"/>
  <c r="N142" i="207" s="1"/>
  <c r="H139" i="207"/>
  <c r="M139" i="207" s="1"/>
  <c r="N139" i="207" s="1"/>
  <c r="H134" i="207"/>
  <c r="M134" i="207" s="1"/>
  <c r="N134" i="207" s="1"/>
  <c r="H131" i="207"/>
  <c r="M131" i="207" s="1"/>
  <c r="N131" i="207" s="1"/>
  <c r="H122" i="207"/>
  <c r="M122" i="207" s="1"/>
  <c r="M121" i="207"/>
  <c r="I21" i="99"/>
  <c r="F45" i="231"/>
  <c r="H169" i="236"/>
  <c r="H167" i="236"/>
  <c r="H163" i="236"/>
  <c r="H162" i="236"/>
  <c r="H155" i="236"/>
  <c r="H140" i="207"/>
  <c r="M140" i="207" s="1"/>
  <c r="N140" i="207" s="1"/>
  <c r="H129" i="207"/>
  <c r="M129" i="207" s="1"/>
  <c r="N129" i="207" s="1"/>
  <c r="H132" i="207"/>
  <c r="M132" i="207" s="1"/>
  <c r="N132" i="207" s="1"/>
  <c r="H137" i="207"/>
  <c r="M137" i="207" s="1"/>
  <c r="N137" i="207" s="1"/>
  <c r="H141" i="207"/>
  <c r="M141" i="207" s="1"/>
  <c r="N141" i="207" s="1"/>
  <c r="H145" i="207"/>
  <c r="M145" i="207" s="1"/>
  <c r="N145" i="207" s="1"/>
  <c r="J27" i="215"/>
  <c r="J34" i="215"/>
  <c r="H128" i="207"/>
  <c r="M128" i="207" s="1"/>
  <c r="N128" i="207" s="1"/>
  <c r="G232" i="207"/>
  <c r="H231" i="207"/>
  <c r="L229" i="207"/>
  <c r="J32" i="215"/>
  <c r="H153" i="213"/>
  <c r="H144" i="213"/>
  <c r="H136" i="213"/>
  <c r="H128" i="213"/>
  <c r="G210" i="213"/>
  <c r="G203" i="213"/>
  <c r="G202" i="213"/>
  <c r="G200" i="213"/>
  <c r="H232" i="213"/>
  <c r="M253" i="207"/>
  <c r="G251" i="207"/>
  <c r="H250" i="207"/>
  <c r="G247" i="207"/>
  <c r="H244" i="207"/>
  <c r="M244" i="207" s="1"/>
  <c r="M243" i="207"/>
  <c r="H234" i="207"/>
  <c r="M234" i="207" s="1"/>
  <c r="H191" i="209"/>
  <c r="M191" i="209" s="1"/>
  <c r="G209" i="213"/>
  <c r="G208" i="213"/>
  <c r="G207" i="213"/>
  <c r="G206" i="213"/>
  <c r="G198" i="213"/>
  <c r="G197" i="213"/>
  <c r="G195" i="213"/>
  <c r="G194" i="213"/>
  <c r="H249" i="213"/>
  <c r="F38" i="238"/>
  <c r="G38" i="238"/>
  <c r="K38" i="238"/>
  <c r="H167" i="213"/>
  <c r="M167" i="213" s="1"/>
  <c r="H140" i="213"/>
  <c r="H133" i="213"/>
  <c r="G193" i="213"/>
  <c r="G190" i="213"/>
  <c r="G189" i="213"/>
  <c r="G188" i="213"/>
  <c r="M229" i="213"/>
  <c r="H242" i="213"/>
  <c r="H244" i="213"/>
  <c r="H246" i="213"/>
  <c r="H248" i="213"/>
  <c r="H247" i="213"/>
  <c r="F209" i="237"/>
  <c r="F210" i="237"/>
  <c r="F207" i="237"/>
  <c r="F211" i="237"/>
  <c r="F215" i="237"/>
  <c r="F208" i="237"/>
  <c r="M50" i="238"/>
  <c r="K37" i="238"/>
  <c r="I50" i="238"/>
  <c r="G37" i="238"/>
  <c r="E50" i="238"/>
  <c r="L37" i="238"/>
  <c r="K50" i="238"/>
  <c r="H37" i="238"/>
  <c r="D37" i="238"/>
  <c r="M30" i="39"/>
  <c r="I26" i="8" l="1"/>
  <c r="I26" i="99"/>
  <c r="H189" i="207"/>
  <c r="M188" i="207"/>
  <c r="I224" i="213"/>
  <c r="L261" i="213"/>
  <c r="N261" i="213" s="1"/>
  <c r="L231" i="236"/>
  <c r="L224" i="213"/>
  <c r="L261" i="207"/>
  <c r="I261" i="207"/>
  <c r="A255" i="207"/>
  <c r="A256" i="207" s="1"/>
  <c r="A257" i="207" s="1"/>
  <c r="A258" i="207" s="1"/>
  <c r="A259" i="207" s="1"/>
  <c r="A260" i="207" s="1"/>
  <c r="A261" i="207" s="1"/>
  <c r="A262" i="207" s="1"/>
  <c r="A263" i="207" s="1"/>
  <c r="A264" i="207" s="1"/>
  <c r="A265" i="207" s="1"/>
  <c r="L188" i="207"/>
  <c r="F33" i="215"/>
  <c r="F26" i="30"/>
  <c r="Q32" i="231"/>
  <c r="Q22" i="232"/>
  <c r="P26" i="231"/>
  <c r="K40" i="232"/>
  <c r="Q40" i="232" s="1"/>
  <c r="P40" i="232"/>
  <c r="M167" i="236"/>
  <c r="J32" i="232"/>
  <c r="P32" i="232"/>
  <c r="M168" i="236"/>
  <c r="M170" i="236"/>
  <c r="P32" i="231"/>
  <c r="M169" i="236"/>
  <c r="M171" i="236"/>
  <c r="J26" i="232"/>
  <c r="Q26" i="232" s="1"/>
  <c r="P26" i="232"/>
  <c r="M173" i="236"/>
  <c r="M172" i="236"/>
  <c r="P34" i="232"/>
  <c r="M164" i="236"/>
  <c r="M154" i="236"/>
  <c r="M165" i="236"/>
  <c r="K42" i="232"/>
  <c r="Q42" i="232" s="1"/>
  <c r="P42" i="232"/>
  <c r="M162" i="236"/>
  <c r="K45" i="231"/>
  <c r="Q45" i="231" s="1"/>
  <c r="P45" i="231"/>
  <c r="M173" i="209"/>
  <c r="M166" i="236"/>
  <c r="Q24" i="231"/>
  <c r="L234" i="207"/>
  <c r="L246" i="207"/>
  <c r="L252" i="207"/>
  <c r="L244" i="207"/>
  <c r="L242" i="207"/>
  <c r="G189" i="207"/>
  <c r="L248" i="207"/>
  <c r="L249" i="207"/>
  <c r="L250" i="207"/>
  <c r="L231" i="207"/>
  <c r="D33" i="193"/>
  <c r="E41" i="190"/>
  <c r="F41" i="190"/>
  <c r="G41" i="190"/>
  <c r="H41" i="190"/>
  <c r="I41" i="190"/>
  <c r="H33" i="193"/>
  <c r="G33" i="193"/>
  <c r="F33" i="193"/>
  <c r="E33" i="193"/>
  <c r="E261" i="236"/>
  <c r="K32" i="30"/>
  <c r="F27" i="215"/>
  <c r="F26" i="215"/>
  <c r="H130" i="10"/>
  <c r="H128" i="10" s="1"/>
  <c r="G130" i="10"/>
  <c r="G128" i="10" s="1"/>
  <c r="D31" i="42"/>
  <c r="D42" i="42" s="1"/>
  <c r="D45" i="42" s="1"/>
  <c r="F27" i="30"/>
  <c r="I143" i="236"/>
  <c r="N135" i="209"/>
  <c r="L247" i="213"/>
  <c r="L232" i="213"/>
  <c r="L249" i="213"/>
  <c r="L230" i="236"/>
  <c r="L257" i="236"/>
  <c r="L242" i="213"/>
  <c r="L244" i="213"/>
  <c r="L246" i="213"/>
  <c r="L248" i="213"/>
  <c r="L251" i="213"/>
  <c r="J55" i="10"/>
  <c r="J58" i="10" s="1"/>
  <c r="J60" i="10" s="1"/>
  <c r="J62" i="10" s="1"/>
  <c r="H32" i="34"/>
  <c r="O30" i="39"/>
  <c r="H42" i="35"/>
  <c r="I34" i="215"/>
  <c r="K34" i="215" s="1"/>
  <c r="G24" i="244"/>
  <c r="D23" i="137" s="1"/>
  <c r="F79" i="248"/>
  <c r="J25" i="34"/>
  <c r="J23" i="34"/>
  <c r="G31" i="42"/>
  <c r="G42" i="42" s="1"/>
  <c r="G45" i="42" s="1"/>
  <c r="G24" i="243"/>
  <c r="D23" i="3" s="1"/>
  <c r="H23" i="102"/>
  <c r="N58" i="10"/>
  <c r="N60" i="10" s="1"/>
  <c r="N62" i="10" s="1"/>
  <c r="M62" i="10"/>
  <c r="M66" i="10" s="1"/>
  <c r="E31" i="42"/>
  <c r="E42" i="42" s="1"/>
  <c r="E45" i="42" s="1"/>
  <c r="K55" i="10"/>
  <c r="K58" i="10" s="1"/>
  <c r="K60" i="10" s="1"/>
  <c r="L20" i="34"/>
  <c r="E33" i="227"/>
  <c r="F33" i="227" s="1"/>
  <c r="G33" i="227" s="1"/>
  <c r="H33" i="227" s="1"/>
  <c r="I33" i="227" s="1"/>
  <c r="J33" i="227" s="1"/>
  <c r="K33" i="227" s="1"/>
  <c r="L33" i="227" s="1"/>
  <c r="M33" i="227" s="1"/>
  <c r="N33" i="227" s="1"/>
  <c r="O33" i="227" s="1"/>
  <c r="H25" i="103"/>
  <c r="I25" i="103" s="1"/>
  <c r="H24" i="103"/>
  <c r="I24" i="103" s="1"/>
  <c r="H26" i="103"/>
  <c r="I26" i="103" s="1"/>
  <c r="I34" i="100"/>
  <c r="I33" i="100"/>
  <c r="I35" i="100"/>
  <c r="I41" i="100"/>
  <c r="I40" i="100"/>
  <c r="I42" i="100"/>
  <c r="I28" i="100"/>
  <c r="I27" i="100"/>
  <c r="I26" i="100"/>
  <c r="C37" i="215"/>
  <c r="I34" i="99"/>
  <c r="K34" i="99" s="1"/>
  <c r="Q45" i="230"/>
  <c r="I41" i="231" s="1"/>
  <c r="G45" i="233"/>
  <c r="H24" i="215"/>
  <c r="H24" i="30"/>
  <c r="C37" i="30"/>
  <c r="K33" i="215"/>
  <c r="H35" i="215"/>
  <c r="K17" i="215"/>
  <c r="H21" i="215"/>
  <c r="H21" i="30"/>
  <c r="K32" i="215"/>
  <c r="L55" i="10"/>
  <c r="L58" i="10" s="1"/>
  <c r="L60" i="10" s="1"/>
  <c r="D44" i="50"/>
  <c r="D25" i="51"/>
  <c r="Q30" i="39"/>
  <c r="Q35" i="41"/>
  <c r="I139" i="236"/>
  <c r="I27" i="30"/>
  <c r="K27" i="30" s="1"/>
  <c r="F21" i="215"/>
  <c r="F31" i="42"/>
  <c r="F42" i="42" s="1"/>
  <c r="F45" i="42" s="1"/>
  <c r="I145" i="209"/>
  <c r="I134" i="209"/>
  <c r="I150" i="209"/>
  <c r="I142" i="209"/>
  <c r="E263" i="213"/>
  <c r="I135" i="213"/>
  <c r="C43" i="103"/>
  <c r="D60" i="51"/>
  <c r="D50" i="51"/>
  <c r="E28" i="100"/>
  <c r="E27" i="100"/>
  <c r="F34" i="215"/>
  <c r="F34" i="30"/>
  <c r="F35" i="30" s="1"/>
  <c r="I129" i="236"/>
  <c r="E26" i="100"/>
  <c r="E56" i="100" s="1"/>
  <c r="E18" i="239"/>
  <c r="I18" i="239"/>
  <c r="K27" i="215"/>
  <c r="K20" i="215"/>
  <c r="I130" i="209"/>
  <c r="I146" i="236"/>
  <c r="F25" i="100"/>
  <c r="E55" i="100"/>
  <c r="F15" i="222"/>
  <c r="G15" i="222" s="1"/>
  <c r="H15" i="222" s="1"/>
  <c r="I15" i="222" s="1"/>
  <c r="J15" i="222" s="1"/>
  <c r="K15" i="222" s="1"/>
  <c r="L15" i="222" s="1"/>
  <c r="M15" i="222" s="1"/>
  <c r="N15" i="222" s="1"/>
  <c r="O15" i="222" s="1"/>
  <c r="I34" i="8"/>
  <c r="K34" i="8" s="1"/>
  <c r="O19" i="35"/>
  <c r="J19" i="35" s="1"/>
  <c r="O21" i="35"/>
  <c r="I55" i="100"/>
  <c r="J25" i="100"/>
  <c r="I138" i="213"/>
  <c r="E25" i="103"/>
  <c r="E26" i="103"/>
  <c r="E24" i="103"/>
  <c r="N130" i="209"/>
  <c r="D24" i="243"/>
  <c r="L18" i="35"/>
  <c r="M19" i="35"/>
  <c r="N18" i="35"/>
  <c r="M21" i="35"/>
  <c r="I141" i="236"/>
  <c r="I133" i="236"/>
  <c r="I137" i="236"/>
  <c r="I145" i="236"/>
  <c r="I130" i="236"/>
  <c r="I138" i="236"/>
  <c r="I147" i="236"/>
  <c r="I140" i="236"/>
  <c r="I148" i="236"/>
  <c r="I132" i="236"/>
  <c r="N150" i="236"/>
  <c r="I142" i="236"/>
  <c r="I136" i="236"/>
  <c r="I131" i="236"/>
  <c r="I134" i="236"/>
  <c r="I128" i="236"/>
  <c r="I144" i="236"/>
  <c r="I135" i="236"/>
  <c r="I146" i="213"/>
  <c r="I127" i="213"/>
  <c r="I142" i="213"/>
  <c r="I139" i="213"/>
  <c r="I132" i="213"/>
  <c r="I137" i="213"/>
  <c r="I131" i="213"/>
  <c r="I134" i="213"/>
  <c r="I147" i="213"/>
  <c r="I141" i="213"/>
  <c r="I143" i="213"/>
  <c r="I130" i="213"/>
  <c r="I145" i="213"/>
  <c r="I129" i="213"/>
  <c r="F21" i="30"/>
  <c r="L24" i="243"/>
  <c r="F23" i="3" s="1"/>
  <c r="K20" i="30"/>
  <c r="K21" i="30" s="1"/>
  <c r="E16" i="31" s="1"/>
  <c r="K34" i="30"/>
  <c r="M140" i="209"/>
  <c r="N140" i="209" s="1"/>
  <c r="I140" i="209"/>
  <c r="M233" i="213"/>
  <c r="L250" i="213"/>
  <c r="L255" i="207"/>
  <c r="L254" i="207"/>
  <c r="L233" i="207"/>
  <c r="I130" i="207"/>
  <c r="I146" i="207"/>
  <c r="I147" i="207"/>
  <c r="I144" i="207"/>
  <c r="I138" i="207"/>
  <c r="I136" i="207"/>
  <c r="K41" i="231"/>
  <c r="Q41" i="231" s="1"/>
  <c r="G41" i="231"/>
  <c r="L204" i="213"/>
  <c r="I143" i="207"/>
  <c r="M171" i="209"/>
  <c r="M138" i="209"/>
  <c r="N138" i="209" s="1"/>
  <c r="I138" i="209"/>
  <c r="I135" i="209"/>
  <c r="L234" i="213"/>
  <c r="M253" i="213"/>
  <c r="M143" i="209"/>
  <c r="N143" i="209" s="1"/>
  <c r="I143" i="209"/>
  <c r="M175" i="209"/>
  <c r="I135" i="207"/>
  <c r="M224" i="213"/>
  <c r="M146" i="209"/>
  <c r="N146" i="209" s="1"/>
  <c r="I146" i="209"/>
  <c r="M148" i="209"/>
  <c r="N148" i="209" s="1"/>
  <c r="I148" i="209"/>
  <c r="M176" i="209"/>
  <c r="I176" i="209"/>
  <c r="M252" i="213"/>
  <c r="M157" i="209"/>
  <c r="I127" i="207"/>
  <c r="M230" i="213"/>
  <c r="K34" i="231"/>
  <c r="Q34" i="231" s="1"/>
  <c r="M174" i="236"/>
  <c r="I174" i="236"/>
  <c r="M169" i="209"/>
  <c r="M136" i="209"/>
  <c r="N136" i="209" s="1"/>
  <c r="I136" i="209"/>
  <c r="M158" i="209"/>
  <c r="M172" i="209"/>
  <c r="K44" i="232"/>
  <c r="Q44" i="232" s="1"/>
  <c r="I139" i="209"/>
  <c r="M139" i="209"/>
  <c r="N139" i="209" s="1"/>
  <c r="I149" i="209"/>
  <c r="M149" i="209"/>
  <c r="N149" i="209" s="1"/>
  <c r="M159" i="209"/>
  <c r="I147" i="209"/>
  <c r="M141" i="209"/>
  <c r="N141" i="209" s="1"/>
  <c r="I141" i="209"/>
  <c r="M155" i="209"/>
  <c r="M168" i="209"/>
  <c r="M174" i="209"/>
  <c r="M144" i="209"/>
  <c r="N144" i="209" s="1"/>
  <c r="I144" i="209"/>
  <c r="M156" i="209"/>
  <c r="M166" i="209"/>
  <c r="M170" i="209"/>
  <c r="L22" i="244"/>
  <c r="L24" i="244" s="1"/>
  <c r="F23" i="137" s="1"/>
  <c r="P44" i="202"/>
  <c r="K31" i="215"/>
  <c r="I131" i="209"/>
  <c r="M131" i="209"/>
  <c r="N131" i="209" s="1"/>
  <c r="I133" i="209"/>
  <c r="M133" i="209"/>
  <c r="N133" i="209" s="1"/>
  <c r="M178" i="213"/>
  <c r="M132" i="209"/>
  <c r="N132" i="209" s="1"/>
  <c r="I132" i="209"/>
  <c r="M251" i="213"/>
  <c r="M257" i="236"/>
  <c r="K32" i="232"/>
  <c r="M243" i="213"/>
  <c r="M252" i="207"/>
  <c r="L231" i="213"/>
  <c r="J34" i="232"/>
  <c r="Q34" i="232" s="1"/>
  <c r="J24" i="232"/>
  <c r="Q24" i="232" s="1"/>
  <c r="L191" i="213"/>
  <c r="L205" i="213"/>
  <c r="L184" i="213"/>
  <c r="L185" i="213"/>
  <c r="E29" i="37"/>
  <c r="E31" i="37" s="1"/>
  <c r="E34" i="37" s="1"/>
  <c r="G28" i="1" s="1"/>
  <c r="L190" i="213"/>
  <c r="L194" i="213"/>
  <c r="L206" i="213"/>
  <c r="L251" i="207"/>
  <c r="M153" i="213"/>
  <c r="L232" i="207"/>
  <c r="M155" i="236"/>
  <c r="M163" i="236"/>
  <c r="H35" i="30"/>
  <c r="K33" i="30"/>
  <c r="I139" i="207"/>
  <c r="I137" i="207"/>
  <c r="I132" i="207"/>
  <c r="M247" i="213"/>
  <c r="M246" i="213"/>
  <c r="L193" i="213"/>
  <c r="M249" i="213"/>
  <c r="L195" i="213"/>
  <c r="L207" i="213"/>
  <c r="L247" i="207"/>
  <c r="M232" i="213"/>
  <c r="L200" i="213"/>
  <c r="L210" i="213"/>
  <c r="M128" i="213"/>
  <c r="N128" i="213" s="1"/>
  <c r="I128" i="213"/>
  <c r="I142" i="207"/>
  <c r="I141" i="207"/>
  <c r="M248" i="213"/>
  <c r="M244" i="213"/>
  <c r="L188" i="213"/>
  <c r="M133" i="213"/>
  <c r="N133" i="213" s="1"/>
  <c r="I133" i="213"/>
  <c r="M255" i="213"/>
  <c r="L197" i="213"/>
  <c r="L208" i="213"/>
  <c r="L202" i="213"/>
  <c r="M136" i="213"/>
  <c r="N136" i="213" s="1"/>
  <c r="I136" i="213"/>
  <c r="J26" i="231"/>
  <c r="Q26" i="231" s="1"/>
  <c r="H19" i="202"/>
  <c r="I128" i="207"/>
  <c r="I129" i="207"/>
  <c r="I145" i="207"/>
  <c r="I140" i="207"/>
  <c r="M242" i="213"/>
  <c r="L189" i="213"/>
  <c r="M140" i="213"/>
  <c r="N140" i="213" s="1"/>
  <c r="I140" i="213"/>
  <c r="L198" i="213"/>
  <c r="L209" i="213"/>
  <c r="M250" i="207"/>
  <c r="L203" i="213"/>
  <c r="M144" i="213"/>
  <c r="N144" i="213" s="1"/>
  <c r="I144" i="213"/>
  <c r="M231" i="207"/>
  <c r="N149" i="207"/>
  <c r="I131" i="207"/>
  <c r="I134" i="207"/>
  <c r="H190" i="207" l="1"/>
  <c r="M189" i="207"/>
  <c r="F35" i="215"/>
  <c r="F28" i="30"/>
  <c r="F37" i="30" s="1"/>
  <c r="D22" i="3" s="1"/>
  <c r="Q32" i="232"/>
  <c r="G22" i="95"/>
  <c r="G41" i="10" s="1"/>
  <c r="G190" i="207"/>
  <c r="L189" i="207"/>
  <c r="D41" i="190"/>
  <c r="F28" i="215"/>
  <c r="K22" i="95"/>
  <c r="G72" i="10" s="1"/>
  <c r="T44" i="202"/>
  <c r="E31" i="212"/>
  <c r="T19" i="202"/>
  <c r="H35" i="35"/>
  <c r="K35" i="30"/>
  <c r="E20" i="31" s="1"/>
  <c r="J66" i="10"/>
  <c r="J64" i="10"/>
  <c r="M64" i="10"/>
  <c r="L62" i="10"/>
  <c r="L66" i="10" s="1"/>
  <c r="K62" i="10"/>
  <c r="K64" i="10" s="1"/>
  <c r="N64" i="10"/>
  <c r="N66" i="10"/>
  <c r="J26" i="34"/>
  <c r="J32" i="34" s="1"/>
  <c r="L26" i="34"/>
  <c r="L32" i="34" s="1"/>
  <c r="L41" i="231"/>
  <c r="H45" i="233"/>
  <c r="K24" i="30"/>
  <c r="K28" i="30" s="1"/>
  <c r="E18" i="31" s="1"/>
  <c r="H28" i="30"/>
  <c r="H37" i="30" s="1"/>
  <c r="K24" i="215"/>
  <c r="K28" i="215" s="1"/>
  <c r="E18" i="67" s="1"/>
  <c r="H28" i="215"/>
  <c r="H37" i="215" s="1"/>
  <c r="K21" i="215"/>
  <c r="E16" i="67" s="1"/>
  <c r="Q36" i="41"/>
  <c r="K35" i="215"/>
  <c r="E20" i="67" s="1"/>
  <c r="D159" i="51"/>
  <c r="E27" i="103"/>
  <c r="E58" i="100"/>
  <c r="E57" i="100"/>
  <c r="P15" i="222"/>
  <c r="I27" i="103"/>
  <c r="I56" i="100"/>
  <c r="N19" i="35"/>
  <c r="L19" i="35"/>
  <c r="I150" i="236"/>
  <c r="I152" i="209"/>
  <c r="N152" i="209"/>
  <c r="I149" i="207"/>
  <c r="L44" i="202"/>
  <c r="L19" i="202"/>
  <c r="I149" i="213"/>
  <c r="N149" i="213"/>
  <c r="H44" i="202"/>
  <c r="H193" i="207" l="1"/>
  <c r="M190" i="207"/>
  <c r="K21" i="4"/>
  <c r="F37" i="215"/>
  <c r="D22" i="137" s="1"/>
  <c r="G193" i="207"/>
  <c r="L190" i="207"/>
  <c r="L64" i="10"/>
  <c r="K66" i="10"/>
  <c r="I45" i="233"/>
  <c r="K37" i="30"/>
  <c r="F22" i="3" s="1"/>
  <c r="K37" i="215"/>
  <c r="F22" i="137" s="1"/>
  <c r="Q22" i="41"/>
  <c r="I57" i="100"/>
  <c r="I58" i="100"/>
  <c r="H194" i="207" l="1"/>
  <c r="M193" i="207"/>
  <c r="G194" i="207"/>
  <c r="L193" i="207"/>
  <c r="J45" i="233"/>
  <c r="H72" i="10"/>
  <c r="H195" i="207" l="1"/>
  <c r="M194" i="207"/>
  <c r="G195" i="207"/>
  <c r="L194" i="207"/>
  <c r="K45" i="233"/>
  <c r="H197" i="207" l="1"/>
  <c r="M195" i="207"/>
  <c r="G197" i="207"/>
  <c r="L195" i="207"/>
  <c r="L45" i="233"/>
  <c r="E22" i="239"/>
  <c r="H37" i="103"/>
  <c r="I37" i="103" s="1"/>
  <c r="D40" i="103"/>
  <c r="D38" i="103"/>
  <c r="E37" i="103"/>
  <c r="D39" i="103"/>
  <c r="D33" i="102"/>
  <c r="I22" i="239"/>
  <c r="E42" i="100"/>
  <c r="E41" i="100"/>
  <c r="E40" i="100"/>
  <c r="E69" i="100"/>
  <c r="F69" i="100" s="1"/>
  <c r="H198" i="207" l="1"/>
  <c r="M197" i="207"/>
  <c r="G198" i="207"/>
  <c r="L197" i="207"/>
  <c r="M45" i="233"/>
  <c r="E70" i="100"/>
  <c r="F70" i="100" s="1"/>
  <c r="I20" i="239"/>
  <c r="E20" i="239"/>
  <c r="E24" i="239" s="1"/>
  <c r="E33" i="100"/>
  <c r="F32" i="100"/>
  <c r="E62" i="100"/>
  <c r="E35" i="100"/>
  <c r="E34" i="100"/>
  <c r="E71" i="100"/>
  <c r="F71" i="100" s="1"/>
  <c r="H38" i="103"/>
  <c r="I38" i="103" s="1"/>
  <c r="E38" i="103"/>
  <c r="I69" i="100"/>
  <c r="J69" i="100" s="1"/>
  <c r="E72" i="100"/>
  <c r="F72" i="100" s="1"/>
  <c r="E40" i="103"/>
  <c r="H40" i="103"/>
  <c r="I40" i="103" s="1"/>
  <c r="I30" i="103"/>
  <c r="D32" i="103"/>
  <c r="D33" i="103"/>
  <c r="E30" i="103"/>
  <c r="D31" i="103"/>
  <c r="H39" i="103"/>
  <c r="I39" i="103" s="1"/>
  <c r="E39" i="103"/>
  <c r="H200" i="207" l="1"/>
  <c r="M198" i="207"/>
  <c r="G200" i="207"/>
  <c r="L198" i="207"/>
  <c r="I24" i="239"/>
  <c r="N45" i="233"/>
  <c r="M221" i="236"/>
  <c r="I41" i="103"/>
  <c r="E41" i="103"/>
  <c r="E33" i="103"/>
  <c r="H33" i="103"/>
  <c r="I33" i="103" s="1"/>
  <c r="E64" i="100"/>
  <c r="F34" i="100"/>
  <c r="E32" i="103"/>
  <c r="H32" i="103"/>
  <c r="I32" i="103" s="1"/>
  <c r="F73" i="100"/>
  <c r="I71" i="100"/>
  <c r="J71" i="100" s="1"/>
  <c r="E65" i="100"/>
  <c r="F65" i="100" s="1"/>
  <c r="E63" i="100"/>
  <c r="F33" i="100"/>
  <c r="I70" i="100"/>
  <c r="J70" i="100" s="1"/>
  <c r="E31" i="103"/>
  <c r="H31" i="103"/>
  <c r="I31" i="103" s="1"/>
  <c r="I72" i="100"/>
  <c r="J72" i="100" s="1"/>
  <c r="I62" i="100"/>
  <c r="J32" i="100"/>
  <c r="H202" i="207" l="1"/>
  <c r="M200" i="207"/>
  <c r="O45" i="233"/>
  <c r="G202" i="207"/>
  <c r="L200" i="207"/>
  <c r="J73" i="100"/>
  <c r="J34" i="100"/>
  <c r="I64" i="100"/>
  <c r="J64" i="100" s="1"/>
  <c r="I34" i="103"/>
  <c r="I43" i="103" s="1"/>
  <c r="J33" i="100"/>
  <c r="I63" i="100"/>
  <c r="I65" i="100"/>
  <c r="J65" i="100" s="1"/>
  <c r="E34" i="103"/>
  <c r="E43" i="103" s="1"/>
  <c r="H203" i="207" l="1"/>
  <c r="M202" i="207"/>
  <c r="P45" i="233"/>
  <c r="D40" i="232" s="1"/>
  <c r="G40" i="232" s="1"/>
  <c r="G203" i="207"/>
  <c r="L202" i="207"/>
  <c r="H204" i="207" l="1"/>
  <c r="M203" i="207"/>
  <c r="Q45" i="233"/>
  <c r="I40" i="232" s="1"/>
  <c r="L40" i="232" s="1"/>
  <c r="G204" i="207"/>
  <c r="L203" i="207"/>
  <c r="N29" i="42"/>
  <c r="P29" i="42"/>
  <c r="H205" i="207" l="1"/>
  <c r="M204" i="207"/>
  <c r="G205" i="207"/>
  <c r="L204" i="207"/>
  <c r="R34" i="41"/>
  <c r="H206" i="207" l="1"/>
  <c r="M205" i="207"/>
  <c r="G206" i="207"/>
  <c r="L205" i="207"/>
  <c r="R35" i="41"/>
  <c r="H207" i="207" l="1"/>
  <c r="M206" i="207"/>
  <c r="L221" i="236"/>
  <c r="G207" i="207"/>
  <c r="L206" i="207"/>
  <c r="R33" i="41"/>
  <c r="H208" i="207" l="1"/>
  <c r="M207" i="207"/>
  <c r="G208" i="207"/>
  <c r="L207" i="207"/>
  <c r="H209" i="207" l="1"/>
  <c r="M208" i="207"/>
  <c r="G209" i="207"/>
  <c r="L208" i="207"/>
  <c r="R36" i="41"/>
  <c r="R22" i="41"/>
  <c r="M209" i="207" l="1"/>
  <c r="H211" i="207"/>
  <c r="M211" i="207" s="1"/>
  <c r="H210" i="207"/>
  <c r="G211" i="207"/>
  <c r="G210" i="207"/>
  <c r="L209" i="207"/>
  <c r="N22" i="42"/>
  <c r="N31" i="42" s="1"/>
  <c r="N42" i="42" s="1"/>
  <c r="N43" i="42" s="1"/>
  <c r="N45" i="42" s="1"/>
  <c r="H215" i="207" l="1"/>
  <c r="M210" i="207"/>
  <c r="L211" i="207"/>
  <c r="G215" i="207"/>
  <c r="L210" i="207"/>
  <c r="H224" i="207" l="1"/>
  <c r="M224" i="207" s="1"/>
  <c r="M215" i="207"/>
  <c r="G224" i="207"/>
  <c r="L224" i="207" s="1"/>
  <c r="L215" i="207"/>
  <c r="J27" i="42" l="1"/>
  <c r="D26" i="46"/>
  <c r="D20" i="47" l="1"/>
  <c r="F257" i="236" l="1"/>
  <c r="I257" i="236" s="1"/>
  <c r="N257" i="236" l="1"/>
  <c r="F259" i="209" l="1"/>
  <c r="I259" i="209" s="1"/>
  <c r="N259" i="209" l="1"/>
  <c r="H133" i="237" l="1"/>
  <c r="H138" i="237"/>
  <c r="H135" i="237"/>
  <c r="H132" i="237"/>
  <c r="H146" i="237"/>
  <c r="H129" i="237"/>
  <c r="H130" i="237"/>
  <c r="H136" i="237"/>
  <c r="H148" i="237"/>
  <c r="H140" i="237"/>
  <c r="H147" i="237"/>
  <c r="H143" i="237"/>
  <c r="H134" i="237"/>
  <c r="H141" i="237"/>
  <c r="H128" i="237"/>
  <c r="H145" i="237"/>
  <c r="H144" i="237"/>
  <c r="H137" i="237"/>
  <c r="H142" i="237"/>
  <c r="H139" i="237"/>
  <c r="H131" i="237"/>
  <c r="H150" i="237" l="1"/>
  <c r="F40" i="100" l="1"/>
  <c r="F41" i="100"/>
  <c r="J41" i="100"/>
  <c r="J40" i="100"/>
  <c r="F58" i="100" l="1"/>
  <c r="F27" i="100"/>
  <c r="D79" i="51"/>
  <c r="J27" i="100"/>
  <c r="J58" i="100"/>
  <c r="D68" i="51" l="1"/>
  <c r="F64" i="100"/>
  <c r="J21" i="100"/>
  <c r="D118" i="51"/>
  <c r="F51" i="100"/>
  <c r="J18" i="100"/>
  <c r="D112" i="51"/>
  <c r="F19" i="100"/>
  <c r="F26" i="100"/>
  <c r="F21" i="100"/>
  <c r="F39" i="100"/>
  <c r="F62" i="100"/>
  <c r="J51" i="100"/>
  <c r="J26" i="100"/>
  <c r="J39" i="100"/>
  <c r="J19" i="100"/>
  <c r="J62" i="100"/>
  <c r="D111" i="51" l="1"/>
  <c r="F18" i="100"/>
  <c r="O33" i="238" l="1"/>
  <c r="O61" i="238" l="1"/>
  <c r="O59" i="238" l="1"/>
  <c r="J30" i="193" l="1"/>
  <c r="J32" i="193" l="1"/>
  <c r="J34" i="193" s="1"/>
  <c r="M16" i="238" l="1"/>
  <c r="N16" i="238"/>
  <c r="O18" i="238" l="1"/>
  <c r="O17" i="171"/>
  <c r="O18" i="171"/>
  <c r="O19" i="238"/>
  <c r="O32" i="238" l="1"/>
  <c r="O31" i="171"/>
  <c r="D52" i="171"/>
  <c r="E52" i="171"/>
  <c r="F52" i="171"/>
  <c r="G52" i="171"/>
  <c r="H52" i="171"/>
  <c r="I52" i="171"/>
  <c r="D39" i="171"/>
  <c r="E39" i="171"/>
  <c r="F39" i="171"/>
  <c r="G39" i="171"/>
  <c r="H39" i="171"/>
  <c r="I39" i="171"/>
  <c r="D67" i="171"/>
  <c r="E67" i="171"/>
  <c r="F67" i="171"/>
  <c r="G67" i="171"/>
  <c r="H67" i="171"/>
  <c r="I67" i="171"/>
  <c r="O16" i="171" l="1"/>
  <c r="G34" i="171"/>
  <c r="F34" i="171"/>
  <c r="H47" i="171"/>
  <c r="D47" i="171"/>
  <c r="F62" i="171"/>
  <c r="G24" i="171"/>
  <c r="G47" i="171"/>
  <c r="E62" i="171"/>
  <c r="F24" i="171"/>
  <c r="E34" i="171"/>
  <c r="O32" i="171"/>
  <c r="H34" i="171"/>
  <c r="D34" i="171"/>
  <c r="F47" i="171"/>
  <c r="H62" i="171"/>
  <c r="D62" i="171"/>
  <c r="I24" i="171"/>
  <c r="J16" i="44" s="1"/>
  <c r="E24" i="171"/>
  <c r="E47" i="171"/>
  <c r="G62" i="171"/>
  <c r="H24" i="171"/>
  <c r="D24" i="171"/>
  <c r="C67" i="171"/>
  <c r="C39" i="171"/>
  <c r="C52" i="171"/>
  <c r="O19" i="171"/>
  <c r="O60" i="171"/>
  <c r="O58" i="171"/>
  <c r="O15" i="171" l="1"/>
  <c r="O16" i="238"/>
  <c r="C24" i="171"/>
  <c r="C47" i="171" l="1"/>
  <c r="C34" i="171"/>
  <c r="C62" i="171"/>
  <c r="O14" i="238" l="1"/>
  <c r="O13" i="171"/>
  <c r="O15" i="238"/>
  <c r="O14" i="171"/>
  <c r="O13" i="238"/>
  <c r="O43" i="35" s="1"/>
  <c r="O12" i="171"/>
  <c r="M43" i="35" s="1"/>
  <c r="O45" i="171" l="1"/>
  <c r="O59" i="171" l="1"/>
  <c r="O30" i="171"/>
  <c r="L43" i="35" l="1"/>
  <c r="N43" i="35"/>
  <c r="D46" i="238"/>
  <c r="C48" i="238"/>
  <c r="C53" i="238" s="1"/>
  <c r="C21" i="238" s="1"/>
  <c r="E46" i="238" l="1"/>
  <c r="D48" i="238"/>
  <c r="D53" i="238" s="1"/>
  <c r="D21" i="238" s="1"/>
  <c r="C35" i="238"/>
  <c r="D60" i="238"/>
  <c r="C63" i="238"/>
  <c r="J24" i="171"/>
  <c r="K16" i="44" s="1"/>
  <c r="E60" i="238" l="1"/>
  <c r="D63" i="238"/>
  <c r="D68" i="238" s="1"/>
  <c r="D23" i="238" s="1"/>
  <c r="C40" i="238"/>
  <c r="D35" i="238"/>
  <c r="D40" i="238" s="1"/>
  <c r="D22" i="238" s="1"/>
  <c r="C68" i="238"/>
  <c r="F46" i="238"/>
  <c r="E48" i="238"/>
  <c r="K24" i="171"/>
  <c r="L16" i="44" s="1"/>
  <c r="E35" i="238" l="1"/>
  <c r="F60" i="238"/>
  <c r="E63" i="238"/>
  <c r="E53" i="238"/>
  <c r="C23" i="238"/>
  <c r="C22" i="238"/>
  <c r="G46" i="238"/>
  <c r="H46" i="238" l="1"/>
  <c r="E68" i="238"/>
  <c r="E21" i="238"/>
  <c r="G60" i="238"/>
  <c r="E40" i="238"/>
  <c r="E22" i="238" l="1"/>
  <c r="H60" i="238"/>
  <c r="E23" i="238"/>
  <c r="I46" i="238"/>
  <c r="J46" i="238" l="1"/>
  <c r="I60" i="238"/>
  <c r="K46" i="238" l="1"/>
  <c r="J60" i="238"/>
  <c r="K60" i="238" l="1"/>
  <c r="L46" i="238"/>
  <c r="L60" i="238" l="1"/>
  <c r="M46" i="238"/>
  <c r="L48" i="238"/>
  <c r="L53" i="238" s="1"/>
  <c r="L21" i="238" s="1"/>
  <c r="N46" i="238" l="1"/>
  <c r="M48" i="238"/>
  <c r="M53" i="238" s="1"/>
  <c r="M21" i="238" s="1"/>
  <c r="M60" i="238"/>
  <c r="L63" i="238"/>
  <c r="L68" i="238" s="1"/>
  <c r="L23" i="238" s="1"/>
  <c r="N48" i="238" l="1"/>
  <c r="N53" i="238" s="1"/>
  <c r="O46" i="238"/>
  <c r="N60" i="238"/>
  <c r="M63" i="238"/>
  <c r="M68" i="238" s="1"/>
  <c r="N63" i="238" l="1"/>
  <c r="N68" i="238" s="1"/>
  <c r="N23" i="238" s="1"/>
  <c r="O60" i="238"/>
  <c r="N21" i="238"/>
  <c r="M23" i="238"/>
  <c r="F116" i="213" l="1"/>
  <c r="I116" i="213" s="1"/>
  <c r="I116" i="207"/>
  <c r="F178" i="213"/>
  <c r="I178" i="213" s="1"/>
  <c r="F178" i="207"/>
  <c r="I178" i="207" s="1"/>
  <c r="F261" i="213" l="1"/>
  <c r="F265" i="213" l="1"/>
  <c r="I261" i="213"/>
  <c r="I265" i="213" s="1"/>
  <c r="F224" i="207"/>
  <c r="F265" i="207" s="1"/>
  <c r="I224" i="207" l="1"/>
  <c r="D16" i="137"/>
  <c r="I265" i="207" l="1"/>
  <c r="D16" i="3" s="1"/>
  <c r="H29" i="10" s="1"/>
  <c r="H31" i="10" s="1"/>
  <c r="G29" i="10"/>
  <c r="G31" i="10" s="1"/>
  <c r="N116" i="207" l="1"/>
  <c r="N178" i="207"/>
  <c r="N116" i="213"/>
  <c r="N178" i="213"/>
  <c r="N224" i="213" l="1"/>
  <c r="N265" i="213" s="1"/>
  <c r="N224" i="207"/>
  <c r="N261" i="207" l="1"/>
  <c r="N265" i="207" l="1"/>
  <c r="F16" i="3" s="1"/>
  <c r="F16" i="137"/>
  <c r="K265" i="213"/>
  <c r="P26" i="222" l="1"/>
  <c r="D23" i="79" l="1"/>
  <c r="D43" i="50" s="1"/>
  <c r="D45" i="50" s="1"/>
  <c r="D46" i="50" s="1"/>
  <c r="H25" i="51" l="1"/>
  <c r="P25" i="51" s="1"/>
  <c r="P27" i="222"/>
  <c r="D24" i="79" l="1"/>
  <c r="D48" i="50" s="1"/>
  <c r="L17" i="42" l="1"/>
  <c r="P17" i="222"/>
  <c r="D15" i="79" l="1"/>
  <c r="D13" i="50" s="1"/>
  <c r="P23" i="222"/>
  <c r="O16" i="41" l="1"/>
  <c r="O33" i="41" s="1"/>
  <c r="D18" i="79"/>
  <c r="D28" i="50" s="1"/>
  <c r="P20" i="222"/>
  <c r="P19" i="222"/>
  <c r="O19" i="41" l="1"/>
  <c r="O36" i="41" s="1"/>
  <c r="D17" i="79"/>
  <c r="D16" i="79"/>
  <c r="D18" i="50" s="1"/>
  <c r="P92" i="222"/>
  <c r="P25" i="222"/>
  <c r="O20" i="238" s="1"/>
  <c r="O17" i="41" l="1"/>
  <c r="O34" i="41" s="1"/>
  <c r="D19" i="79"/>
  <c r="L16" i="42" s="1"/>
  <c r="O18" i="41"/>
  <c r="O35" i="41" s="1"/>
  <c r="D23" i="50"/>
  <c r="D134" i="79"/>
  <c r="D22" i="79"/>
  <c r="C20" i="238"/>
  <c r="O22" i="41" l="1"/>
  <c r="D20" i="238"/>
  <c r="L18" i="42"/>
  <c r="L19" i="42" s="1"/>
  <c r="D26" i="79"/>
  <c r="D38" i="50"/>
  <c r="G48" i="10" l="1"/>
  <c r="D70" i="50"/>
  <c r="D28" i="79"/>
  <c r="E20" i="238"/>
  <c r="F20" i="238" l="1"/>
  <c r="K14" i="46"/>
  <c r="O14" i="46" l="1"/>
  <c r="F15" i="47" s="1"/>
  <c r="G20" i="238"/>
  <c r="G34" i="1" l="1"/>
  <c r="H20" i="238"/>
  <c r="I20" i="238" l="1"/>
  <c r="J20" i="238" l="1"/>
  <c r="K20" i="238" l="1"/>
  <c r="L20" i="238" l="1"/>
  <c r="M20" i="238" l="1"/>
  <c r="N20" i="238" l="1"/>
  <c r="P39" i="44" l="1"/>
  <c r="D95" i="45" s="1"/>
  <c r="P42" i="44"/>
  <c r="D98" i="45" s="1"/>
  <c r="P44" i="44"/>
  <c r="D101" i="45" s="1"/>
  <c r="P36" i="44"/>
  <c r="D91" i="45" s="1"/>
  <c r="P33" i="44"/>
  <c r="D87" i="45" s="1"/>
  <c r="P41" i="44"/>
  <c r="D97" i="45" s="1"/>
  <c r="P32" i="44"/>
  <c r="D86" i="45" s="1"/>
  <c r="P35" i="44"/>
  <c r="D90" i="45" s="1"/>
  <c r="P34" i="44"/>
  <c r="D89" i="45" s="1"/>
  <c r="P40" i="44"/>
  <c r="D96" i="45" s="1"/>
  <c r="P43" i="44"/>
  <c r="D99" i="45" s="1"/>
  <c r="P38" i="44"/>
  <c r="D93" i="45" s="1"/>
  <c r="P37" i="44"/>
  <c r="D92" i="45" s="1"/>
  <c r="P31" i="44" l="1"/>
  <c r="D85" i="45" l="1"/>
  <c r="P31" i="222" l="1"/>
  <c r="D81" i="79" l="1"/>
  <c r="P39" i="222"/>
  <c r="D91" i="79" s="1"/>
  <c r="P34" i="222"/>
  <c r="D85" i="79" s="1"/>
  <c r="P45" i="222"/>
  <c r="D99" i="79" s="1"/>
  <c r="P44" i="222"/>
  <c r="D97" i="79" s="1"/>
  <c r="P41" i="222"/>
  <c r="D93" i="79" s="1"/>
  <c r="P35" i="222"/>
  <c r="P32" i="222"/>
  <c r="D82" i="79" s="1"/>
  <c r="P38" i="222"/>
  <c r="D89" i="79" s="1"/>
  <c r="P36" i="222"/>
  <c r="D87" i="79" s="1"/>
  <c r="P40" i="222"/>
  <c r="D92" i="79" s="1"/>
  <c r="P37" i="222"/>
  <c r="D88" i="79" s="1"/>
  <c r="P33" i="222"/>
  <c r="D83" i="79" s="1"/>
  <c r="P42" i="222"/>
  <c r="D94" i="79" s="1"/>
  <c r="P43" i="222"/>
  <c r="D95" i="79" s="1"/>
  <c r="D86" i="79" l="1"/>
  <c r="D100" i="79" s="1"/>
  <c r="L21" i="42" l="1"/>
  <c r="L22" i="42" s="1"/>
  <c r="D58" i="50"/>
  <c r="K17" i="46"/>
  <c r="O17" i="46" l="1"/>
  <c r="D71" i="50"/>
  <c r="D72" i="50" s="1"/>
  <c r="F18" i="47" l="1"/>
  <c r="J18" i="47" l="1"/>
  <c r="P27" i="44" l="1"/>
  <c r="D28" i="45" s="1"/>
  <c r="D54" i="50"/>
  <c r="D27" i="51"/>
  <c r="D55" i="50" l="1"/>
  <c r="H27" i="51" s="1"/>
  <c r="P27" i="51" s="1"/>
  <c r="J17" i="42"/>
  <c r="D26" i="51"/>
  <c r="D49" i="50"/>
  <c r="D50" i="50" s="1"/>
  <c r="D56" i="50" l="1"/>
  <c r="H26" i="51"/>
  <c r="P26" i="51" s="1"/>
  <c r="D51" i="50"/>
  <c r="P17" i="44" l="1"/>
  <c r="D15" i="45" l="1"/>
  <c r="M16" i="41" l="1"/>
  <c r="D15" i="51"/>
  <c r="D14" i="50"/>
  <c r="P23" i="44"/>
  <c r="D15" i="50" l="1"/>
  <c r="D21" i="45"/>
  <c r="M33" i="41"/>
  <c r="D18" i="51" l="1"/>
  <c r="D29" i="50"/>
  <c r="D30" i="50" s="1"/>
  <c r="M19" i="41"/>
  <c r="M36" i="41" s="1"/>
  <c r="D16" i="50"/>
  <c r="F15" i="51"/>
  <c r="P25" i="44"/>
  <c r="D26" i="45" l="1"/>
  <c r="F18" i="51"/>
  <c r="P18" i="51" s="1"/>
  <c r="D31" i="50"/>
  <c r="P15" i="51"/>
  <c r="D39" i="50" l="1"/>
  <c r="D40" i="50" s="1"/>
  <c r="D24" i="51"/>
  <c r="D29" i="51" s="1"/>
  <c r="J18" i="42"/>
  <c r="D30" i="45"/>
  <c r="H24" i="51" l="1"/>
  <c r="D41" i="50"/>
  <c r="P24" i="51" l="1"/>
  <c r="H29" i="51"/>
  <c r="P29" i="51" l="1"/>
  <c r="H31" i="51"/>
  <c r="H38" i="51" s="1"/>
  <c r="H40" i="51" s="1"/>
  <c r="H42" i="51" s="1"/>
  <c r="P19" i="44" l="1"/>
  <c r="D17" i="45" l="1"/>
  <c r="M17" i="41" l="1"/>
  <c r="D16" i="51"/>
  <c r="D19" i="50"/>
  <c r="P20" i="44"/>
  <c r="D20" i="50" l="1"/>
  <c r="D18" i="45"/>
  <c r="M34" i="41"/>
  <c r="M18" i="41" l="1"/>
  <c r="D24" i="50"/>
  <c r="D17" i="51"/>
  <c r="D21" i="51" s="1"/>
  <c r="D31" i="51" s="1"/>
  <c r="D23" i="45"/>
  <c r="F16" i="51"/>
  <c r="D21" i="50"/>
  <c r="D25" i="50" l="1"/>
  <c r="D66" i="50"/>
  <c r="P16" i="51"/>
  <c r="M35" i="41"/>
  <c r="M22" i="41"/>
  <c r="J16" i="42"/>
  <c r="J19" i="42" s="1"/>
  <c r="D32" i="45"/>
  <c r="H48" i="10" l="1"/>
  <c r="D14" i="46"/>
  <c r="F17" i="51"/>
  <c r="D26" i="50"/>
  <c r="P17" i="51" l="1"/>
  <c r="F21" i="51"/>
  <c r="D15" i="47"/>
  <c r="F14" i="46"/>
  <c r="F31" i="51" l="1"/>
  <c r="P21" i="51"/>
  <c r="F38" i="51" l="1"/>
  <c r="P31" i="51"/>
  <c r="F40" i="51" l="1"/>
  <c r="F42" i="51" s="1"/>
  <c r="P22" i="42" l="1"/>
  <c r="P31" i="42" s="1"/>
  <c r="P42" i="42" s="1"/>
  <c r="P43" i="42" l="1"/>
  <c r="P45" i="42" s="1"/>
  <c r="H52" i="192" l="1"/>
  <c r="G52" i="192"/>
  <c r="F52" i="192"/>
  <c r="E52" i="192"/>
  <c r="H54" i="192" l="1"/>
  <c r="H55" i="192" s="1"/>
  <c r="E54" i="192"/>
  <c r="E55" i="192" s="1"/>
  <c r="I52" i="192"/>
  <c r="F54" i="192"/>
  <c r="F55" i="192" s="1"/>
  <c r="G54" i="192"/>
  <c r="G55" i="192" s="1"/>
  <c r="D52" i="192"/>
  <c r="I54" i="192" l="1"/>
  <c r="I55" i="192" s="1"/>
  <c r="D54" i="192"/>
  <c r="J54" i="192"/>
  <c r="J56" i="192" s="1"/>
  <c r="D55" i="192" l="1"/>
  <c r="I33" i="102" l="1"/>
  <c r="E33" i="102"/>
  <c r="H43" i="100" l="1"/>
  <c r="J42" i="100"/>
  <c r="J43" i="100" s="1"/>
  <c r="F42" i="100"/>
  <c r="F43" i="100" s="1"/>
  <c r="D43" i="100"/>
  <c r="I27" i="247" l="1"/>
  <c r="K27" i="247" s="1"/>
  <c r="E27" i="247"/>
  <c r="G27" i="247" s="1"/>
  <c r="I21" i="247" l="1"/>
  <c r="E21" i="247"/>
  <c r="G21" i="247" s="1"/>
  <c r="K21" i="247" l="1"/>
  <c r="D29" i="247"/>
  <c r="I24" i="247" l="1"/>
  <c r="K24" i="247" s="1"/>
  <c r="E24" i="247"/>
  <c r="G24" i="247" s="1"/>
  <c r="I18" i="247"/>
  <c r="E18" i="247"/>
  <c r="C29" i="247"/>
  <c r="K18" i="247" l="1"/>
  <c r="I29" i="247"/>
  <c r="G18" i="247"/>
  <c r="G29" i="247" s="1"/>
  <c r="E29" i="247"/>
  <c r="K29" i="247" l="1"/>
  <c r="M24" i="46" s="1"/>
  <c r="P48" i="51" l="1"/>
  <c r="P73" i="51"/>
  <c r="P77" i="51"/>
  <c r="P112" i="51"/>
  <c r="P74" i="51"/>
  <c r="P107" i="51"/>
  <c r="P129" i="51"/>
  <c r="P50" i="51"/>
  <c r="P68" i="51"/>
  <c r="P79" i="51"/>
  <c r="P106" i="51"/>
  <c r="P67" i="51"/>
  <c r="P83" i="51"/>
  <c r="P65" i="51"/>
  <c r="P75" i="51"/>
  <c r="P69" i="51"/>
  <c r="P111" i="51"/>
  <c r="P60" i="51"/>
  <c r="P118" i="51"/>
  <c r="P128" i="51"/>
  <c r="P64" i="51"/>
  <c r="N93" i="236" l="1"/>
  <c r="C25" i="238" l="1"/>
  <c r="D16" i="222" l="1"/>
  <c r="D25" i="238"/>
  <c r="E16" i="222" s="1"/>
  <c r="E25" i="238" l="1"/>
  <c r="F16" i="222" s="1"/>
  <c r="P45" i="44" l="1"/>
  <c r="D103" i="45" s="1"/>
  <c r="D104" i="45" s="1"/>
  <c r="J21" i="42" l="1"/>
  <c r="J22" i="42" s="1"/>
  <c r="D34" i="51"/>
  <c r="D36" i="51" s="1"/>
  <c r="D38" i="51" s="1"/>
  <c r="D17" i="46"/>
  <c r="D59" i="50"/>
  <c r="D18" i="47" l="1"/>
  <c r="F17" i="46"/>
  <c r="D60" i="50"/>
  <c r="D67" i="50"/>
  <c r="D68" i="50" s="1"/>
  <c r="J34" i="51" l="1"/>
  <c r="D61" i="50"/>
  <c r="J36" i="51" l="1"/>
  <c r="P34" i="51"/>
  <c r="P36" i="51" l="1"/>
  <c r="J38" i="51"/>
  <c r="P38" i="51" l="1"/>
  <c r="P40" i="51" s="1"/>
  <c r="P42" i="51" s="1"/>
  <c r="J40" i="51"/>
  <c r="J42" i="51" s="1"/>
  <c r="F16" i="98" l="1"/>
  <c r="F20" i="98" s="1"/>
  <c r="F20" i="5"/>
  <c r="H16" i="98"/>
  <c r="J20" i="5"/>
  <c r="J16" i="98" l="1"/>
  <c r="J20" i="98" s="1"/>
  <c r="L20" i="98" s="1"/>
  <c r="L20" i="5"/>
  <c r="L17" i="202" s="1"/>
  <c r="K19" i="4" s="1"/>
  <c r="H42" i="202"/>
  <c r="H17" i="202"/>
  <c r="P17" i="202"/>
  <c r="P42" i="202"/>
  <c r="E29" i="212" l="1"/>
  <c r="T42" i="202"/>
  <c r="K20" i="95"/>
  <c r="G71" i="10" s="1"/>
  <c r="T17" i="202"/>
  <c r="L42" i="202"/>
  <c r="G20" i="95"/>
  <c r="G40" i="10" s="1"/>
  <c r="P21" i="202"/>
  <c r="P29" i="202" s="1"/>
  <c r="G19" i="4"/>
  <c r="H40" i="10" s="1"/>
  <c r="H21" i="202"/>
  <c r="H29" i="202" s="1"/>
  <c r="J17" i="202" s="1"/>
  <c r="P46" i="202"/>
  <c r="P54" i="202" s="1"/>
  <c r="H46" i="202"/>
  <c r="H54" i="202" s="1"/>
  <c r="J42" i="202" s="1"/>
  <c r="R42" i="202" l="1"/>
  <c r="V42" i="202" s="1"/>
  <c r="R50" i="202"/>
  <c r="R17" i="202"/>
  <c r="V17" i="202" s="1"/>
  <c r="R25" i="202"/>
  <c r="V25" i="202" s="1"/>
  <c r="G28" i="95"/>
  <c r="J44" i="202"/>
  <c r="N44" i="202" s="1"/>
  <c r="J50" i="202"/>
  <c r="J48" i="202"/>
  <c r="N48" i="202" s="1"/>
  <c r="R52" i="202"/>
  <c r="V52" i="202" s="1"/>
  <c r="G27" i="4"/>
  <c r="N42" i="202"/>
  <c r="J19" i="202"/>
  <c r="R27" i="202"/>
  <c r="V27" i="202" s="1"/>
  <c r="J27" i="202"/>
  <c r="N27" i="202" s="1"/>
  <c r="J25" i="202"/>
  <c r="J23" i="202"/>
  <c r="N23" i="202" s="1"/>
  <c r="J52" i="202"/>
  <c r="N52" i="202" s="1"/>
  <c r="N17" i="202"/>
  <c r="R44" i="202"/>
  <c r="V44" i="202" s="1"/>
  <c r="R48" i="202"/>
  <c r="V48" i="202" s="1"/>
  <c r="R19" i="202"/>
  <c r="V19" i="202" s="1"/>
  <c r="R23" i="202"/>
  <c r="V23" i="202" s="1"/>
  <c r="H71" i="10"/>
  <c r="I19" i="4" l="1"/>
  <c r="M19" i="4" s="1"/>
  <c r="H45" i="10"/>
  <c r="I20" i="95"/>
  <c r="M20" i="95" s="1"/>
  <c r="G45" i="10"/>
  <c r="N46" i="202"/>
  <c r="R21" i="202"/>
  <c r="R29" i="202" s="1"/>
  <c r="V21" i="202"/>
  <c r="N19" i="202"/>
  <c r="N21" i="202" s="1"/>
  <c r="I22" i="95"/>
  <c r="M22" i="95" s="1"/>
  <c r="I24" i="95"/>
  <c r="M24" i="95" s="1"/>
  <c r="I26" i="95"/>
  <c r="M26" i="95" s="1"/>
  <c r="V46" i="202"/>
  <c r="J46" i="202"/>
  <c r="J54" i="202" s="1"/>
  <c r="N25" i="202"/>
  <c r="I21" i="4"/>
  <c r="M21" i="4" s="1"/>
  <c r="I25" i="4"/>
  <c r="M25" i="4" s="1"/>
  <c r="I23" i="4"/>
  <c r="M23" i="4" s="1"/>
  <c r="J21" i="202"/>
  <c r="J29" i="202" s="1"/>
  <c r="R46" i="202"/>
  <c r="R54" i="202" s="1"/>
  <c r="V29" i="202" l="1"/>
  <c r="G30" i="84"/>
  <c r="N29" i="202"/>
  <c r="E30" i="84"/>
  <c r="M27" i="4"/>
  <c r="E22" i="1" s="1"/>
  <c r="M28" i="95"/>
  <c r="G22" i="1" s="1"/>
  <c r="I27" i="4"/>
  <c r="I28" i="95"/>
  <c r="J19" i="230" l="1"/>
  <c r="I47" i="230" l="1"/>
  <c r="J47" i="230"/>
  <c r="I19" i="230"/>
  <c r="I36" i="230"/>
  <c r="J36" i="230"/>
  <c r="D24" i="231" l="1"/>
  <c r="G24" i="231" s="1"/>
  <c r="Q24" i="230" l="1"/>
  <c r="I24" i="231" s="1"/>
  <c r="L24" i="231" s="1"/>
  <c r="D26" i="231" l="1"/>
  <c r="G26" i="231" s="1"/>
  <c r="Q26" i="230"/>
  <c r="I26" i="231" s="1"/>
  <c r="L26" i="231" s="1"/>
  <c r="E28" i="233" l="1"/>
  <c r="D28" i="233"/>
  <c r="F28" i="233" l="1"/>
  <c r="G28" i="233"/>
  <c r="H28" i="233" l="1"/>
  <c r="I28" i="233" l="1"/>
  <c r="K28" i="233" l="1"/>
  <c r="J28" i="233"/>
  <c r="D24" i="232"/>
  <c r="G24" i="232" s="1"/>
  <c r="Q24" i="233"/>
  <c r="I24" i="232" s="1"/>
  <c r="L24" i="232" s="1"/>
  <c r="L28" i="233" l="1"/>
  <c r="M28" i="233" l="1"/>
  <c r="N28" i="233" l="1"/>
  <c r="D26" i="232"/>
  <c r="G26" i="232" s="1"/>
  <c r="Q26" i="233"/>
  <c r="I26" i="232" s="1"/>
  <c r="L26" i="232" s="1"/>
  <c r="O28" i="233" l="1"/>
  <c r="I28" i="230" l="1"/>
  <c r="J28" i="230"/>
  <c r="K28" i="230"/>
  <c r="L28" i="230"/>
  <c r="M28" i="230"/>
  <c r="N28" i="230"/>
  <c r="O28" i="230"/>
  <c r="E28" i="230"/>
  <c r="F28" i="230"/>
  <c r="G28" i="230"/>
  <c r="H28" i="230"/>
  <c r="E49" i="230" l="1"/>
  <c r="H49" i="230"/>
  <c r="Q22" i="230"/>
  <c r="I22" i="231" s="1"/>
  <c r="D28" i="230"/>
  <c r="J49" i="230"/>
  <c r="G49" i="230"/>
  <c r="I49" i="230"/>
  <c r="P28" i="233"/>
  <c r="D22" i="232"/>
  <c r="Q22" i="233"/>
  <c r="I22" i="232" s="1"/>
  <c r="F49" i="230"/>
  <c r="P28" i="230"/>
  <c r="D22" i="231"/>
  <c r="D28" i="231" l="1"/>
  <c r="G22" i="231"/>
  <c r="G28" i="231" s="1"/>
  <c r="L22" i="232"/>
  <c r="L28" i="232" s="1"/>
  <c r="I28" i="232"/>
  <c r="D28" i="232"/>
  <c r="G22" i="232"/>
  <c r="G28" i="232" s="1"/>
  <c r="Q28" i="230"/>
  <c r="D49" i="230"/>
  <c r="Q28" i="233"/>
  <c r="L22" i="231"/>
  <c r="L28" i="231" s="1"/>
  <c r="I28" i="231"/>
  <c r="L36" i="35" l="1"/>
  <c r="M32" i="35" l="1"/>
  <c r="L30" i="35"/>
  <c r="I23" i="102"/>
  <c r="E23" i="102"/>
  <c r="D21" i="49"/>
  <c r="H144" i="51" l="1"/>
  <c r="D22" i="49"/>
  <c r="E18" i="102"/>
  <c r="M42" i="35"/>
  <c r="M35" i="35"/>
  <c r="I18" i="102"/>
  <c r="M25" i="35"/>
  <c r="M24" i="35" s="1"/>
  <c r="L24" i="35" s="1"/>
  <c r="L26" i="35"/>
  <c r="D17" i="36"/>
  <c r="D21" i="36" s="1"/>
  <c r="P50" i="192"/>
  <c r="F21" i="105"/>
  <c r="F23" i="105" s="1"/>
  <c r="E22" i="102"/>
  <c r="E24" i="102" s="1"/>
  <c r="P48" i="228"/>
  <c r="P89" i="51"/>
  <c r="D29" i="36" l="1"/>
  <c r="H29" i="36" s="1"/>
  <c r="D30" i="36"/>
  <c r="H30" i="36" s="1"/>
  <c r="D28" i="36"/>
  <c r="C24" i="102"/>
  <c r="D25" i="36"/>
  <c r="H25" i="36" s="1"/>
  <c r="L35" i="35"/>
  <c r="M39" i="35"/>
  <c r="D23" i="36"/>
  <c r="H23" i="36" s="1"/>
  <c r="D20" i="36"/>
  <c r="H20" i="36" s="1"/>
  <c r="H21" i="36"/>
  <c r="H17" i="36"/>
  <c r="E17" i="102"/>
  <c r="E19" i="102" s="1"/>
  <c r="C19" i="102"/>
  <c r="M46" i="35"/>
  <c r="L42" i="35"/>
  <c r="H146" i="51"/>
  <c r="H148" i="51" s="1"/>
  <c r="P29" i="192"/>
  <c r="P25" i="192"/>
  <c r="L25" i="35"/>
  <c r="M28" i="35"/>
  <c r="I17" i="102"/>
  <c r="I19" i="102" s="1"/>
  <c r="G19" i="102"/>
  <c r="D23" i="105"/>
  <c r="P26" i="192"/>
  <c r="P40" i="192"/>
  <c r="D56" i="100" s="1"/>
  <c r="F56" i="100" s="1"/>
  <c r="P21" i="192"/>
  <c r="P18" i="192"/>
  <c r="P38" i="192"/>
  <c r="D28" i="100" s="1"/>
  <c r="D29" i="100" s="1"/>
  <c r="P41" i="192"/>
  <c r="D57" i="100" s="1"/>
  <c r="F57" i="100" s="1"/>
  <c r="P39" i="192"/>
  <c r="D55" i="100" s="1"/>
  <c r="P33" i="192"/>
  <c r="P47" i="192"/>
  <c r="P31" i="192"/>
  <c r="P22" i="192"/>
  <c r="P34" i="192"/>
  <c r="P19" i="228"/>
  <c r="P26" i="228"/>
  <c r="P33" i="228"/>
  <c r="P49" i="192"/>
  <c r="N44" i="192"/>
  <c r="N52" i="192" s="1"/>
  <c r="D42" i="228"/>
  <c r="P30" i="192"/>
  <c r="P38" i="228"/>
  <c r="H56" i="100" s="1"/>
  <c r="J56" i="100" s="1"/>
  <c r="K44" i="192"/>
  <c r="K52" i="192" s="1"/>
  <c r="P17" i="192"/>
  <c r="P36" i="228"/>
  <c r="H28" i="100" s="1"/>
  <c r="G24" i="102"/>
  <c r="I22" i="102"/>
  <c r="I24" i="102" s="1"/>
  <c r="P32" i="192"/>
  <c r="P32" i="228"/>
  <c r="P43" i="228"/>
  <c r="M44" i="192"/>
  <c r="M52" i="192" s="1"/>
  <c r="L44" i="192"/>
  <c r="P24" i="192"/>
  <c r="P27" i="192"/>
  <c r="P39" i="228"/>
  <c r="H57" i="100" s="1"/>
  <c r="J57" i="100" s="1"/>
  <c r="P45" i="192"/>
  <c r="P43" i="192"/>
  <c r="P48" i="192"/>
  <c r="P17" i="228"/>
  <c r="P20" i="192"/>
  <c r="P47" i="228"/>
  <c r="P35" i="192"/>
  <c r="O44" i="192"/>
  <c r="P19" i="192"/>
  <c r="P20" i="228"/>
  <c r="P42" i="192"/>
  <c r="P46" i="192"/>
  <c r="P28" i="192"/>
  <c r="P82" i="51"/>
  <c r="P101" i="51"/>
  <c r="P54" i="51"/>
  <c r="P105" i="51"/>
  <c r="P57" i="51"/>
  <c r="P117" i="51"/>
  <c r="P81" i="51"/>
  <c r="P114" i="51"/>
  <c r="P92" i="51"/>
  <c r="P100" i="51"/>
  <c r="P127" i="51"/>
  <c r="P126" i="51"/>
  <c r="P132" i="51"/>
  <c r="P59" i="51"/>
  <c r="D31" i="36" l="1"/>
  <c r="H31" i="36" s="1"/>
  <c r="H28" i="36"/>
  <c r="P25" i="193"/>
  <c r="F28" i="100"/>
  <c r="F29" i="100" s="1"/>
  <c r="P49" i="51"/>
  <c r="F31" i="105"/>
  <c r="F33" i="105" s="1"/>
  <c r="D33" i="105"/>
  <c r="P93" i="51"/>
  <c r="P131" i="51"/>
  <c r="P102" i="51"/>
  <c r="P24" i="193"/>
  <c r="P116" i="51"/>
  <c r="P130" i="51"/>
  <c r="P58" i="51"/>
  <c r="L52" i="192"/>
  <c r="L54" i="192"/>
  <c r="L56" i="192" s="1"/>
  <c r="D50" i="228"/>
  <c r="D52" i="228"/>
  <c r="J28" i="100"/>
  <c r="J29" i="100" s="1"/>
  <c r="H29" i="100"/>
  <c r="K54" i="192"/>
  <c r="N54" i="192"/>
  <c r="N56" i="192" s="1"/>
  <c r="O52" i="192"/>
  <c r="O54" i="192"/>
  <c r="O56" i="192" s="1"/>
  <c r="M54" i="192"/>
  <c r="M56" i="192" s="1"/>
  <c r="P44" i="192"/>
  <c r="D59" i="100"/>
  <c r="F55" i="100"/>
  <c r="F59" i="100" s="1"/>
  <c r="D33" i="36" l="1"/>
  <c r="H33" i="36" s="1"/>
  <c r="P18" i="227"/>
  <c r="P28" i="227"/>
  <c r="L22" i="193"/>
  <c r="P23" i="227"/>
  <c r="P26" i="193"/>
  <c r="P15" i="193"/>
  <c r="P23" i="193"/>
  <c r="H139" i="51"/>
  <c r="K22" i="193"/>
  <c r="K30" i="193" s="1"/>
  <c r="O22" i="193"/>
  <c r="O30" i="193" s="1"/>
  <c r="M22" i="193"/>
  <c r="M30" i="193" s="1"/>
  <c r="P20" i="193"/>
  <c r="P17" i="193"/>
  <c r="P16" i="193"/>
  <c r="P18" i="193"/>
  <c r="H134" i="51"/>
  <c r="I32" i="102"/>
  <c r="I34" i="102" s="1"/>
  <c r="G34" i="102"/>
  <c r="P21" i="193"/>
  <c r="P28" i="193"/>
  <c r="P27" i="193"/>
  <c r="N22" i="193"/>
  <c r="N30" i="193" s="1"/>
  <c r="P19" i="193"/>
  <c r="P91" i="51"/>
  <c r="E32" i="102"/>
  <c r="E34" i="102" s="1"/>
  <c r="C34" i="102"/>
  <c r="P14" i="193"/>
  <c r="E27" i="102"/>
  <c r="P52" i="192"/>
  <c r="E42" i="228"/>
  <c r="D54" i="228"/>
  <c r="K56" i="192"/>
  <c r="P54" i="192"/>
  <c r="E22" i="227"/>
  <c r="N32" i="193" l="1"/>
  <c r="N34" i="193" s="1"/>
  <c r="M32" i="193"/>
  <c r="M34" i="193" s="1"/>
  <c r="L32" i="193"/>
  <c r="L34" i="193" s="1"/>
  <c r="E32" i="227"/>
  <c r="E34" i="227" s="1"/>
  <c r="K32" i="193"/>
  <c r="D22" i="227"/>
  <c r="P22" i="193"/>
  <c r="P30" i="193" s="1"/>
  <c r="E30" i="227"/>
  <c r="O32" i="193"/>
  <c r="O34" i="193" s="1"/>
  <c r="P139" i="51"/>
  <c r="H142" i="51"/>
  <c r="L30" i="193"/>
  <c r="F42" i="228"/>
  <c r="P56" i="192"/>
  <c r="E52" i="228"/>
  <c r="E50" i="228"/>
  <c r="P55" i="192" l="1"/>
  <c r="F22" i="227"/>
  <c r="D32" i="227"/>
  <c r="D30" i="227"/>
  <c r="P32" i="193"/>
  <c r="K34" i="193"/>
  <c r="F52" i="228"/>
  <c r="F54" i="228" s="1"/>
  <c r="F50" i="228"/>
  <c r="G42" i="228"/>
  <c r="E54" i="228"/>
  <c r="P16" i="228" l="1"/>
  <c r="P24" i="228"/>
  <c r="P34" i="193"/>
  <c r="D34" i="227"/>
  <c r="F30" i="227"/>
  <c r="F32" i="227"/>
  <c r="F34" i="227" s="1"/>
  <c r="P29" i="228"/>
  <c r="G22" i="227"/>
  <c r="H42" i="228"/>
  <c r="J21" i="105"/>
  <c r="J23" i="105" s="1"/>
  <c r="H23" i="105"/>
  <c r="G52" i="228"/>
  <c r="G50" i="228"/>
  <c r="P40" i="228"/>
  <c r="P35" i="228"/>
  <c r="P37" i="228"/>
  <c r="H55" i="100" s="1"/>
  <c r="P31" i="228"/>
  <c r="P22" i="228"/>
  <c r="P30" i="228"/>
  <c r="P18" i="228"/>
  <c r="P28" i="228"/>
  <c r="P23" i="228"/>
  <c r="H22" i="227"/>
  <c r="P33" i="193" l="1"/>
  <c r="H32" i="227"/>
  <c r="H34" i="227" s="1"/>
  <c r="H30" i="227"/>
  <c r="D15" i="49"/>
  <c r="G32" i="227"/>
  <c r="G34" i="227" s="1"/>
  <c r="G30" i="227"/>
  <c r="P27" i="228"/>
  <c r="P41" i="228"/>
  <c r="P15" i="228"/>
  <c r="G54" i="228"/>
  <c r="H52" i="228"/>
  <c r="H54" i="228" s="1"/>
  <c r="H50" i="228"/>
  <c r="H59" i="100"/>
  <c r="J55" i="100"/>
  <c r="J59" i="100" s="1"/>
  <c r="I42" i="228"/>
  <c r="P78" i="51"/>
  <c r="P103" i="51"/>
  <c r="P76" i="51"/>
  <c r="P115" i="51"/>
  <c r="P120" i="51"/>
  <c r="P63" i="51"/>
  <c r="P119" i="51"/>
  <c r="P52" i="51"/>
  <c r="P55" i="51"/>
  <c r="F19" i="250"/>
  <c r="I22" i="227"/>
  <c r="P122" i="51" l="1"/>
  <c r="P66" i="51"/>
  <c r="P109" i="51"/>
  <c r="P53" i="51"/>
  <c r="P56" i="51"/>
  <c r="P123" i="51"/>
  <c r="P99" i="51"/>
  <c r="I32" i="227"/>
  <c r="I30" i="227"/>
  <c r="O32" i="35"/>
  <c r="O42" i="35" s="1"/>
  <c r="N30" i="35"/>
  <c r="P62" i="51"/>
  <c r="P72" i="51"/>
  <c r="P113" i="51"/>
  <c r="P61" i="51"/>
  <c r="F144" i="51"/>
  <c r="D16" i="49"/>
  <c r="P44" i="228"/>
  <c r="J42" i="228"/>
  <c r="I52" i="228"/>
  <c r="I54" i="228" s="1"/>
  <c r="I50" i="228"/>
  <c r="P25" i="228"/>
  <c r="P71" i="51"/>
  <c r="P88" i="51"/>
  <c r="P104" i="51"/>
  <c r="P87" i="51"/>
  <c r="P85" i="51"/>
  <c r="P84" i="51"/>
  <c r="P86" i="51"/>
  <c r="P90" i="51"/>
  <c r="J42" i="35" l="1"/>
  <c r="L28" i="36"/>
  <c r="L29" i="36"/>
  <c r="J29" i="36" s="1"/>
  <c r="L30" i="36"/>
  <c r="J30" i="36" s="1"/>
  <c r="J134" i="51"/>
  <c r="P80" i="51"/>
  <c r="F146" i="51"/>
  <c r="F148" i="51" s="1"/>
  <c r="P51" i="51"/>
  <c r="O46" i="35"/>
  <c r="N42" i="35"/>
  <c r="P108" i="51"/>
  <c r="H33" i="105"/>
  <c r="J31" i="105"/>
  <c r="J33" i="105" s="1"/>
  <c r="J22" i="227"/>
  <c r="P24" i="227"/>
  <c r="J140" i="51"/>
  <c r="P140" i="51" s="1"/>
  <c r="L17" i="36"/>
  <c r="L21" i="36" s="1"/>
  <c r="N26" i="35"/>
  <c r="O25" i="35"/>
  <c r="I34" i="227"/>
  <c r="K42" i="228"/>
  <c r="J52" i="228"/>
  <c r="J54" i="228" s="1"/>
  <c r="J50" i="228"/>
  <c r="P16" i="227"/>
  <c r="F34" i="250"/>
  <c r="P27" i="227"/>
  <c r="P15" i="227"/>
  <c r="P21" i="227"/>
  <c r="P19" i="227"/>
  <c r="P17" i="227"/>
  <c r="P20" i="227"/>
  <c r="L31" i="36" l="1"/>
  <c r="J28" i="36"/>
  <c r="O24" i="35"/>
  <c r="O28" i="35" s="1"/>
  <c r="J25" i="35"/>
  <c r="L42" i="228"/>
  <c r="L50" i="228" s="1"/>
  <c r="P14" i="227"/>
  <c r="K52" i="228"/>
  <c r="K54" i="228" s="1"/>
  <c r="N25" i="35"/>
  <c r="J32" i="227"/>
  <c r="J30" i="227"/>
  <c r="K22" i="227"/>
  <c r="K50" i="228"/>
  <c r="L20" i="36"/>
  <c r="J20" i="36" s="1"/>
  <c r="J21" i="36"/>
  <c r="L23" i="36"/>
  <c r="J23" i="36" s="1"/>
  <c r="J17" i="36"/>
  <c r="F37" i="250"/>
  <c r="F33" i="250"/>
  <c r="J43" i="35" l="1"/>
  <c r="J31" i="36"/>
  <c r="N24" i="35"/>
  <c r="J24" i="35"/>
  <c r="L52" i="228"/>
  <c r="L54" i="228" s="1"/>
  <c r="L22" i="227"/>
  <c r="N36" i="35"/>
  <c r="O35" i="35"/>
  <c r="J35" i="35" s="1"/>
  <c r="K32" i="227"/>
  <c r="K34" i="227" s="1"/>
  <c r="K30" i="227"/>
  <c r="J34" i="227"/>
  <c r="M42" i="228"/>
  <c r="F36" i="250"/>
  <c r="M22" i="227"/>
  <c r="M32" i="227" l="1"/>
  <c r="M34" i="227" s="1"/>
  <c r="M30" i="227"/>
  <c r="P125" i="51"/>
  <c r="O39" i="35"/>
  <c r="N35" i="35"/>
  <c r="L25" i="36"/>
  <c r="J25" i="36" s="1"/>
  <c r="J33" i="36" s="1"/>
  <c r="L33" i="36" s="1"/>
  <c r="P124" i="51"/>
  <c r="L32" i="227"/>
  <c r="L30" i="227"/>
  <c r="P45" i="228"/>
  <c r="O42" i="228"/>
  <c r="P46" i="228"/>
  <c r="N42" i="228"/>
  <c r="M52" i="228"/>
  <c r="M54" i="228" s="1"/>
  <c r="M50" i="228"/>
  <c r="O22" i="227"/>
  <c r="O32" i="227" l="1"/>
  <c r="O34" i="227" s="1"/>
  <c r="O30" i="227"/>
  <c r="N22" i="227"/>
  <c r="P22" i="227" s="1"/>
  <c r="F138" i="51"/>
  <c r="F134" i="51"/>
  <c r="P26" i="227"/>
  <c r="L34" i="227"/>
  <c r="P25" i="227"/>
  <c r="N52" i="228"/>
  <c r="N54" i="228" s="1"/>
  <c r="N50" i="228"/>
  <c r="O52" i="228"/>
  <c r="O50" i="228"/>
  <c r="P42" i="228"/>
  <c r="P50" i="228" s="1"/>
  <c r="P30" i="227" l="1"/>
  <c r="P138" i="51"/>
  <c r="F142" i="51"/>
  <c r="N32" i="227"/>
  <c r="N30" i="227"/>
  <c r="O54" i="228"/>
  <c r="P52" i="228"/>
  <c r="N34" i="227" l="1"/>
  <c r="P34" i="227" s="1"/>
  <c r="P32" i="227"/>
  <c r="P54" i="228"/>
  <c r="P53" i="228" l="1"/>
  <c r="I27" i="102" l="1"/>
  <c r="E28" i="102" l="1"/>
  <c r="E29" i="102" s="1"/>
  <c r="J29" i="190"/>
  <c r="P32" i="226"/>
  <c r="P34" i="190"/>
  <c r="C29" i="102" l="1"/>
  <c r="J38" i="190"/>
  <c r="P37" i="190"/>
  <c r="I28" i="102"/>
  <c r="I29" i="102" s="1"/>
  <c r="G29" i="102"/>
  <c r="P21" i="190"/>
  <c r="P36" i="190"/>
  <c r="P25" i="190"/>
  <c r="P34" i="226"/>
  <c r="P24" i="226"/>
  <c r="H63" i="100" s="1"/>
  <c r="P19" i="226"/>
  <c r="P26" i="190"/>
  <c r="P23" i="226"/>
  <c r="H35" i="100" s="1"/>
  <c r="P35" i="226"/>
  <c r="P28" i="226"/>
  <c r="P30" i="190"/>
  <c r="J40" i="190" l="1"/>
  <c r="J42" i="190" s="1"/>
  <c r="J100" i="44" s="1"/>
  <c r="D35" i="100"/>
  <c r="F35" i="100" s="1"/>
  <c r="F36" i="100" s="1"/>
  <c r="D63" i="100"/>
  <c r="H66" i="100"/>
  <c r="J63" i="100"/>
  <c r="J66" i="100" s="1"/>
  <c r="J35" i="100"/>
  <c r="J36" i="100" s="1"/>
  <c r="H36" i="100"/>
  <c r="J111" i="44" l="1"/>
  <c r="D36" i="100"/>
  <c r="D66" i="100"/>
  <c r="F63" i="100"/>
  <c r="F66" i="100" s="1"/>
  <c r="P31" i="190" l="1"/>
  <c r="P29" i="226"/>
  <c r="P20" i="190" l="1"/>
  <c r="P32" i="190" l="1"/>
  <c r="P18" i="226"/>
  <c r="P24" i="190"/>
  <c r="P19" i="190"/>
  <c r="D28" i="105" l="1"/>
  <c r="D35" i="105" s="1"/>
  <c r="F26" i="105"/>
  <c r="F28" i="105" s="1"/>
  <c r="F35" i="105" s="1"/>
  <c r="P22" i="226"/>
  <c r="P17" i="226"/>
  <c r="P33" i="190"/>
  <c r="H28" i="105" l="1"/>
  <c r="H35" i="105" s="1"/>
  <c r="J26" i="105"/>
  <c r="J28" i="105" s="1"/>
  <c r="J35" i="105" s="1"/>
  <c r="P30" i="226"/>
  <c r="P31" i="226"/>
  <c r="P23" i="190" l="1"/>
  <c r="P18" i="190"/>
  <c r="N29" i="190"/>
  <c r="P28" i="190"/>
  <c r="O29" i="190"/>
  <c r="P35" i="190"/>
  <c r="P27" i="190"/>
  <c r="M29" i="190"/>
  <c r="L29" i="190"/>
  <c r="E27" i="226"/>
  <c r="G27" i="226"/>
  <c r="G36" i="226" s="1"/>
  <c r="M38" i="190" l="1"/>
  <c r="O38" i="190"/>
  <c r="P21" i="226"/>
  <c r="P33" i="226"/>
  <c r="P25" i="226"/>
  <c r="P26" i="226"/>
  <c r="I27" i="226"/>
  <c r="I36" i="226" s="1"/>
  <c r="L38" i="190"/>
  <c r="L40" i="190"/>
  <c r="L42" i="190" s="1"/>
  <c r="L100" i="44" s="1"/>
  <c r="G38" i="226"/>
  <c r="G40" i="226" s="1"/>
  <c r="G100" i="222" s="1"/>
  <c r="N38" i="190"/>
  <c r="N40" i="190"/>
  <c r="N42" i="190" s="1"/>
  <c r="N100" i="44" s="1"/>
  <c r="N27" i="226"/>
  <c r="P16" i="226"/>
  <c r="M27" i="226"/>
  <c r="H27" i="226"/>
  <c r="P17" i="190"/>
  <c r="K29" i="190"/>
  <c r="L27" i="226"/>
  <c r="K27" i="226"/>
  <c r="K36" i="226" s="1"/>
  <c r="E36" i="226"/>
  <c r="E38" i="226"/>
  <c r="E40" i="226" s="1"/>
  <c r="E100" i="222" s="1"/>
  <c r="F27" i="226"/>
  <c r="F36" i="226" s="1"/>
  <c r="M40" i="190"/>
  <c r="M42" i="190" s="1"/>
  <c r="M100" i="44" s="1"/>
  <c r="O40" i="190"/>
  <c r="O42" i="190" s="1"/>
  <c r="O100" i="44" s="1"/>
  <c r="D27" i="226"/>
  <c r="P15" i="226" l="1"/>
  <c r="L38" i="226"/>
  <c r="L40" i="226" s="1"/>
  <c r="L100" i="222" s="1"/>
  <c r="L36" i="226"/>
  <c r="F38" i="226"/>
  <c r="F40" i="226" s="1"/>
  <c r="F100" i="222" s="1"/>
  <c r="H36" i="226"/>
  <c r="H38" i="226"/>
  <c r="H40" i="226" s="1"/>
  <c r="H100" i="222" s="1"/>
  <c r="M36" i="226"/>
  <c r="M38" i="226"/>
  <c r="M40" i="226" s="1"/>
  <c r="M100" i="222" s="1"/>
  <c r="N36" i="226"/>
  <c r="N38" i="226"/>
  <c r="N40" i="226" s="1"/>
  <c r="N100" i="222" s="1"/>
  <c r="I38" i="226"/>
  <c r="I40" i="226" s="1"/>
  <c r="I100" i="222" s="1"/>
  <c r="D38" i="226"/>
  <c r="D40" i="226" s="1"/>
  <c r="J27" i="226"/>
  <c r="J36" i="226" s="1"/>
  <c r="P29" i="190"/>
  <c r="D36" i="226"/>
  <c r="K38" i="226"/>
  <c r="K40" i="226" s="1"/>
  <c r="K100" i="222" s="1"/>
  <c r="K38" i="190"/>
  <c r="O27" i="226"/>
  <c r="P38" i="190" l="1"/>
  <c r="O38" i="226"/>
  <c r="O40" i="226" s="1"/>
  <c r="O100" i="222" s="1"/>
  <c r="K40" i="190"/>
  <c r="F17" i="250"/>
  <c r="P27" i="226"/>
  <c r="P36" i="226" s="1"/>
  <c r="J38" i="226"/>
  <c r="J40" i="226" s="1"/>
  <c r="J100" i="222" s="1"/>
  <c r="F28" i="250"/>
  <c r="D100" i="222"/>
  <c r="F30" i="250"/>
  <c r="F27" i="250"/>
  <c r="O36" i="226"/>
  <c r="F31" i="250"/>
  <c r="F15" i="250"/>
  <c r="P40" i="226" l="1"/>
  <c r="F39" i="250"/>
  <c r="F23" i="250"/>
  <c r="P40" i="190"/>
  <c r="K42" i="190"/>
  <c r="P100" i="222"/>
  <c r="F41" i="250" l="1"/>
  <c r="L26" i="42"/>
  <c r="D154" i="79"/>
  <c r="P42" i="190"/>
  <c r="K100" i="44"/>
  <c r="P41" i="190" l="1"/>
  <c r="P100" i="44"/>
  <c r="J26" i="42" l="1"/>
  <c r="D158" i="45"/>
  <c r="N121" i="51"/>
  <c r="D121" i="51" l="1"/>
  <c r="P121" i="51"/>
  <c r="N142" i="51"/>
  <c r="N134" i="51"/>
  <c r="D142" i="51" l="1"/>
  <c r="D144" i="51" s="1"/>
  <c r="D22" i="36" l="1"/>
  <c r="H22" i="36" s="1"/>
  <c r="L22" i="36"/>
  <c r="J22" i="36" l="1"/>
  <c r="H57" i="238" l="1"/>
  <c r="H58" i="238"/>
  <c r="G58" i="238"/>
  <c r="G57" i="238"/>
  <c r="H29" i="238"/>
  <c r="K58" i="238"/>
  <c r="K57" i="238"/>
  <c r="I58" i="238"/>
  <c r="I57" i="238"/>
  <c r="G44" i="238"/>
  <c r="G45" i="238"/>
  <c r="H44" i="238"/>
  <c r="H45" i="238"/>
  <c r="I44" i="238"/>
  <c r="I45" i="238"/>
  <c r="K45" i="238"/>
  <c r="K44" i="238"/>
  <c r="J57" i="238"/>
  <c r="J58" i="238"/>
  <c r="J44" i="238"/>
  <c r="J45" i="238"/>
  <c r="I56" i="238" l="1"/>
  <c r="I63" i="238" s="1"/>
  <c r="I68" i="238" s="1"/>
  <c r="I23" i="238" s="1"/>
  <c r="L62" i="171"/>
  <c r="L67" i="171" s="1"/>
  <c r="G56" i="238"/>
  <c r="G63" i="238" s="1"/>
  <c r="G68" i="238" s="1"/>
  <c r="G23" i="238" s="1"/>
  <c r="J62" i="171"/>
  <c r="F57" i="238"/>
  <c r="O57" i="238" s="1"/>
  <c r="O56" i="171"/>
  <c r="F45" i="238"/>
  <c r="O45" i="238" s="1"/>
  <c r="O44" i="171"/>
  <c r="J56" i="238"/>
  <c r="J63" i="238" s="1"/>
  <c r="J68" i="238" s="1"/>
  <c r="J23" i="238" s="1"/>
  <c r="M62" i="171"/>
  <c r="M67" i="171" s="1"/>
  <c r="H43" i="238"/>
  <c r="H48" i="238" s="1"/>
  <c r="H53" i="238" s="1"/>
  <c r="H21" i="238" s="1"/>
  <c r="K47" i="171"/>
  <c r="G43" i="238"/>
  <c r="G48" i="238" s="1"/>
  <c r="G53" i="238" s="1"/>
  <c r="G21" i="238" s="1"/>
  <c r="J47" i="171"/>
  <c r="K43" i="238"/>
  <c r="K48" i="238" s="1"/>
  <c r="K53" i="238" s="1"/>
  <c r="K21" i="238" s="1"/>
  <c r="N47" i="171"/>
  <c r="N52" i="171" s="1"/>
  <c r="F56" i="238"/>
  <c r="I62" i="171"/>
  <c r="O55" i="171"/>
  <c r="F44" i="238"/>
  <c r="O44" i="238" s="1"/>
  <c r="O43" i="171"/>
  <c r="F43" i="238"/>
  <c r="I47" i="171"/>
  <c r="O42" i="171"/>
  <c r="J43" i="238"/>
  <c r="J48" i="238" s="1"/>
  <c r="J53" i="238" s="1"/>
  <c r="J21" i="238" s="1"/>
  <c r="M47" i="171"/>
  <c r="M52" i="171" s="1"/>
  <c r="I43" i="238"/>
  <c r="I48" i="238" s="1"/>
  <c r="I53" i="238" s="1"/>
  <c r="I21" i="238" s="1"/>
  <c r="L47" i="171"/>
  <c r="L52" i="171" s="1"/>
  <c r="K56" i="238"/>
  <c r="K63" i="238" s="1"/>
  <c r="K68" i="238" s="1"/>
  <c r="K23" i="238" s="1"/>
  <c r="N62" i="171"/>
  <c r="N67" i="171" s="1"/>
  <c r="F58" i="238"/>
  <c r="O58" i="238" s="1"/>
  <c r="O57" i="171"/>
  <c r="H56" i="238"/>
  <c r="H63" i="238" s="1"/>
  <c r="H68" i="238" s="1"/>
  <c r="H23" i="238" s="1"/>
  <c r="K62" i="171"/>
  <c r="G30" i="238"/>
  <c r="G29" i="238"/>
  <c r="H30" i="238"/>
  <c r="I28" i="238" l="1"/>
  <c r="L34" i="171"/>
  <c r="L39" i="171" s="1"/>
  <c r="F30" i="238"/>
  <c r="O29" i="171"/>
  <c r="N29" i="238"/>
  <c r="K29" i="238"/>
  <c r="J28" i="238"/>
  <c r="M34" i="171"/>
  <c r="M39" i="171" s="1"/>
  <c r="L20" i="171"/>
  <c r="O52" i="171"/>
  <c r="N20" i="171"/>
  <c r="G28" i="238"/>
  <c r="G35" i="238" s="1"/>
  <c r="G40" i="238" s="1"/>
  <c r="G22" i="238" s="1"/>
  <c r="G25" i="238" s="1"/>
  <c r="H16" i="222" s="1"/>
  <c r="J34" i="171"/>
  <c r="O47" i="171"/>
  <c r="F28" i="238"/>
  <c r="I34" i="171"/>
  <c r="O27" i="171"/>
  <c r="L30" i="238"/>
  <c r="I30" i="238"/>
  <c r="H28" i="238"/>
  <c r="H35" i="238" s="1"/>
  <c r="H40" i="238" s="1"/>
  <c r="H22" i="238" s="1"/>
  <c r="H25" i="238" s="1"/>
  <c r="I16" i="222" s="1"/>
  <c r="K34" i="171"/>
  <c r="N30" i="238"/>
  <c r="K30" i="238"/>
  <c r="M30" i="238"/>
  <c r="J30" i="238"/>
  <c r="N22" i="171"/>
  <c r="M20" i="171"/>
  <c r="O43" i="238"/>
  <c r="F48" i="238"/>
  <c r="O62" i="171"/>
  <c r="M22" i="171"/>
  <c r="L22" i="171"/>
  <c r="O67" i="171"/>
  <c r="I29" i="238"/>
  <c r="L29" i="238"/>
  <c r="L35" i="238" s="1"/>
  <c r="L40" i="238" s="1"/>
  <c r="L22" i="238" s="1"/>
  <c r="L25" i="238" s="1"/>
  <c r="M16" i="222" s="1"/>
  <c r="F29" i="238"/>
  <c r="O28" i="171"/>
  <c r="K28" i="238"/>
  <c r="K35" i="238" s="1"/>
  <c r="K40" i="238" s="1"/>
  <c r="K22" i="238" s="1"/>
  <c r="K25" i="238" s="1"/>
  <c r="L16" i="222" s="1"/>
  <c r="N34" i="171"/>
  <c r="N39" i="171" s="1"/>
  <c r="M29" i="238"/>
  <c r="J29" i="238"/>
  <c r="O56" i="238"/>
  <c r="F63" i="238"/>
  <c r="M35" i="238" l="1"/>
  <c r="M40" i="238" s="1"/>
  <c r="M22" i="238" s="1"/>
  <c r="M25" i="238" s="1"/>
  <c r="N16" i="222" s="1"/>
  <c r="M21" i="171"/>
  <c r="M24" i="171" s="1"/>
  <c r="N16" i="44" s="1"/>
  <c r="F68" i="238"/>
  <c r="O63" i="238"/>
  <c r="O29" i="238"/>
  <c r="J35" i="238"/>
  <c r="J40" i="238" s="1"/>
  <c r="J22" i="238" s="1"/>
  <c r="J25" i="238" s="1"/>
  <c r="K16" i="222" s="1"/>
  <c r="O30" i="238"/>
  <c r="O34" i="171"/>
  <c r="L21" i="171"/>
  <c r="L24" i="171" s="1"/>
  <c r="O39" i="171"/>
  <c r="N21" i="171"/>
  <c r="F53" i="238"/>
  <c r="O48" i="238"/>
  <c r="O22" i="171"/>
  <c r="O28" i="238"/>
  <c r="F35" i="238"/>
  <c r="O20" i="171"/>
  <c r="N35" i="238"/>
  <c r="N40" i="238" s="1"/>
  <c r="N22" i="238" s="1"/>
  <c r="N25" i="238" s="1"/>
  <c r="O16" i="222" s="1"/>
  <c r="I35" i="238"/>
  <c r="I40" i="238" s="1"/>
  <c r="I22" i="238" s="1"/>
  <c r="I25" i="238" s="1"/>
  <c r="J16" i="222" s="1"/>
  <c r="O21" i="171" l="1"/>
  <c r="F40" i="238"/>
  <c r="O35" i="238"/>
  <c r="F21" i="238"/>
  <c r="O53" i="238"/>
  <c r="F23" i="238"/>
  <c r="O23" i="238" s="1"/>
  <c r="O68" i="238"/>
  <c r="M16" i="44"/>
  <c r="N24" i="171"/>
  <c r="O16" i="44" s="1"/>
  <c r="F22" i="238" l="1"/>
  <c r="O22" i="238" s="1"/>
  <c r="O40" i="238"/>
  <c r="O24" i="171"/>
  <c r="P16" i="44"/>
  <c r="O21" i="238"/>
  <c r="F25" i="238" l="1"/>
  <c r="O25" i="238" s="1"/>
  <c r="D19" i="48"/>
  <c r="D176" i="45"/>
  <c r="D168" i="51"/>
  <c r="G16" i="222" l="1"/>
  <c r="D27" i="46"/>
  <c r="J28" i="42"/>
  <c r="P16" i="222"/>
  <c r="D18" i="48" l="1"/>
  <c r="D20" i="48" s="1"/>
  <c r="H168" i="51" s="1"/>
  <c r="D172" i="79"/>
  <c r="D21" i="47"/>
  <c r="L28" i="42" l="1"/>
  <c r="K27" i="46"/>
  <c r="D21" i="48"/>
  <c r="F27" i="46" l="1"/>
  <c r="O27" i="46"/>
  <c r="H170" i="51"/>
  <c r="H172" i="51" s="1"/>
  <c r="P168" i="51"/>
  <c r="P170" i="51" s="1"/>
  <c r="P172" i="51" s="1"/>
  <c r="F21" i="47" l="1"/>
  <c r="H173" i="237" l="1"/>
  <c r="F102" i="207" l="1"/>
  <c r="I102" i="207" s="1"/>
  <c r="F106" i="213"/>
  <c r="I106" i="213" s="1"/>
  <c r="F106" i="207"/>
  <c r="I106" i="207" s="1"/>
  <c r="F93" i="207"/>
  <c r="I93" i="207" s="1"/>
  <c r="F93" i="236"/>
  <c r="I93" i="236" s="1"/>
  <c r="N93" i="207"/>
  <c r="F93" i="213"/>
  <c r="I93" i="213" s="1"/>
  <c r="N102" i="207"/>
  <c r="F102" i="213"/>
  <c r="I102" i="213" s="1"/>
  <c r="N93" i="213" l="1"/>
  <c r="N102" i="213"/>
  <c r="F101" i="207" l="1"/>
  <c r="I101" i="207" s="1"/>
  <c r="F105" i="207"/>
  <c r="I105" i="207" s="1"/>
  <c r="N101" i="236" l="1"/>
  <c r="F101" i="236"/>
  <c r="I101" i="236" s="1"/>
  <c r="N101" i="207"/>
  <c r="N105" i="236" l="1"/>
  <c r="F105" i="236"/>
  <c r="I105" i="236" s="1"/>
  <c r="H93" i="237" l="1"/>
  <c r="F93" i="209" l="1"/>
  <c r="I93" i="209" s="1"/>
  <c r="F256" i="207" l="1"/>
  <c r="I256" i="207" s="1"/>
  <c r="N256" i="207" l="1"/>
  <c r="F241" i="207"/>
  <c r="I241" i="207" s="1"/>
  <c r="F239" i="207"/>
  <c r="I239" i="207" s="1"/>
  <c r="F240" i="207"/>
  <c r="I240" i="207" s="1"/>
  <c r="F238" i="207"/>
  <c r="I238" i="207" s="1"/>
  <c r="F236" i="207"/>
  <c r="I236" i="207" s="1"/>
  <c r="F235" i="207"/>
  <c r="I235" i="207" s="1"/>
  <c r="N245" i="207" l="1"/>
  <c r="F245" i="207"/>
  <c r="I245" i="207" s="1"/>
  <c r="N257" i="207"/>
  <c r="F257" i="207"/>
  <c r="I257" i="207" s="1"/>
  <c r="F250" i="207"/>
  <c r="I250" i="207" s="1"/>
  <c r="F253" i="207"/>
  <c r="I253" i="207" s="1"/>
  <c r="F246" i="207"/>
  <c r="I246" i="207" s="1"/>
  <c r="N240" i="207"/>
  <c r="N241" i="207"/>
  <c r="F248" i="207"/>
  <c r="I248" i="207" s="1"/>
  <c r="F252" i="207"/>
  <c r="I252" i="207" s="1"/>
  <c r="F254" i="207"/>
  <c r="I254" i="207" s="1"/>
  <c r="F247" i="207"/>
  <c r="I247" i="207" s="1"/>
  <c r="F251" i="207"/>
  <c r="I251" i="207" s="1"/>
  <c r="N235" i="207"/>
  <c r="N236" i="207"/>
  <c r="N238" i="207"/>
  <c r="N239" i="207"/>
  <c r="F243" i="207" l="1"/>
  <c r="I243" i="207" s="1"/>
  <c r="F242" i="207"/>
  <c r="I242" i="207" s="1"/>
  <c r="F244" i="207"/>
  <c r="I244" i="207" s="1"/>
  <c r="N247" i="207"/>
  <c r="N252" i="207"/>
  <c r="N246" i="207"/>
  <c r="N251" i="207"/>
  <c r="N250" i="207"/>
  <c r="N254" i="207"/>
  <c r="N248" i="207"/>
  <c r="N253" i="207"/>
  <c r="N244" i="207"/>
  <c r="N242" i="207"/>
  <c r="N243" i="207"/>
  <c r="F243" i="213"/>
  <c r="I243" i="213" s="1"/>
  <c r="F244" i="213"/>
  <c r="I244" i="213" s="1"/>
  <c r="F242" i="213"/>
  <c r="I242" i="213" s="1"/>
  <c r="N242" i="213" l="1"/>
  <c r="F249" i="207"/>
  <c r="I249" i="207" s="1"/>
  <c r="F237" i="213"/>
  <c r="I237" i="213" s="1"/>
  <c r="F237" i="207"/>
  <c r="I237" i="207" s="1"/>
  <c r="F255" i="207"/>
  <c r="I255" i="207" s="1"/>
  <c r="N249" i="207"/>
  <c r="F249" i="213"/>
  <c r="I249" i="213" s="1"/>
  <c r="F254" i="213"/>
  <c r="I254" i="213" s="1"/>
  <c r="F251" i="213"/>
  <c r="I251" i="213" s="1"/>
  <c r="F246" i="213"/>
  <c r="I246" i="213" s="1"/>
  <c r="N255" i="207"/>
  <c r="F253" i="213"/>
  <c r="I253" i="213" s="1"/>
  <c r="F248" i="213"/>
  <c r="I248" i="213" s="1"/>
  <c r="F255" i="213"/>
  <c r="I255" i="213" s="1"/>
  <c r="F250" i="213"/>
  <c r="I250" i="213" s="1"/>
  <c r="F252" i="213"/>
  <c r="I252" i="213" s="1"/>
  <c r="N237" i="207"/>
  <c r="N244" i="213"/>
  <c r="N243" i="213"/>
  <c r="N247" i="213" l="1"/>
  <c r="F247" i="213"/>
  <c r="I247" i="213" s="1"/>
  <c r="N251" i="213"/>
  <c r="N252" i="213"/>
  <c r="N250" i="213"/>
  <c r="N248" i="213"/>
  <c r="N246" i="213"/>
  <c r="F105" i="213"/>
  <c r="I105" i="213" s="1"/>
  <c r="F101" i="213"/>
  <c r="I101" i="213" s="1"/>
  <c r="H101" i="237"/>
  <c r="N254" i="213"/>
  <c r="N249" i="213"/>
  <c r="N255" i="213"/>
  <c r="N253" i="213"/>
  <c r="N237" i="213"/>
  <c r="F230" i="207"/>
  <c r="I230" i="207" s="1"/>
  <c r="F231" i="207"/>
  <c r="I231" i="207" s="1"/>
  <c r="F229" i="207" l="1"/>
  <c r="H105" i="237"/>
  <c r="N101" i="209"/>
  <c r="N101" i="213"/>
  <c r="N230" i="207"/>
  <c r="F234" i="207"/>
  <c r="I234" i="207" s="1"/>
  <c r="N231" i="207"/>
  <c r="F232" i="207"/>
  <c r="I232" i="207" s="1"/>
  <c r="F233" i="207"/>
  <c r="I233" i="207" s="1"/>
  <c r="F105" i="209" l="1"/>
  <c r="I105" i="209" s="1"/>
  <c r="F101" i="209"/>
  <c r="I101" i="209" s="1"/>
  <c r="N229" i="207"/>
  <c r="I229" i="207"/>
  <c r="I259" i="207" s="1"/>
  <c r="F259" i="207"/>
  <c r="D259" i="207"/>
  <c r="N105" i="209"/>
  <c r="N232" i="207"/>
  <c r="N233" i="207"/>
  <c r="N234" i="207"/>
  <c r="N259" i="207" l="1"/>
  <c r="K259" i="207"/>
  <c r="F256" i="213" l="1"/>
  <c r="I256" i="213" s="1"/>
  <c r="F235" i="213" l="1"/>
  <c r="I235" i="213" s="1"/>
  <c r="F239" i="213"/>
  <c r="I239" i="213" s="1"/>
  <c r="N256" i="213"/>
  <c r="F236" i="213"/>
  <c r="I236" i="213" s="1"/>
  <c r="F240" i="213"/>
  <c r="I240" i="213" s="1"/>
  <c r="F241" i="213"/>
  <c r="I241" i="213" s="1"/>
  <c r="F257" i="213"/>
  <c r="I257" i="213" s="1"/>
  <c r="F245" i="213"/>
  <c r="I245" i="213" s="1"/>
  <c r="F238" i="213"/>
  <c r="I238" i="213" s="1"/>
  <c r="N238" i="213" l="1"/>
  <c r="N257" i="213"/>
  <c r="N240" i="213"/>
  <c r="N235" i="213"/>
  <c r="N245" i="213"/>
  <c r="N241" i="213"/>
  <c r="N236" i="213"/>
  <c r="N239" i="213"/>
  <c r="F229" i="213" l="1"/>
  <c r="I229" i="213" s="1"/>
  <c r="F231" i="213"/>
  <c r="I231" i="213" s="1"/>
  <c r="N229" i="213" l="1"/>
  <c r="N231" i="213"/>
  <c r="F234" i="213" l="1"/>
  <c r="I234" i="213" s="1"/>
  <c r="F230" i="213" l="1"/>
  <c r="N234" i="213"/>
  <c r="F233" i="213"/>
  <c r="I233" i="213" s="1"/>
  <c r="N230" i="213" l="1"/>
  <c r="I230" i="213"/>
  <c r="N232" i="213"/>
  <c r="N233" i="213"/>
  <c r="F232" i="213" l="1"/>
  <c r="D259" i="213"/>
  <c r="K259" i="213"/>
  <c r="N259" i="213"/>
  <c r="I232" i="213" l="1"/>
  <c r="I259" i="213" s="1"/>
  <c r="F259" i="213"/>
  <c r="F164" i="207" l="1"/>
  <c r="I164" i="207" s="1"/>
  <c r="N164" i="207"/>
  <c r="F164" i="213"/>
  <c r="I164" i="213" s="1"/>
  <c r="N164" i="213" l="1"/>
  <c r="F156" i="207" l="1"/>
  <c r="I156" i="207" s="1"/>
  <c r="F157" i="207"/>
  <c r="I157" i="207" s="1"/>
  <c r="F163" i="207"/>
  <c r="I163" i="207" s="1"/>
  <c r="F159" i="207"/>
  <c r="I159" i="207" s="1"/>
  <c r="N160" i="236" l="1"/>
  <c r="F160" i="236"/>
  <c r="I160" i="236" s="1"/>
  <c r="N157" i="236"/>
  <c r="F157" i="236"/>
  <c r="I157" i="236" s="1"/>
  <c r="F161" i="207"/>
  <c r="I161" i="207" s="1"/>
  <c r="F160" i="207"/>
  <c r="I160" i="207" s="1"/>
  <c r="N164" i="236"/>
  <c r="F164" i="236"/>
  <c r="I164" i="236" s="1"/>
  <c r="N158" i="236"/>
  <c r="F158" i="236"/>
  <c r="I158" i="236" s="1"/>
  <c r="F162" i="207"/>
  <c r="I162" i="207" s="1"/>
  <c r="F158" i="207"/>
  <c r="I158" i="207" s="1"/>
  <c r="N163" i="207"/>
  <c r="N159" i="207"/>
  <c r="N157" i="207"/>
  <c r="N156" i="207"/>
  <c r="N162" i="207"/>
  <c r="N161" i="207"/>
  <c r="F158" i="213"/>
  <c r="I158" i="213" s="1"/>
  <c r="F160" i="213"/>
  <c r="I160" i="213" s="1"/>
  <c r="F161" i="213"/>
  <c r="I161" i="213" s="1"/>
  <c r="F162" i="213"/>
  <c r="I162" i="213" s="1"/>
  <c r="N158" i="207"/>
  <c r="N160" i="207"/>
  <c r="N161" i="213" l="1"/>
  <c r="N158" i="213"/>
  <c r="N160" i="213"/>
  <c r="N162" i="213"/>
  <c r="F152" i="207" l="1"/>
  <c r="F122" i="207"/>
  <c r="I122" i="207" s="1"/>
  <c r="I152" i="207" l="1"/>
  <c r="F121" i="207"/>
  <c r="D124" i="207"/>
  <c r="N152" i="207"/>
  <c r="F165" i="236"/>
  <c r="I165" i="236" s="1"/>
  <c r="F168" i="207"/>
  <c r="I168" i="207" s="1"/>
  <c r="N122" i="207"/>
  <c r="F170" i="207"/>
  <c r="I170" i="207" s="1"/>
  <c r="F171" i="207"/>
  <c r="I171" i="207" s="1"/>
  <c r="F167" i="207"/>
  <c r="I167" i="207" s="1"/>
  <c r="F166" i="207"/>
  <c r="I166" i="207" s="1"/>
  <c r="F154" i="207"/>
  <c r="I154" i="207" s="1"/>
  <c r="F165" i="207"/>
  <c r="I165" i="207" s="1"/>
  <c r="N169" i="207" l="1"/>
  <c r="F169" i="207"/>
  <c r="I169" i="207" s="1"/>
  <c r="N121" i="207"/>
  <c r="N124" i="207" s="1"/>
  <c r="K124" i="207"/>
  <c r="I121" i="207"/>
  <c r="I124" i="207" s="1"/>
  <c r="F124" i="207"/>
  <c r="F159" i="236"/>
  <c r="I159" i="236" s="1"/>
  <c r="F163" i="236"/>
  <c r="I163" i="236" s="1"/>
  <c r="N165" i="236"/>
  <c r="F123" i="236"/>
  <c r="I123" i="236" s="1"/>
  <c r="F168" i="236"/>
  <c r="I168" i="236" s="1"/>
  <c r="N171" i="207"/>
  <c r="N170" i="207"/>
  <c r="N168" i="207"/>
  <c r="N167" i="207"/>
  <c r="N154" i="207"/>
  <c r="N165" i="207"/>
  <c r="F172" i="207"/>
  <c r="I172" i="207" s="1"/>
  <c r="F155" i="207"/>
  <c r="I155" i="207" s="1"/>
  <c r="F155" i="236"/>
  <c r="I155" i="236" s="1"/>
  <c r="N166" i="207"/>
  <c r="F170" i="236"/>
  <c r="I170" i="236" s="1"/>
  <c r="F153" i="236" l="1"/>
  <c r="F153" i="207"/>
  <c r="D174" i="207"/>
  <c r="D176" i="207" s="1"/>
  <c r="N153" i="207"/>
  <c r="N163" i="236"/>
  <c r="N159" i="236"/>
  <c r="N123" i="236"/>
  <c r="F154" i="236"/>
  <c r="I154" i="236" s="1"/>
  <c r="F171" i="236"/>
  <c r="I171" i="236" s="1"/>
  <c r="F169" i="236"/>
  <c r="I169" i="236" s="1"/>
  <c r="N170" i="236"/>
  <c r="N168" i="236"/>
  <c r="N155" i="236"/>
  <c r="N155" i="207"/>
  <c r="N172" i="207"/>
  <c r="N174" i="207" l="1"/>
  <c r="N176" i="207" s="1"/>
  <c r="F167" i="236"/>
  <c r="I167" i="236" s="1"/>
  <c r="I153" i="207"/>
  <c r="I174" i="207" s="1"/>
  <c r="I176" i="207" s="1"/>
  <c r="F174" i="207"/>
  <c r="F176" i="207" s="1"/>
  <c r="F172" i="236"/>
  <c r="I172" i="236" s="1"/>
  <c r="K174" i="207"/>
  <c r="K176" i="207" s="1"/>
  <c r="I153" i="236"/>
  <c r="N153" i="236"/>
  <c r="F161" i="236"/>
  <c r="I161" i="236" s="1"/>
  <c r="F162" i="236"/>
  <c r="I162" i="236" s="1"/>
  <c r="N172" i="236"/>
  <c r="N171" i="236"/>
  <c r="N154" i="236"/>
  <c r="N167" i="236"/>
  <c r="F156" i="236"/>
  <c r="I156" i="236" s="1"/>
  <c r="N169" i="236"/>
  <c r="F166" i="236"/>
  <c r="I166" i="236" s="1"/>
  <c r="N173" i="236" l="1"/>
  <c r="F173" i="236"/>
  <c r="I173" i="236" s="1"/>
  <c r="I176" i="236" s="1"/>
  <c r="N161" i="236"/>
  <c r="N162" i="236"/>
  <c r="N156" i="236"/>
  <c r="N166" i="236"/>
  <c r="F176" i="236" l="1"/>
  <c r="D125" i="236" l="1"/>
  <c r="F122" i="236"/>
  <c r="D176" i="236"/>
  <c r="D178" i="236" l="1"/>
  <c r="F125" i="236"/>
  <c r="F178" i="236" s="1"/>
  <c r="I122" i="236"/>
  <c r="I125" i="236" s="1"/>
  <c r="I178" i="236" s="1"/>
  <c r="K125" i="236"/>
  <c r="N122" i="236"/>
  <c r="N125" i="236" s="1"/>
  <c r="N174" i="236"/>
  <c r="N176" i="236" s="1"/>
  <c r="K176" i="236"/>
  <c r="F159" i="213"/>
  <c r="I159" i="213" s="1"/>
  <c r="H160" i="237"/>
  <c r="F163" i="213"/>
  <c r="I163" i="213" s="1"/>
  <c r="H164" i="237"/>
  <c r="F156" i="213"/>
  <c r="I156" i="213" s="1"/>
  <c r="H157" i="237"/>
  <c r="F157" i="213"/>
  <c r="I157" i="213" s="1"/>
  <c r="H158" i="237"/>
  <c r="N178" i="236" l="1"/>
  <c r="K178" i="236"/>
  <c r="N156" i="213"/>
  <c r="N159" i="213"/>
  <c r="N157" i="213"/>
  <c r="N163" i="213"/>
  <c r="N159" i="209" l="1"/>
  <c r="F159" i="209"/>
  <c r="I159" i="209" s="1"/>
  <c r="N166" i="209"/>
  <c r="F166" i="209"/>
  <c r="I166" i="209" s="1"/>
  <c r="F121" i="213" l="1"/>
  <c r="I121" i="213" l="1"/>
  <c r="N121" i="213"/>
  <c r="F166" i="213"/>
  <c r="I166" i="213" s="1"/>
  <c r="H168" i="237" l="1"/>
  <c r="H123" i="237"/>
  <c r="N166" i="213"/>
  <c r="F168" i="213"/>
  <c r="I168" i="213" s="1"/>
  <c r="F122" i="213" l="1"/>
  <c r="D124" i="213"/>
  <c r="F154" i="213"/>
  <c r="I154" i="213" s="1"/>
  <c r="N168" i="213"/>
  <c r="F152" i="213" l="1"/>
  <c r="N152" i="213"/>
  <c r="N122" i="213"/>
  <c r="N124" i="213" s="1"/>
  <c r="K124" i="213"/>
  <c r="I122" i="213"/>
  <c r="I124" i="213" s="1"/>
  <c r="F124" i="213"/>
  <c r="H155" i="237"/>
  <c r="H166" i="237"/>
  <c r="H163" i="237"/>
  <c r="H167" i="237"/>
  <c r="N154" i="213"/>
  <c r="F171" i="213"/>
  <c r="I171" i="213" s="1"/>
  <c r="F153" i="213"/>
  <c r="I153" i="213" s="1"/>
  <c r="F125" i="209"/>
  <c r="I125" i="209" s="1"/>
  <c r="F155" i="209" l="1"/>
  <c r="I152" i="213"/>
  <c r="H153" i="237"/>
  <c r="H170" i="237"/>
  <c r="F169" i="209"/>
  <c r="I169" i="209" s="1"/>
  <c r="H169" i="237"/>
  <c r="F171" i="209"/>
  <c r="I171" i="209" s="1"/>
  <c r="H165" i="237"/>
  <c r="N171" i="213"/>
  <c r="F157" i="209"/>
  <c r="I157" i="209" s="1"/>
  <c r="F167" i="213"/>
  <c r="I167" i="213" s="1"/>
  <c r="N125" i="209"/>
  <c r="F169" i="213"/>
  <c r="I169" i="213" s="1"/>
  <c r="F155" i="213"/>
  <c r="I155" i="213" s="1"/>
  <c r="N155" i="209" l="1"/>
  <c r="F165" i="209"/>
  <c r="I165" i="209" s="1"/>
  <c r="I155" i="209"/>
  <c r="N153" i="213"/>
  <c r="N169" i="209"/>
  <c r="N171" i="209"/>
  <c r="N165" i="209"/>
  <c r="H156" i="237"/>
  <c r="N157" i="209"/>
  <c r="F165" i="213"/>
  <c r="I165" i="213" s="1"/>
  <c r="N155" i="213"/>
  <c r="N167" i="213"/>
  <c r="N169" i="213"/>
  <c r="F156" i="209" l="1"/>
  <c r="N172" i="209"/>
  <c r="F172" i="209"/>
  <c r="I172" i="209" s="1"/>
  <c r="F170" i="209"/>
  <c r="I170" i="209" s="1"/>
  <c r="H171" i="237"/>
  <c r="F170" i="213"/>
  <c r="I170" i="213" s="1"/>
  <c r="H154" i="237"/>
  <c r="N167" i="209"/>
  <c r="F167" i="209"/>
  <c r="I167" i="209" s="1"/>
  <c r="H162" i="237"/>
  <c r="N170" i="209"/>
  <c r="N165" i="213"/>
  <c r="N170" i="213"/>
  <c r="F172" i="213"/>
  <c r="I172" i="213" s="1"/>
  <c r="F158" i="209"/>
  <c r="I158" i="209" s="1"/>
  <c r="I174" i="213" l="1"/>
  <c r="I176" i="213" s="1"/>
  <c r="N156" i="209"/>
  <c r="D174" i="213"/>
  <c r="D176" i="213" s="1"/>
  <c r="F174" i="213"/>
  <c r="F176" i="213" s="1"/>
  <c r="N168" i="209"/>
  <c r="F168" i="209"/>
  <c r="I168" i="209" s="1"/>
  <c r="I156" i="209"/>
  <c r="H172" i="237"/>
  <c r="F174" i="209"/>
  <c r="I174" i="209" s="1"/>
  <c r="N173" i="209"/>
  <c r="N172" i="213"/>
  <c r="N174" i="213" s="1"/>
  <c r="N176" i="213" s="1"/>
  <c r="N158" i="209"/>
  <c r="F173" i="209" l="1"/>
  <c r="I173" i="209" s="1"/>
  <c r="K174" i="213"/>
  <c r="K176" i="213" s="1"/>
  <c r="N174" i="209"/>
  <c r="F175" i="209" l="1"/>
  <c r="H159" i="237"/>
  <c r="H161" i="237"/>
  <c r="N175" i="209"/>
  <c r="H176" i="237" l="1"/>
  <c r="D176" i="237"/>
  <c r="I175" i="209"/>
  <c r="I178" i="209" s="1"/>
  <c r="F178" i="209"/>
  <c r="D125" i="237" l="1"/>
  <c r="D178" i="237" s="1"/>
  <c r="H122" i="237"/>
  <c r="H125" i="237" s="1"/>
  <c r="H178" i="237" s="1"/>
  <c r="F124" i="209" l="1"/>
  <c r="D127" i="209"/>
  <c r="I124" i="209" l="1"/>
  <c r="I127" i="209" s="1"/>
  <c r="I180" i="209" s="1"/>
  <c r="F127" i="209"/>
  <c r="F180" i="209" s="1"/>
  <c r="D178" i="209"/>
  <c r="D180" i="209" s="1"/>
  <c r="K127" i="209"/>
  <c r="N124" i="209"/>
  <c r="N127" i="209" s="1"/>
  <c r="N176" i="209" l="1"/>
  <c r="N178" i="209" s="1"/>
  <c r="N180" i="209" s="1"/>
  <c r="K178" i="209"/>
  <c r="K180" i="209" s="1"/>
  <c r="N192" i="207" l="1"/>
  <c r="F192" i="213"/>
  <c r="I192" i="213" s="1"/>
  <c r="F192" i="207"/>
  <c r="I192" i="207" s="1"/>
  <c r="F188" i="207"/>
  <c r="I188" i="207" s="1"/>
  <c r="F204" i="207"/>
  <c r="I204" i="207" s="1"/>
  <c r="F211" i="207" l="1"/>
  <c r="I211" i="207" s="1"/>
  <c r="F206" i="207"/>
  <c r="I206" i="207" s="1"/>
  <c r="F190" i="207"/>
  <c r="I190" i="207" s="1"/>
  <c r="F205" i="213"/>
  <c r="I205" i="213" s="1"/>
  <c r="F205" i="207"/>
  <c r="I205" i="207" s="1"/>
  <c r="F208" i="207"/>
  <c r="I208" i="207" s="1"/>
  <c r="F201" i="207"/>
  <c r="I201" i="207" s="1"/>
  <c r="F194" i="207"/>
  <c r="I194" i="207" s="1"/>
  <c r="F216" i="213"/>
  <c r="I216" i="213" s="1"/>
  <c r="F216" i="207"/>
  <c r="I216" i="207" s="1"/>
  <c r="F195" i="207"/>
  <c r="I195" i="207" s="1"/>
  <c r="F198" i="213"/>
  <c r="I198" i="213" s="1"/>
  <c r="F198" i="207"/>
  <c r="I198" i="207" s="1"/>
  <c r="F212" i="207"/>
  <c r="I212" i="207" s="1"/>
  <c r="F207" i="213"/>
  <c r="I207" i="213" s="1"/>
  <c r="F207" i="207"/>
  <c r="I207" i="207" s="1"/>
  <c r="F196" i="207"/>
  <c r="I196" i="207" s="1"/>
  <c r="F209" i="213"/>
  <c r="I209" i="213" s="1"/>
  <c r="F209" i="207"/>
  <c r="I209" i="207" s="1"/>
  <c r="F191" i="207"/>
  <c r="I191" i="207" s="1"/>
  <c r="F210" i="213"/>
  <c r="I210" i="213" s="1"/>
  <c r="F210" i="207"/>
  <c r="I210" i="207" s="1"/>
  <c r="F199" i="207"/>
  <c r="I199" i="207" s="1"/>
  <c r="F203" i="213"/>
  <c r="I203" i="213" s="1"/>
  <c r="F203" i="207"/>
  <c r="I203" i="207" s="1"/>
  <c r="N192" i="213"/>
  <c r="N212" i="207"/>
  <c r="N199" i="207"/>
  <c r="N201" i="207"/>
  <c r="N211" i="207"/>
  <c r="N194" i="207"/>
  <c r="N190" i="207"/>
  <c r="N205" i="207"/>
  <c r="N203" i="207"/>
  <c r="N191" i="207"/>
  <c r="N208" i="207"/>
  <c r="N209" i="207"/>
  <c r="F194" i="213"/>
  <c r="I194" i="213" s="1"/>
  <c r="N195" i="207"/>
  <c r="N210" i="207"/>
  <c r="N198" i="207"/>
  <c r="N207" i="207"/>
  <c r="N196" i="207"/>
  <c r="F208" i="213"/>
  <c r="I208" i="213" s="1"/>
  <c r="F195" i="213"/>
  <c r="I195" i="213" s="1"/>
  <c r="F196" i="213"/>
  <c r="I196" i="213" s="1"/>
  <c r="N204" i="207"/>
  <c r="F211" i="213"/>
  <c r="I211" i="213" s="1"/>
  <c r="N188" i="207"/>
  <c r="N216" i="207"/>
  <c r="F191" i="213"/>
  <c r="I191" i="213" s="1"/>
  <c r="N206" i="207"/>
  <c r="F212" i="213"/>
  <c r="I212" i="213" s="1"/>
  <c r="F199" i="213"/>
  <c r="I199" i="213" s="1"/>
  <c r="F190" i="213"/>
  <c r="I190" i="213" s="1"/>
  <c r="F206" i="213"/>
  <c r="I206" i="213" s="1"/>
  <c r="N201" i="213" l="1"/>
  <c r="F201" i="213"/>
  <c r="I201" i="213" s="1"/>
  <c r="N203" i="213"/>
  <c r="N206" i="213"/>
  <c r="N208" i="213"/>
  <c r="N212" i="213"/>
  <c r="N199" i="213"/>
  <c r="N211" i="213"/>
  <c r="F204" i="213"/>
  <c r="I204" i="213" s="1"/>
  <c r="N191" i="213"/>
  <c r="F188" i="213"/>
  <c r="I188" i="213" s="1"/>
  <c r="N196" i="213"/>
  <c r="N210" i="213"/>
  <c r="N195" i="213"/>
  <c r="N194" i="213"/>
  <c r="N209" i="213"/>
  <c r="N190" i="213"/>
  <c r="N207" i="213"/>
  <c r="N198" i="213"/>
  <c r="N205" i="213"/>
  <c r="N216" i="213"/>
  <c r="N204" i="213" l="1"/>
  <c r="N188" i="213"/>
  <c r="F187" i="207" l="1"/>
  <c r="I187" i="207" s="1"/>
  <c r="F219" i="207"/>
  <c r="I219" i="207" s="1"/>
  <c r="F214" i="207"/>
  <c r="I214" i="207" s="1"/>
  <c r="F193" i="207"/>
  <c r="I193" i="207" s="1"/>
  <c r="F213" i="207"/>
  <c r="I213" i="207" s="1"/>
  <c r="F186" i="207"/>
  <c r="I186" i="207" s="1"/>
  <c r="F218" i="207"/>
  <c r="I218" i="207" s="1"/>
  <c r="F202" i="207"/>
  <c r="I202" i="207" s="1"/>
  <c r="F215" i="207"/>
  <c r="I215" i="207" s="1"/>
  <c r="F220" i="207"/>
  <c r="I220" i="207" s="1"/>
  <c r="F217" i="207"/>
  <c r="I217" i="207" s="1"/>
  <c r="F197" i="207"/>
  <c r="I197" i="207" s="1"/>
  <c r="F189" i="207"/>
  <c r="I189" i="207" s="1"/>
  <c r="F220" i="236" l="1"/>
  <c r="I220" i="236" s="1"/>
  <c r="N200" i="207"/>
  <c r="F200" i="207"/>
  <c r="I200" i="207" s="1"/>
  <c r="F187" i="236"/>
  <c r="I187" i="236" s="1"/>
  <c r="N197" i="207"/>
  <c r="N189" i="207"/>
  <c r="N202" i="207"/>
  <c r="N186" i="207"/>
  <c r="N193" i="207"/>
  <c r="N219" i="207"/>
  <c r="N217" i="207"/>
  <c r="N214" i="207"/>
  <c r="N220" i="207"/>
  <c r="N215" i="207"/>
  <c r="N218" i="207"/>
  <c r="N213" i="207"/>
  <c r="N187" i="207"/>
  <c r="N187" i="236" l="1"/>
  <c r="F186" i="236"/>
  <c r="I186" i="236" s="1"/>
  <c r="F219" i="236"/>
  <c r="I219" i="236" s="1"/>
  <c r="F218" i="236"/>
  <c r="I218" i="236" s="1"/>
  <c r="F217" i="236"/>
  <c r="I217" i="236" s="1"/>
  <c r="N218" i="236"/>
  <c r="N219" i="236"/>
  <c r="N217" i="236"/>
  <c r="N186" i="236"/>
  <c r="F189" i="213" l="1"/>
  <c r="I189" i="213" s="1"/>
  <c r="F200" i="213"/>
  <c r="I200" i="213" s="1"/>
  <c r="F186" i="213"/>
  <c r="I186" i="213" s="1"/>
  <c r="F213" i="213"/>
  <c r="I213" i="213" s="1"/>
  <c r="F197" i="213"/>
  <c r="I197" i="213" s="1"/>
  <c r="F219" i="213"/>
  <c r="I219" i="213" s="1"/>
  <c r="F187" i="213"/>
  <c r="I187" i="213" s="1"/>
  <c r="F215" i="213"/>
  <c r="I215" i="213" s="1"/>
  <c r="F218" i="213"/>
  <c r="I218" i="213" s="1"/>
  <c r="F202" i="213"/>
  <c r="I202" i="213" s="1"/>
  <c r="F214" i="213"/>
  <c r="I214" i="213" s="1"/>
  <c r="F220" i="213"/>
  <c r="I220" i="213" s="1"/>
  <c r="F217" i="213"/>
  <c r="I217" i="213" s="1"/>
  <c r="F193" i="213"/>
  <c r="I193" i="213" s="1"/>
  <c r="H187" i="237" l="1"/>
  <c r="H186" i="237"/>
  <c r="N220" i="213"/>
  <c r="N202" i="213"/>
  <c r="N219" i="213"/>
  <c r="N213" i="213"/>
  <c r="N200" i="213"/>
  <c r="N214" i="213"/>
  <c r="N217" i="213"/>
  <c r="N218" i="213"/>
  <c r="N187" i="213"/>
  <c r="N197" i="213"/>
  <c r="N186" i="213"/>
  <c r="N189" i="213"/>
  <c r="N193" i="213"/>
  <c r="N215" i="213"/>
  <c r="F189" i="209" l="1"/>
  <c r="I189" i="209" s="1"/>
  <c r="N189" i="209"/>
  <c r="F188" i="209" l="1"/>
  <c r="I188" i="209" s="1"/>
  <c r="N188" i="209"/>
  <c r="F216" i="236" l="1"/>
  <c r="I216" i="236" s="1"/>
  <c r="N216" i="236"/>
  <c r="F215" i="236" l="1"/>
  <c r="I215" i="236" s="1"/>
  <c r="N215" i="236"/>
  <c r="F210" i="236" l="1"/>
  <c r="I210" i="236" s="1"/>
  <c r="F209" i="236"/>
  <c r="I209" i="236" s="1"/>
  <c r="F208" i="236"/>
  <c r="I208" i="236" s="1"/>
  <c r="F214" i="236"/>
  <c r="I214" i="236" s="1"/>
  <c r="N210" i="236"/>
  <c r="F185" i="207"/>
  <c r="I185" i="207" s="1"/>
  <c r="F213" i="236" l="1"/>
  <c r="I213" i="236" s="1"/>
  <c r="F184" i="207"/>
  <c r="I184" i="207" s="1"/>
  <c r="N208" i="236"/>
  <c r="N209" i="236"/>
  <c r="F211" i="236"/>
  <c r="I211" i="236" s="1"/>
  <c r="F206" i="236"/>
  <c r="I206" i="236" s="1"/>
  <c r="N214" i="236"/>
  <c r="N213" i="236"/>
  <c r="F184" i="236"/>
  <c r="I184" i="236" s="1"/>
  <c r="N185" i="207"/>
  <c r="N184" i="207"/>
  <c r="F202" i="236" l="1"/>
  <c r="I202" i="236" s="1"/>
  <c r="F197" i="236"/>
  <c r="I197" i="236" s="1"/>
  <c r="F207" i="236"/>
  <c r="I207" i="236" s="1"/>
  <c r="N212" i="236"/>
  <c r="F212" i="236"/>
  <c r="I212" i="236" s="1"/>
  <c r="F193" i="236"/>
  <c r="I193" i="236" s="1"/>
  <c r="F190" i="236"/>
  <c r="I190" i="236" s="1"/>
  <c r="F189" i="236"/>
  <c r="I189" i="236" s="1"/>
  <c r="N207" i="236"/>
  <c r="F200" i="236"/>
  <c r="I200" i="236" s="1"/>
  <c r="F191" i="236"/>
  <c r="I191" i="236" s="1"/>
  <c r="F198" i="236"/>
  <c r="I198" i="236" s="1"/>
  <c r="F188" i="236"/>
  <c r="I188" i="236" s="1"/>
  <c r="N206" i="236"/>
  <c r="N211" i="236"/>
  <c r="N202" i="236"/>
  <c r="N193" i="236"/>
  <c r="N197" i="236"/>
  <c r="N190" i="236"/>
  <c r="N189" i="236"/>
  <c r="N184" i="236"/>
  <c r="F194" i="236" l="1"/>
  <c r="I194" i="236" s="1"/>
  <c r="F199" i="236"/>
  <c r="I199" i="236" s="1"/>
  <c r="F192" i="236"/>
  <c r="I192" i="236" s="1"/>
  <c r="F201" i="236"/>
  <c r="I201" i="236" s="1"/>
  <c r="F196" i="236"/>
  <c r="I196" i="236" s="1"/>
  <c r="F185" i="236"/>
  <c r="I185" i="236" s="1"/>
  <c r="N199" i="236"/>
  <c r="N196" i="236"/>
  <c r="N192" i="236"/>
  <c r="N201" i="236"/>
  <c r="N198" i="236"/>
  <c r="N191" i="236"/>
  <c r="F195" i="236"/>
  <c r="I195" i="236" s="1"/>
  <c r="N194" i="236"/>
  <c r="N200" i="236"/>
  <c r="N188" i="236"/>
  <c r="F205" i="236"/>
  <c r="I205" i="236" s="1"/>
  <c r="N185" i="236"/>
  <c r="F204" i="236" l="1"/>
  <c r="I204" i="236" s="1"/>
  <c r="F203" i="236"/>
  <c r="I203" i="236" s="1"/>
  <c r="N203" i="236"/>
  <c r="N195" i="236"/>
  <c r="N205" i="236"/>
  <c r="N204" i="236"/>
  <c r="H220" i="237" l="1"/>
  <c r="F222" i="209" l="1"/>
  <c r="I222" i="209" s="1"/>
  <c r="H219" i="237"/>
  <c r="H216" i="237"/>
  <c r="H218" i="237"/>
  <c r="F220" i="209" l="1"/>
  <c r="I220" i="209" s="1"/>
  <c r="N222" i="209"/>
  <c r="F221" i="209"/>
  <c r="I221" i="209" s="1"/>
  <c r="N220" i="209"/>
  <c r="H217" i="237"/>
  <c r="F219" i="209" l="1"/>
  <c r="I219" i="209" s="1"/>
  <c r="F218" i="209"/>
  <c r="I218" i="209" s="1"/>
  <c r="N218" i="209"/>
  <c r="N221" i="209"/>
  <c r="N219" i="209"/>
  <c r="H215" i="237"/>
  <c r="F184" i="213"/>
  <c r="I184" i="213" s="1"/>
  <c r="F217" i="209" l="1"/>
  <c r="I217" i="209" s="1"/>
  <c r="H214" i="237"/>
  <c r="N217" i="209"/>
  <c r="N184" i="213"/>
  <c r="F185" i="213" l="1"/>
  <c r="I185" i="213" s="1"/>
  <c r="F216" i="209"/>
  <c r="I216" i="209" s="1"/>
  <c r="H210" i="237"/>
  <c r="H209" i="237"/>
  <c r="N216" i="209"/>
  <c r="H185" i="237"/>
  <c r="N185" i="213"/>
  <c r="F186" i="209"/>
  <c r="I186" i="209" s="1"/>
  <c r="H184" i="237"/>
  <c r="F187" i="209" l="1"/>
  <c r="I187" i="209" s="1"/>
  <c r="F212" i="209"/>
  <c r="I212" i="209" s="1"/>
  <c r="N212" i="209"/>
  <c r="H190" i="237"/>
  <c r="F211" i="209"/>
  <c r="I211" i="209" s="1"/>
  <c r="H212" i="237"/>
  <c r="H211" i="237"/>
  <c r="H208" i="237"/>
  <c r="H213" i="237"/>
  <c r="H204" i="237"/>
  <c r="H203" i="237"/>
  <c r="N187" i="209"/>
  <c r="H188" i="237"/>
  <c r="N186" i="209"/>
  <c r="F210" i="209" l="1"/>
  <c r="I210" i="209" s="1"/>
  <c r="F214" i="209"/>
  <c r="I214" i="209" s="1"/>
  <c r="F215" i="209"/>
  <c r="I215" i="209" s="1"/>
  <c r="H200" i="237"/>
  <c r="H201" i="237"/>
  <c r="F204" i="209"/>
  <c r="I204" i="209" s="1"/>
  <c r="H202" i="237"/>
  <c r="N211" i="209"/>
  <c r="H199" i="237"/>
  <c r="N214" i="209"/>
  <c r="N210" i="209"/>
  <c r="N215" i="209"/>
  <c r="H189" i="237"/>
  <c r="H205" i="237"/>
  <c r="H198" i="237"/>
  <c r="F206" i="209" l="1"/>
  <c r="I206" i="209" s="1"/>
  <c r="F213" i="209"/>
  <c r="I213" i="209" s="1"/>
  <c r="F207" i="209"/>
  <c r="I207" i="209" s="1"/>
  <c r="F205" i="209"/>
  <c r="I205" i="209" s="1"/>
  <c r="N207" i="209"/>
  <c r="N205" i="209"/>
  <c r="N204" i="209"/>
  <c r="H192" i="237"/>
  <c r="H191" i="237"/>
  <c r="H207" i="237"/>
  <c r="H197" i="237"/>
  <c r="N213" i="209"/>
  <c r="N206" i="209"/>
  <c r="F209" i="209" l="1"/>
  <c r="I209" i="209" s="1"/>
  <c r="H196" i="237"/>
  <c r="H195" i="237"/>
  <c r="N209" i="209"/>
  <c r="H206" i="237"/>
  <c r="H194" i="237"/>
  <c r="F208" i="209" l="1"/>
  <c r="I208" i="209" s="1"/>
  <c r="N208" i="209"/>
  <c r="H193" i="237" l="1"/>
  <c r="F16" i="207" l="1"/>
  <c r="N16" i="207" l="1"/>
  <c r="I16" i="207"/>
  <c r="F16" i="236" l="1"/>
  <c r="N16" i="236" l="1"/>
  <c r="I16" i="236"/>
  <c r="F98" i="207" l="1"/>
  <c r="I98" i="207" s="1"/>
  <c r="F100" i="207"/>
  <c r="I100" i="207" s="1"/>
  <c r="N100" i="207" l="1"/>
  <c r="F94" i="207"/>
  <c r="I94" i="207" s="1"/>
  <c r="F97" i="207"/>
  <c r="I97" i="207" s="1"/>
  <c r="F99" i="207"/>
  <c r="I99" i="207" s="1"/>
  <c r="F95" i="207"/>
  <c r="I95" i="207" s="1"/>
  <c r="N98" i="207"/>
  <c r="F96" i="207" l="1"/>
  <c r="I96" i="207" s="1"/>
  <c r="N96" i="207"/>
  <c r="N97" i="207"/>
  <c r="N95" i="207"/>
  <c r="N99" i="207"/>
  <c r="N94" i="207"/>
  <c r="F55" i="207"/>
  <c r="I55" i="207" s="1"/>
  <c r="F51" i="207"/>
  <c r="I51" i="207" s="1"/>
  <c r="F78" i="207" l="1"/>
  <c r="I78" i="207" s="1"/>
  <c r="F56" i="207"/>
  <c r="I56" i="207" s="1"/>
  <c r="F37" i="207"/>
  <c r="I37" i="207" s="1"/>
  <c r="F72" i="207"/>
  <c r="I72" i="207" s="1"/>
  <c r="F89" i="207"/>
  <c r="I89" i="207" s="1"/>
  <c r="F76" i="207"/>
  <c r="I76" i="207" s="1"/>
  <c r="F80" i="207"/>
  <c r="I80" i="207" s="1"/>
  <c r="F91" i="207"/>
  <c r="I91" i="207" s="1"/>
  <c r="F52" i="207"/>
  <c r="I52" i="207" s="1"/>
  <c r="F40" i="207"/>
  <c r="I40" i="207" s="1"/>
  <c r="F65" i="207"/>
  <c r="I65" i="207" s="1"/>
  <c r="N55" i="207"/>
  <c r="N51" i="207"/>
  <c r="F110" i="207"/>
  <c r="I110" i="207" s="1"/>
  <c r="F31" i="207"/>
  <c r="I31" i="207" s="1"/>
  <c r="F41" i="207"/>
  <c r="I41" i="207" s="1"/>
  <c r="F44" i="207"/>
  <c r="I44" i="207" s="1"/>
  <c r="F74" i="207"/>
  <c r="I74" i="207" s="1"/>
  <c r="F70" i="207"/>
  <c r="I70" i="207" s="1"/>
  <c r="N45" i="207" l="1"/>
  <c r="F45" i="207"/>
  <c r="I45" i="207" s="1"/>
  <c r="N36" i="207"/>
  <c r="F36" i="207"/>
  <c r="I36" i="207" s="1"/>
  <c r="N43" i="207"/>
  <c r="F43" i="207"/>
  <c r="I43" i="207" s="1"/>
  <c r="N42" i="207"/>
  <c r="F42" i="207"/>
  <c r="I42" i="207" s="1"/>
  <c r="N108" i="207"/>
  <c r="F108" i="207"/>
  <c r="I108" i="207" s="1"/>
  <c r="F17" i="207"/>
  <c r="D19" i="207"/>
  <c r="N71" i="207"/>
  <c r="F71" i="207"/>
  <c r="I71" i="207" s="1"/>
  <c r="N63" i="207"/>
  <c r="F63" i="207"/>
  <c r="I63" i="207" s="1"/>
  <c r="F72" i="236"/>
  <c r="I72" i="236" s="1"/>
  <c r="F76" i="236"/>
  <c r="I76" i="236" s="1"/>
  <c r="F55" i="236"/>
  <c r="I55" i="236" s="1"/>
  <c r="N52" i="207"/>
  <c r="N91" i="207"/>
  <c r="N76" i="207"/>
  <c r="N89" i="207"/>
  <c r="F73" i="207"/>
  <c r="I73" i="207" s="1"/>
  <c r="F53" i="207"/>
  <c r="I53" i="207" s="1"/>
  <c r="F109" i="207"/>
  <c r="I109" i="207" s="1"/>
  <c r="N70" i="207"/>
  <c r="N44" i="207"/>
  <c r="F75" i="207"/>
  <c r="I75" i="207" s="1"/>
  <c r="F35" i="207"/>
  <c r="I35" i="207" s="1"/>
  <c r="F24" i="207"/>
  <c r="I24" i="207" s="1"/>
  <c r="F81" i="207"/>
  <c r="I81" i="207" s="1"/>
  <c r="F67" i="207"/>
  <c r="I67" i="207" s="1"/>
  <c r="N65" i="207"/>
  <c r="F23" i="207"/>
  <c r="I23" i="207" s="1"/>
  <c r="F32" i="207"/>
  <c r="I32" i="207" s="1"/>
  <c r="F34" i="207"/>
  <c r="I34" i="207" s="1"/>
  <c r="F77" i="207"/>
  <c r="I77" i="207" s="1"/>
  <c r="N41" i="207"/>
  <c r="F64" i="207"/>
  <c r="I64" i="207" s="1"/>
  <c r="N31" i="207"/>
  <c r="F66" i="207"/>
  <c r="I66" i="207" s="1"/>
  <c r="F57" i="207"/>
  <c r="I57" i="207" s="1"/>
  <c r="F92" i="207"/>
  <c r="I92" i="207" s="1"/>
  <c r="N74" i="207"/>
  <c r="F79" i="207"/>
  <c r="I79" i="207" s="1"/>
  <c r="F54" i="207"/>
  <c r="I54" i="207" s="1"/>
  <c r="F87" i="207"/>
  <c r="I87" i="207" s="1"/>
  <c r="N80" i="207"/>
  <c r="F38" i="207"/>
  <c r="I38" i="207" s="1"/>
  <c r="F39" i="207"/>
  <c r="I39" i="207" s="1"/>
  <c r="N37" i="207"/>
  <c r="N110" i="207"/>
  <c r="N40" i="207"/>
  <c r="N72" i="207"/>
  <c r="F33" i="207"/>
  <c r="I33" i="207" s="1"/>
  <c r="N56" i="207"/>
  <c r="N78" i="207"/>
  <c r="N30" i="207" l="1"/>
  <c r="F30" i="207"/>
  <c r="I30" i="207" s="1"/>
  <c r="F62" i="207"/>
  <c r="N17" i="207"/>
  <c r="N19" i="207" s="1"/>
  <c r="K19" i="207"/>
  <c r="N88" i="207"/>
  <c r="F88" i="207"/>
  <c r="I88" i="207" s="1"/>
  <c r="F50" i="207"/>
  <c r="D59" i="207"/>
  <c r="I17" i="207"/>
  <c r="I19" i="207" s="1"/>
  <c r="F19" i="207"/>
  <c r="N104" i="207"/>
  <c r="F104" i="207"/>
  <c r="I104" i="207" s="1"/>
  <c r="N90" i="207"/>
  <c r="F90" i="207"/>
  <c r="I90" i="207" s="1"/>
  <c r="N69" i="207"/>
  <c r="F69" i="207"/>
  <c r="I69" i="207" s="1"/>
  <c r="N68" i="207"/>
  <c r="F68" i="207"/>
  <c r="I68" i="207" s="1"/>
  <c r="F29" i="207"/>
  <c r="D47" i="207"/>
  <c r="N103" i="207"/>
  <c r="F103" i="207"/>
  <c r="I103" i="207" s="1"/>
  <c r="N107" i="207"/>
  <c r="F107" i="207"/>
  <c r="I107" i="207" s="1"/>
  <c r="F86" i="207"/>
  <c r="F22" i="207"/>
  <c r="D26" i="207"/>
  <c r="N106" i="236"/>
  <c r="F106" i="236"/>
  <c r="I106" i="236" s="1"/>
  <c r="F68" i="236"/>
  <c r="I68" i="236" s="1"/>
  <c r="F86" i="236"/>
  <c r="I86" i="236" s="1"/>
  <c r="F34" i="236"/>
  <c r="I34" i="236" s="1"/>
  <c r="F79" i="236"/>
  <c r="I79" i="236" s="1"/>
  <c r="F69" i="236"/>
  <c r="I69" i="236" s="1"/>
  <c r="F53" i="236"/>
  <c r="I53" i="236" s="1"/>
  <c r="F67" i="236"/>
  <c r="I67" i="236" s="1"/>
  <c r="F87" i="236"/>
  <c r="I87" i="236" s="1"/>
  <c r="F77" i="236"/>
  <c r="I77" i="236" s="1"/>
  <c r="F73" i="236"/>
  <c r="I73" i="236" s="1"/>
  <c r="F92" i="236"/>
  <c r="I92" i="236" s="1"/>
  <c r="F75" i="236"/>
  <c r="I75" i="236" s="1"/>
  <c r="F88" i="236"/>
  <c r="I88" i="236" s="1"/>
  <c r="F32" i="236"/>
  <c r="I32" i="236" s="1"/>
  <c r="F38" i="236"/>
  <c r="I38" i="236" s="1"/>
  <c r="F90" i="236"/>
  <c r="I90" i="236" s="1"/>
  <c r="F42" i="236"/>
  <c r="I42" i="236" s="1"/>
  <c r="F37" i="236"/>
  <c r="I37" i="236" s="1"/>
  <c r="N55" i="236"/>
  <c r="F40" i="236"/>
  <c r="I40" i="236" s="1"/>
  <c r="N76" i="236"/>
  <c r="N72" i="236"/>
  <c r="F24" i="236"/>
  <c r="I24" i="236" s="1"/>
  <c r="F51" i="236"/>
  <c r="I51" i="236" s="1"/>
  <c r="N38" i="207"/>
  <c r="N54" i="207"/>
  <c r="N66" i="207"/>
  <c r="N23" i="207"/>
  <c r="N75" i="207"/>
  <c r="N109" i="207"/>
  <c r="N92" i="207"/>
  <c r="N39" i="207"/>
  <c r="N87" i="207"/>
  <c r="N35" i="207"/>
  <c r="N73" i="207"/>
  <c r="N57" i="207"/>
  <c r="N33" i="207"/>
  <c r="N64" i="207"/>
  <c r="N67" i="207"/>
  <c r="N79" i="207"/>
  <c r="N77" i="207"/>
  <c r="N34" i="207"/>
  <c r="N32" i="207"/>
  <c r="N81" i="207"/>
  <c r="N24" i="207"/>
  <c r="N53" i="207"/>
  <c r="D112" i="207" l="1"/>
  <c r="N50" i="207"/>
  <c r="N59" i="207" s="1"/>
  <c r="K59" i="207"/>
  <c r="F112" i="207"/>
  <c r="I86" i="207"/>
  <c r="I112" i="207" s="1"/>
  <c r="I29" i="207"/>
  <c r="I47" i="207" s="1"/>
  <c r="H19" i="10" s="1"/>
  <c r="F47" i="207"/>
  <c r="I50" i="207"/>
  <c r="I59" i="207" s="1"/>
  <c r="H20" i="10" s="1"/>
  <c r="F59" i="207"/>
  <c r="D83" i="207"/>
  <c r="N62" i="207"/>
  <c r="N83" i="207" s="1"/>
  <c r="K83" i="207"/>
  <c r="F83" i="207"/>
  <c r="I62" i="207"/>
  <c r="I83" i="207" s="1"/>
  <c r="H21" i="10" s="1"/>
  <c r="K112" i="207"/>
  <c r="N86" i="207"/>
  <c r="N112" i="207" s="1"/>
  <c r="H17" i="10"/>
  <c r="N29" i="207"/>
  <c r="N47" i="207" s="1"/>
  <c r="K47" i="207"/>
  <c r="N22" i="207"/>
  <c r="N26" i="207" s="1"/>
  <c r="K26" i="207"/>
  <c r="I22" i="207"/>
  <c r="I26" i="207" s="1"/>
  <c r="H18" i="10" s="1"/>
  <c r="F26" i="207"/>
  <c r="F107" i="236"/>
  <c r="I107" i="236" s="1"/>
  <c r="N54" i="236"/>
  <c r="F54" i="236"/>
  <c r="I54" i="236" s="1"/>
  <c r="F39" i="236"/>
  <c r="I39" i="236" s="1"/>
  <c r="N36" i="236"/>
  <c r="F36" i="236"/>
  <c r="I36" i="236" s="1"/>
  <c r="F57" i="236"/>
  <c r="I57" i="236" s="1"/>
  <c r="F43" i="236"/>
  <c r="I43" i="236" s="1"/>
  <c r="F65" i="236"/>
  <c r="I65" i="236" s="1"/>
  <c r="F29" i="236"/>
  <c r="N31" i="236"/>
  <c r="F31" i="236"/>
  <c r="I31" i="236" s="1"/>
  <c r="N64" i="236"/>
  <c r="F64" i="236"/>
  <c r="I64" i="236" s="1"/>
  <c r="N41" i="236"/>
  <c r="F41" i="236"/>
  <c r="I41" i="236" s="1"/>
  <c r="F80" i="236"/>
  <c r="I80" i="236" s="1"/>
  <c r="F45" i="236"/>
  <c r="I45" i="236" s="1"/>
  <c r="F35" i="236"/>
  <c r="I35" i="236" s="1"/>
  <c r="N33" i="236"/>
  <c r="F33" i="236"/>
  <c r="I33" i="236" s="1"/>
  <c r="N44" i="236"/>
  <c r="F44" i="236"/>
  <c r="I44" i="236" s="1"/>
  <c r="N23" i="236"/>
  <c r="F23" i="236"/>
  <c r="I23" i="236" s="1"/>
  <c r="N30" i="236"/>
  <c r="F30" i="236"/>
  <c r="I30" i="236" s="1"/>
  <c r="F50" i="236"/>
  <c r="F66" i="236"/>
  <c r="I66" i="236" s="1"/>
  <c r="N42" i="236"/>
  <c r="N43" i="236"/>
  <c r="N37" i="236"/>
  <c r="F52" i="236"/>
  <c r="I52" i="236" s="1"/>
  <c r="F89" i="236"/>
  <c r="I89" i="236" s="1"/>
  <c r="F78" i="236"/>
  <c r="I78" i="236" s="1"/>
  <c r="F91" i="236"/>
  <c r="I91" i="236" s="1"/>
  <c r="N45" i="236"/>
  <c r="N80" i="236"/>
  <c r="N65" i="236"/>
  <c r="N53" i="236"/>
  <c r="N75" i="236"/>
  <c r="N24" i="236"/>
  <c r="N92" i="236"/>
  <c r="N87" i="236"/>
  <c r="N88" i="236"/>
  <c r="N79" i="236"/>
  <c r="N32" i="236"/>
  <c r="N67" i="236"/>
  <c r="N51" i="236"/>
  <c r="N40" i="236"/>
  <c r="N69" i="236"/>
  <c r="N68" i="236"/>
  <c r="N77" i="236"/>
  <c r="N73" i="236"/>
  <c r="N90" i="236"/>
  <c r="F108" i="236"/>
  <c r="I108" i="236" s="1"/>
  <c r="N34" i="236"/>
  <c r="N57" i="236"/>
  <c r="N86" i="236"/>
  <c r="N35" i="236"/>
  <c r="N38" i="236"/>
  <c r="N66" i="236"/>
  <c r="N39" i="236"/>
  <c r="N107" i="236"/>
  <c r="D114" i="207" l="1"/>
  <c r="F114" i="207"/>
  <c r="K114" i="207"/>
  <c r="N114" i="207"/>
  <c r="I114" i="207"/>
  <c r="I29" i="236"/>
  <c r="I47" i="236" s="1"/>
  <c r="F47" i="236"/>
  <c r="N50" i="236"/>
  <c r="N74" i="236"/>
  <c r="F74" i="236"/>
  <c r="I74" i="236" s="1"/>
  <c r="D47" i="236"/>
  <c r="N29" i="236"/>
  <c r="N47" i="236" s="1"/>
  <c r="K47" i="236"/>
  <c r="N63" i="236"/>
  <c r="F63" i="236"/>
  <c r="I63" i="236" s="1"/>
  <c r="F62" i="236"/>
  <c r="N62" i="236"/>
  <c r="I50" i="236"/>
  <c r="F97" i="236"/>
  <c r="I97" i="236" s="1"/>
  <c r="F102" i="236"/>
  <c r="I102" i="236" s="1"/>
  <c r="F109" i="236"/>
  <c r="I109" i="236" s="1"/>
  <c r="N78" i="236"/>
  <c r="N52" i="236"/>
  <c r="N89" i="236"/>
  <c r="N91" i="236"/>
  <c r="N108" i="236"/>
  <c r="F81" i="236" l="1"/>
  <c r="I81" i="236" s="1"/>
  <c r="F95" i="236"/>
  <c r="I95" i="236" s="1"/>
  <c r="I62" i="236"/>
  <c r="F99" i="236"/>
  <c r="I99" i="236" s="1"/>
  <c r="F96" i="236"/>
  <c r="I96" i="236" s="1"/>
  <c r="F100" i="236"/>
  <c r="I100" i="236" s="1"/>
  <c r="N102" i="236"/>
  <c r="N97" i="236"/>
  <c r="N96" i="236"/>
  <c r="N100" i="236"/>
  <c r="N109" i="236"/>
  <c r="N99" i="236"/>
  <c r="N95" i="236"/>
  <c r="N56" i="236"/>
  <c r="N59" i="236" s="1"/>
  <c r="N81" i="236"/>
  <c r="F71" i="236"/>
  <c r="I71" i="236" s="1"/>
  <c r="F98" i="236" l="1"/>
  <c r="I98" i="236" s="1"/>
  <c r="N22" i="236"/>
  <c r="N26" i="236" s="1"/>
  <c r="K26" i="236"/>
  <c r="F70" i="236"/>
  <c r="D83" i="236"/>
  <c r="F56" i="236"/>
  <c r="D59" i="236"/>
  <c r="N110" i="236"/>
  <c r="F110" i="236"/>
  <c r="I110" i="236" s="1"/>
  <c r="F103" i="236"/>
  <c r="I103" i="236" s="1"/>
  <c r="F104" i="236"/>
  <c r="I104" i="236" s="1"/>
  <c r="F22" i="236"/>
  <c r="D26" i="236"/>
  <c r="K59" i="236"/>
  <c r="N98" i="236"/>
  <c r="F111" i="236"/>
  <c r="I111" i="236" s="1"/>
  <c r="N103" i="236"/>
  <c r="N104" i="236"/>
  <c r="N71" i="236"/>
  <c r="N70" i="236" l="1"/>
  <c r="N83" i="236" s="1"/>
  <c r="K83" i="236"/>
  <c r="F94" i="236"/>
  <c r="I94" i="236" s="1"/>
  <c r="I22" i="236"/>
  <c r="I26" i="236" s="1"/>
  <c r="F26" i="236"/>
  <c r="I56" i="236"/>
  <c r="I59" i="236" s="1"/>
  <c r="F59" i="236"/>
  <c r="I70" i="236"/>
  <c r="I83" i="236" s="1"/>
  <c r="F83" i="236"/>
  <c r="N111" i="236"/>
  <c r="N94" i="236"/>
  <c r="F112" i="236" l="1"/>
  <c r="N112" i="236" l="1"/>
  <c r="I112" i="236"/>
  <c r="F17" i="236" l="1"/>
  <c r="D19" i="236"/>
  <c r="F113" i="236"/>
  <c r="D115" i="236"/>
  <c r="D117" i="236" s="1"/>
  <c r="I17" i="236" l="1"/>
  <c r="I19" i="236" s="1"/>
  <c r="F19" i="236"/>
  <c r="N17" i="236"/>
  <c r="N19" i="236" s="1"/>
  <c r="K19" i="236"/>
  <c r="N113" i="236"/>
  <c r="N115" i="236" s="1"/>
  <c r="K115" i="236"/>
  <c r="I113" i="236"/>
  <c r="I115" i="236" s="1"/>
  <c r="I117" i="236" s="1"/>
  <c r="F115" i="236"/>
  <c r="F117" i="236" s="1"/>
  <c r="N117" i="236" l="1"/>
  <c r="K117" i="236"/>
  <c r="F223" i="209" l="1"/>
  <c r="I223" i="209" s="1"/>
  <c r="F221" i="236"/>
  <c r="I221" i="236" s="1"/>
  <c r="N221" i="236"/>
  <c r="N223" i="209" l="1"/>
  <c r="D222" i="207" l="1"/>
  <c r="D263" i="207" s="1"/>
  <c r="F183" i="207"/>
  <c r="F222" i="207" l="1"/>
  <c r="F263" i="207" s="1"/>
  <c r="I183" i="207"/>
  <c r="I222" i="207" s="1"/>
  <c r="I263" i="207" l="1"/>
  <c r="D15" i="3" s="1"/>
  <c r="H22" i="10"/>
  <c r="H25" i="10" s="1"/>
  <c r="K222" i="207"/>
  <c r="K263" i="207" s="1"/>
  <c r="N183" i="207"/>
  <c r="N222" i="207" s="1"/>
  <c r="N263" i="207" s="1"/>
  <c r="F15" i="3" s="1"/>
  <c r="D223" i="236" l="1"/>
  <c r="F183" i="236"/>
  <c r="K223" i="236" l="1"/>
  <c r="N183" i="236"/>
  <c r="N223" i="236" s="1"/>
  <c r="F223" i="236"/>
  <c r="I183" i="236"/>
  <c r="I223" i="236" s="1"/>
  <c r="D222" i="213" l="1"/>
  <c r="F183" i="213"/>
  <c r="I183" i="213" l="1"/>
  <c r="I222" i="213" s="1"/>
  <c r="F222" i="213"/>
  <c r="K222" i="213" l="1"/>
  <c r="N183" i="213"/>
  <c r="N222" i="213" s="1"/>
  <c r="D225" i="209" l="1"/>
  <c r="F185" i="209"/>
  <c r="H183" i="237"/>
  <c r="H223" i="237" s="1"/>
  <c r="D223" i="237"/>
  <c r="I185" i="209" l="1"/>
  <c r="I225" i="209" s="1"/>
  <c r="F225" i="209"/>
  <c r="K225" i="209"/>
  <c r="N185" i="209"/>
  <c r="N225" i="209" s="1"/>
  <c r="F95" i="213" l="1"/>
  <c r="I95" i="213" s="1"/>
  <c r="F94" i="213" l="1"/>
  <c r="I94" i="213" s="1"/>
  <c r="F99" i="213"/>
  <c r="I99" i="213" s="1"/>
  <c r="N95" i="213"/>
  <c r="F96" i="213"/>
  <c r="I96" i="213" s="1"/>
  <c r="F100" i="213"/>
  <c r="I100" i="213" s="1"/>
  <c r="F97" i="213"/>
  <c r="I97" i="213" s="1"/>
  <c r="F98" i="213"/>
  <c r="I98" i="213" s="1"/>
  <c r="N97" i="213" l="1"/>
  <c r="N96" i="213"/>
  <c r="N99" i="213"/>
  <c r="N98" i="213"/>
  <c r="N94" i="213"/>
  <c r="N100" i="213"/>
  <c r="F110" i="213" l="1"/>
  <c r="I110" i="213" s="1"/>
  <c r="F64" i="213" l="1"/>
  <c r="I64" i="213" s="1"/>
  <c r="F53" i="213"/>
  <c r="I53" i="213" s="1"/>
  <c r="F78" i="213"/>
  <c r="I78" i="213" s="1"/>
  <c r="N110" i="213"/>
  <c r="F107" i="213"/>
  <c r="I107" i="213" s="1"/>
  <c r="F54" i="213"/>
  <c r="I54" i="213" s="1"/>
  <c r="F90" i="213"/>
  <c r="I90" i="213" s="1"/>
  <c r="F88" i="213"/>
  <c r="I88" i="213" s="1"/>
  <c r="F69" i="213"/>
  <c r="I69" i="213" s="1"/>
  <c r="F35" i="213"/>
  <c r="I35" i="213" s="1"/>
  <c r="F42" i="213"/>
  <c r="I42" i="213" s="1"/>
  <c r="F92" i="213"/>
  <c r="I92" i="213" s="1"/>
  <c r="F71" i="213"/>
  <c r="I71" i="213" s="1"/>
  <c r="F75" i="213"/>
  <c r="I75" i="213" s="1"/>
  <c r="F41" i="213"/>
  <c r="I41" i="213" s="1"/>
  <c r="F17" i="213"/>
  <c r="I17" i="213" s="1"/>
  <c r="F30" i="213"/>
  <c r="I30" i="213" s="1"/>
  <c r="F70" i="213"/>
  <c r="I70" i="213" s="1"/>
  <c r="F37" i="213"/>
  <c r="I37" i="213" s="1"/>
  <c r="F31" i="213"/>
  <c r="I31" i="213" s="1"/>
  <c r="F56" i="213"/>
  <c r="I56" i="213" s="1"/>
  <c r="F45" i="213"/>
  <c r="I45" i="213" s="1"/>
  <c r="F103" i="213"/>
  <c r="I103" i="213" s="1"/>
  <c r="F74" i="213"/>
  <c r="I74" i="213" s="1"/>
  <c r="F55" i="213"/>
  <c r="I55" i="213" s="1"/>
  <c r="F72" i="213"/>
  <c r="I72" i="213" s="1"/>
  <c r="F80" i="213"/>
  <c r="I80" i="213" s="1"/>
  <c r="F39" i="213"/>
  <c r="I39" i="213" s="1"/>
  <c r="F36" i="213"/>
  <c r="I36" i="213" s="1"/>
  <c r="F81" i="213"/>
  <c r="I81" i="213" s="1"/>
  <c r="F63" i="213"/>
  <c r="I63" i="213" s="1"/>
  <c r="F65" i="213"/>
  <c r="I65" i="213" s="1"/>
  <c r="F104" i="213"/>
  <c r="I104" i="213" s="1"/>
  <c r="F16" i="213" l="1"/>
  <c r="D19" i="213"/>
  <c r="F22" i="213"/>
  <c r="F50" i="213"/>
  <c r="N54" i="213"/>
  <c r="N30" i="213"/>
  <c r="N90" i="213"/>
  <c r="N81" i="213"/>
  <c r="N37" i="213"/>
  <c r="N39" i="213"/>
  <c r="N55" i="213"/>
  <c r="N17" i="213"/>
  <c r="H42" i="237"/>
  <c r="N36" i="213"/>
  <c r="N80" i="213"/>
  <c r="F44" i="213"/>
  <c r="I44" i="213" s="1"/>
  <c r="N70" i="213"/>
  <c r="F87" i="213"/>
  <c r="I87" i="213" s="1"/>
  <c r="N35" i="213"/>
  <c r="N45" i="213"/>
  <c r="N103" i="213"/>
  <c r="F57" i="213"/>
  <c r="I57" i="213" s="1"/>
  <c r="N75" i="213"/>
  <c r="N71" i="213"/>
  <c r="N42" i="213"/>
  <c r="N88" i="213"/>
  <c r="N107" i="213"/>
  <c r="N63" i="213"/>
  <c r="F66" i="213"/>
  <c r="I66" i="213" s="1"/>
  <c r="F51" i="213"/>
  <c r="I51" i="213" s="1"/>
  <c r="F38" i="213"/>
  <c r="I38" i="213" s="1"/>
  <c r="N56" i="213"/>
  <c r="F109" i="213"/>
  <c r="I109" i="213" s="1"/>
  <c r="F23" i="213"/>
  <c r="I23" i="213" s="1"/>
  <c r="N41" i="213"/>
  <c r="N69" i="213"/>
  <c r="F24" i="213"/>
  <c r="I24" i="213" s="1"/>
  <c r="F91" i="213"/>
  <c r="I91" i="213" s="1"/>
  <c r="N78" i="213"/>
  <c r="N104" i="213"/>
  <c r="N74" i="213"/>
  <c r="F52" i="213"/>
  <c r="I52" i="213" s="1"/>
  <c r="F77" i="213"/>
  <c r="I77" i="213" s="1"/>
  <c r="F67" i="213"/>
  <c r="I67" i="213" s="1"/>
  <c r="F68" i="213"/>
  <c r="I68" i="213" s="1"/>
  <c r="N65" i="213"/>
  <c r="F79" i="213"/>
  <c r="I79" i="213" s="1"/>
  <c r="N31" i="213"/>
  <c r="N92" i="213"/>
  <c r="F76" i="213"/>
  <c r="I76" i="213" s="1"/>
  <c r="N64" i="213"/>
  <c r="F89" i="213"/>
  <c r="I89" i="213" s="1"/>
  <c r="N72" i="213"/>
  <c r="F33" i="213"/>
  <c r="I33" i="213" s="1"/>
  <c r="F43" i="213"/>
  <c r="I43" i="213" s="1"/>
  <c r="F73" i="213"/>
  <c r="I73" i="213" s="1"/>
  <c r="F40" i="213"/>
  <c r="I40" i="213" s="1"/>
  <c r="F34" i="213"/>
  <c r="I34" i="213" s="1"/>
  <c r="F108" i="213"/>
  <c r="I108" i="213" s="1"/>
  <c r="F32" i="213"/>
  <c r="I32" i="213" s="1"/>
  <c r="N53" i="213"/>
  <c r="N50" i="213" l="1"/>
  <c r="N16" i="213"/>
  <c r="N19" i="213" s="1"/>
  <c r="K19" i="213"/>
  <c r="D26" i="213"/>
  <c r="N22" i="213"/>
  <c r="I22" i="213"/>
  <c r="I26" i="213" s="1"/>
  <c r="G18" i="10" s="1"/>
  <c r="F26" i="213"/>
  <c r="F86" i="213"/>
  <c r="D112" i="213"/>
  <c r="D59" i="213"/>
  <c r="F62" i="213"/>
  <c r="D83" i="213"/>
  <c r="F29" i="213"/>
  <c r="D47" i="213"/>
  <c r="I50" i="213"/>
  <c r="I59" i="213" s="1"/>
  <c r="G20" i="10" s="1"/>
  <c r="F59" i="213"/>
  <c r="I16" i="213"/>
  <c r="I19" i="213" s="1"/>
  <c r="F19" i="213"/>
  <c r="F42" i="209"/>
  <c r="I42" i="209" s="1"/>
  <c r="H22" i="237"/>
  <c r="N79" i="213"/>
  <c r="N77" i="213"/>
  <c r="N91" i="213"/>
  <c r="N57" i="213"/>
  <c r="N89" i="213"/>
  <c r="N44" i="213"/>
  <c r="N87" i="213"/>
  <c r="N52" i="213"/>
  <c r="N40" i="213"/>
  <c r="N109" i="213"/>
  <c r="H78" i="237"/>
  <c r="H75" i="237"/>
  <c r="H17" i="237"/>
  <c r="H64" i="237"/>
  <c r="H88" i="237"/>
  <c r="H30" i="237"/>
  <c r="N68" i="213"/>
  <c r="N66" i="213"/>
  <c r="N34" i="213"/>
  <c r="N67" i="213"/>
  <c r="N42" i="209"/>
  <c r="N23" i="213"/>
  <c r="N38" i="213"/>
  <c r="N51" i="213"/>
  <c r="N108" i="213"/>
  <c r="N73" i="213"/>
  <c r="H63" i="237"/>
  <c r="N76" i="213"/>
  <c r="N24" i="213"/>
  <c r="N32" i="213"/>
  <c r="N43" i="213"/>
  <c r="N33" i="213"/>
  <c r="H56" i="237"/>
  <c r="H45" i="237"/>
  <c r="H36" i="237"/>
  <c r="H54" i="237"/>
  <c r="H53" i="237"/>
  <c r="D114" i="213" l="1"/>
  <c r="D263" i="213" s="1"/>
  <c r="K112" i="213"/>
  <c r="N86" i="213"/>
  <c r="N112" i="213" s="1"/>
  <c r="N62" i="213"/>
  <c r="N83" i="213" s="1"/>
  <c r="K83" i="213"/>
  <c r="G17" i="10"/>
  <c r="I29" i="213"/>
  <c r="I47" i="213" s="1"/>
  <c r="G19" i="10" s="1"/>
  <c r="F47" i="213"/>
  <c r="K26" i="213"/>
  <c r="I62" i="213"/>
  <c r="I83" i="213" s="1"/>
  <c r="G21" i="10" s="1"/>
  <c r="F83" i="213"/>
  <c r="F112" i="213"/>
  <c r="I86" i="213"/>
  <c r="I112" i="213" s="1"/>
  <c r="G22" i="10" s="1"/>
  <c r="N26" i="213"/>
  <c r="K59" i="213"/>
  <c r="K47" i="213"/>
  <c r="N29" i="213"/>
  <c r="N47" i="213" s="1"/>
  <c r="N59" i="213"/>
  <c r="H50" i="237"/>
  <c r="F22" i="209"/>
  <c r="H104" i="237"/>
  <c r="F36" i="209"/>
  <c r="I36" i="209" s="1"/>
  <c r="F53" i="209"/>
  <c r="I53" i="209" s="1"/>
  <c r="F54" i="209"/>
  <c r="I54" i="209" s="1"/>
  <c r="F56" i="209"/>
  <c r="I56" i="209" s="1"/>
  <c r="F75" i="209"/>
  <c r="I75" i="209" s="1"/>
  <c r="F63" i="209"/>
  <c r="I63" i="209" s="1"/>
  <c r="F64" i="209"/>
  <c r="I64" i="209" s="1"/>
  <c r="H35" i="237"/>
  <c r="H72" i="237"/>
  <c r="H37" i="237"/>
  <c r="H74" i="237"/>
  <c r="H39" i="237"/>
  <c r="H55" i="237"/>
  <c r="H91" i="237"/>
  <c r="H31" i="237"/>
  <c r="H24" i="237"/>
  <c r="H67" i="237"/>
  <c r="H81" i="237"/>
  <c r="H70" i="237"/>
  <c r="F88" i="209"/>
  <c r="I88" i="209" s="1"/>
  <c r="H92" i="237"/>
  <c r="H79" i="237"/>
  <c r="H51" i="237"/>
  <c r="H80" i="237"/>
  <c r="H43" i="237"/>
  <c r="F45" i="209"/>
  <c r="I45" i="209" s="1"/>
  <c r="F30" i="209"/>
  <c r="I30" i="209" s="1"/>
  <c r="F17" i="209"/>
  <c r="I17" i="209" s="1"/>
  <c r="F78" i="209"/>
  <c r="I78" i="209" s="1"/>
  <c r="G25" i="10" l="1"/>
  <c r="K114" i="213"/>
  <c r="K263" i="213" s="1"/>
  <c r="N114" i="213"/>
  <c r="N263" i="213" s="1"/>
  <c r="F15" i="137" s="1"/>
  <c r="F114" i="213"/>
  <c r="F263" i="213" s="1"/>
  <c r="I114" i="213"/>
  <c r="I263" i="213" s="1"/>
  <c r="D15" i="137" s="1"/>
  <c r="F50" i="209"/>
  <c r="I22" i="209"/>
  <c r="H29" i="237"/>
  <c r="N22" i="209"/>
  <c r="F104" i="209"/>
  <c r="I104" i="209" s="1"/>
  <c r="H97" i="237"/>
  <c r="F97" i="209"/>
  <c r="I97" i="209" s="1"/>
  <c r="F102" i="209"/>
  <c r="I102" i="209" s="1"/>
  <c r="H103" i="237"/>
  <c r="H102" i="237"/>
  <c r="N36" i="209"/>
  <c r="N75" i="209"/>
  <c r="N53" i="209"/>
  <c r="N63" i="209"/>
  <c r="N54" i="209"/>
  <c r="N56" i="209"/>
  <c r="N64" i="209"/>
  <c r="F39" i="209"/>
  <c r="I39" i="209" s="1"/>
  <c r="F81" i="209"/>
  <c r="I81" i="209" s="1"/>
  <c r="F51" i="209"/>
  <c r="I51" i="209" s="1"/>
  <c r="F24" i="209"/>
  <c r="I24" i="209" s="1"/>
  <c r="F31" i="209"/>
  <c r="I31" i="209" s="1"/>
  <c r="F43" i="209"/>
  <c r="I43" i="209" s="1"/>
  <c r="F79" i="209"/>
  <c r="I79" i="209" s="1"/>
  <c r="F37" i="209"/>
  <c r="I37" i="209" s="1"/>
  <c r="H69" i="237"/>
  <c r="H90" i="237"/>
  <c r="H76" i="237"/>
  <c r="H40" i="237"/>
  <c r="H68" i="237"/>
  <c r="H38" i="237"/>
  <c r="H57" i="237"/>
  <c r="H71" i="237"/>
  <c r="H52" i="237"/>
  <c r="N45" i="209"/>
  <c r="F80" i="209"/>
  <c r="I80" i="209" s="1"/>
  <c r="F92" i="209"/>
  <c r="I92" i="209" s="1"/>
  <c r="F91" i="209"/>
  <c r="I91" i="209" s="1"/>
  <c r="F55" i="209"/>
  <c r="I55" i="209" s="1"/>
  <c r="F74" i="209"/>
  <c r="I74" i="209" s="1"/>
  <c r="F72" i="209"/>
  <c r="I72" i="209" s="1"/>
  <c r="F35" i="209"/>
  <c r="I35" i="209" s="1"/>
  <c r="N78" i="209"/>
  <c r="N88" i="209"/>
  <c r="H77" i="237"/>
  <c r="F70" i="209"/>
  <c r="I70" i="209" s="1"/>
  <c r="F67" i="209"/>
  <c r="I67" i="209" s="1"/>
  <c r="N17" i="209"/>
  <c r="N30" i="209"/>
  <c r="H65" i="237"/>
  <c r="H41" i="237"/>
  <c r="H44" i="237"/>
  <c r="H89" i="237"/>
  <c r="F29" i="209" l="1"/>
  <c r="N50" i="209"/>
  <c r="H62" i="237"/>
  <c r="D59" i="237"/>
  <c r="H59" i="237"/>
  <c r="I50" i="209"/>
  <c r="N79" i="209"/>
  <c r="N104" i="209"/>
  <c r="N102" i="209"/>
  <c r="N97" i="209"/>
  <c r="H99" i="237"/>
  <c r="F99" i="209"/>
  <c r="I99" i="209" s="1"/>
  <c r="F103" i="209"/>
  <c r="I103" i="209" s="1"/>
  <c r="H95" i="237"/>
  <c r="H107" i="237"/>
  <c r="F107" i="209"/>
  <c r="I107" i="209" s="1"/>
  <c r="N24" i="209"/>
  <c r="N81" i="209"/>
  <c r="N39" i="209"/>
  <c r="N31" i="209"/>
  <c r="N51" i="209"/>
  <c r="N37" i="209"/>
  <c r="F76" i="209"/>
  <c r="I76" i="209" s="1"/>
  <c r="F44" i="209"/>
  <c r="I44" i="209" s="1"/>
  <c r="N43" i="209"/>
  <c r="F65" i="209"/>
  <c r="I65" i="209" s="1"/>
  <c r="F77" i="209"/>
  <c r="I77" i="209" s="1"/>
  <c r="F71" i="209"/>
  <c r="I71" i="209" s="1"/>
  <c r="F38" i="209"/>
  <c r="I38" i="209" s="1"/>
  <c r="H33" i="237"/>
  <c r="H66" i="237"/>
  <c r="H73" i="237"/>
  <c r="H86" i="237"/>
  <c r="H87" i="237"/>
  <c r="N74" i="209"/>
  <c r="N92" i="209"/>
  <c r="N55" i="209"/>
  <c r="N80" i="209"/>
  <c r="F52" i="209"/>
  <c r="I52" i="209" s="1"/>
  <c r="F89" i="209"/>
  <c r="I89" i="209" s="1"/>
  <c r="F41" i="209"/>
  <c r="I41" i="209" s="1"/>
  <c r="N67" i="209"/>
  <c r="N35" i="209"/>
  <c r="N91" i="209"/>
  <c r="F57" i="209"/>
  <c r="I57" i="209" s="1"/>
  <c r="F68" i="209"/>
  <c r="I68" i="209" s="1"/>
  <c r="F40" i="209"/>
  <c r="I40" i="209" s="1"/>
  <c r="F90" i="209"/>
  <c r="I90" i="209" s="1"/>
  <c r="N70" i="209"/>
  <c r="N72" i="209"/>
  <c r="F69" i="209"/>
  <c r="I69" i="209" s="1"/>
  <c r="H83" i="237" l="1"/>
  <c r="I59" i="209"/>
  <c r="H32" i="237"/>
  <c r="D59" i="209"/>
  <c r="F62" i="209"/>
  <c r="F59" i="209"/>
  <c r="N29" i="209"/>
  <c r="D83" i="237"/>
  <c r="I29" i="209"/>
  <c r="H106" i="237"/>
  <c r="N77" i="209"/>
  <c r="N103" i="209"/>
  <c r="N107" i="209"/>
  <c r="N99" i="209"/>
  <c r="H98" i="237"/>
  <c r="F98" i="209"/>
  <c r="I98" i="209" s="1"/>
  <c r="H100" i="237"/>
  <c r="F100" i="209"/>
  <c r="I100" i="209" s="1"/>
  <c r="H94" i="237"/>
  <c r="F94" i="209"/>
  <c r="I94" i="209" s="1"/>
  <c r="F95" i="209"/>
  <c r="I95" i="209" s="1"/>
  <c r="H96" i="237"/>
  <c r="N44" i="209"/>
  <c r="N71" i="209"/>
  <c r="N94" i="209"/>
  <c r="N65" i="209"/>
  <c r="N38" i="209"/>
  <c r="N76" i="209"/>
  <c r="H34" i="237"/>
  <c r="F87" i="209"/>
  <c r="I87" i="209" s="1"/>
  <c r="F86" i="209"/>
  <c r="I86" i="209" s="1"/>
  <c r="N69" i="209"/>
  <c r="N68" i="209"/>
  <c r="N41" i="209"/>
  <c r="N90" i="209"/>
  <c r="N40" i="209"/>
  <c r="N52" i="209"/>
  <c r="F66" i="209"/>
  <c r="I66" i="209" s="1"/>
  <c r="N57" i="209"/>
  <c r="N89" i="209"/>
  <c r="F73" i="209"/>
  <c r="I73" i="209" s="1"/>
  <c r="F33" i="209"/>
  <c r="I33" i="209" s="1"/>
  <c r="N59" i="209" l="1"/>
  <c r="N62" i="209"/>
  <c r="I62" i="209"/>
  <c r="I83" i="209" s="1"/>
  <c r="F83" i="209"/>
  <c r="K59" i="209"/>
  <c r="D47" i="237"/>
  <c r="F32" i="209"/>
  <c r="D83" i="209"/>
  <c r="H47" i="237"/>
  <c r="F106" i="209"/>
  <c r="N95" i="209"/>
  <c r="N98" i="209"/>
  <c r="N100" i="209"/>
  <c r="F96" i="209"/>
  <c r="I96" i="209" s="1"/>
  <c r="F108" i="209"/>
  <c r="I108" i="209" s="1"/>
  <c r="N33" i="209"/>
  <c r="N86" i="209"/>
  <c r="F34" i="209"/>
  <c r="I34" i="209" s="1"/>
  <c r="N73" i="209"/>
  <c r="N87" i="209"/>
  <c r="N66" i="209"/>
  <c r="N96" i="209"/>
  <c r="H23" i="237" l="1"/>
  <c r="H26" i="237" s="1"/>
  <c r="D26" i="237"/>
  <c r="I32" i="209"/>
  <c r="I47" i="209" s="1"/>
  <c r="F47" i="209"/>
  <c r="N32" i="209"/>
  <c r="K83" i="209"/>
  <c r="D47" i="209"/>
  <c r="N83" i="209"/>
  <c r="H108" i="237"/>
  <c r="I106" i="209"/>
  <c r="N106" i="209"/>
  <c r="N108" i="209"/>
  <c r="H109" i="237"/>
  <c r="F109" i="209"/>
  <c r="I109" i="209" s="1"/>
  <c r="N34" i="209"/>
  <c r="F23" i="209" l="1"/>
  <c r="D26" i="209"/>
  <c r="K47" i="209"/>
  <c r="N47" i="209"/>
  <c r="N109" i="209"/>
  <c r="N23" i="209" l="1"/>
  <c r="N26" i="209" s="1"/>
  <c r="K26" i="209"/>
  <c r="I23" i="209"/>
  <c r="I26" i="209" s="1"/>
  <c r="F26" i="209"/>
  <c r="F110" i="209" l="1"/>
  <c r="H110" i="237"/>
  <c r="N110" i="209" l="1"/>
  <c r="I110" i="209"/>
  <c r="F111" i="209" l="1"/>
  <c r="N111" i="209" l="1"/>
  <c r="I111" i="209"/>
  <c r="F112" i="209"/>
  <c r="I112" i="209" s="1"/>
  <c r="N112" i="209" l="1"/>
  <c r="H16" i="237" l="1"/>
  <c r="H19" i="237" s="1"/>
  <c r="D19" i="237"/>
  <c r="H111" i="237"/>
  <c r="H113" i="237" s="1"/>
  <c r="D113" i="237"/>
  <c r="D19" i="209"/>
  <c r="F16" i="209"/>
  <c r="F113" i="209"/>
  <c r="D115" i="209"/>
  <c r="D115" i="237" l="1"/>
  <c r="N113" i="209"/>
  <c r="N115" i="209" s="1"/>
  <c r="K115" i="209"/>
  <c r="D117" i="209"/>
  <c r="K19" i="209"/>
  <c r="N16" i="209"/>
  <c r="N19" i="209" s="1"/>
  <c r="I113" i="209"/>
  <c r="I115" i="209" s="1"/>
  <c r="F115" i="209"/>
  <c r="I16" i="209"/>
  <c r="I19" i="209" s="1"/>
  <c r="F19" i="209"/>
  <c r="H115" i="237"/>
  <c r="N117" i="209" l="1"/>
  <c r="I117" i="209"/>
  <c r="K117" i="209"/>
  <c r="F117" i="209"/>
  <c r="N230" i="236" l="1"/>
  <c r="N253" i="236"/>
  <c r="N243" i="236"/>
  <c r="N250" i="236"/>
  <c r="N245" i="236"/>
  <c r="N235" i="236"/>
  <c r="N256" i="236"/>
  <c r="N236" i="236"/>
  <c r="F246" i="236" l="1"/>
  <c r="I246" i="236" s="1"/>
  <c r="N246" i="236"/>
  <c r="F229" i="236"/>
  <c r="I229" i="236" s="1"/>
  <c r="N229" i="236"/>
  <c r="F249" i="236"/>
  <c r="I249" i="236" s="1"/>
  <c r="N249" i="236"/>
  <c r="F241" i="236"/>
  <c r="I241" i="236" s="1"/>
  <c r="N241" i="236"/>
  <c r="F255" i="236"/>
  <c r="I255" i="236" s="1"/>
  <c r="N255" i="236"/>
  <c r="F251" i="236"/>
  <c r="I251" i="236" s="1"/>
  <c r="N251" i="236"/>
  <c r="F237" i="236"/>
  <c r="I237" i="236" s="1"/>
  <c r="N237" i="236"/>
  <c r="F232" i="236"/>
  <c r="I232" i="236" s="1"/>
  <c r="N232" i="236"/>
  <c r="F231" i="236"/>
  <c r="I231" i="236" s="1"/>
  <c r="N231" i="236"/>
  <c r="F233" i="236"/>
  <c r="I233" i="236" s="1"/>
  <c r="N233" i="236"/>
  <c r="F244" i="236"/>
  <c r="I244" i="236" s="1"/>
  <c r="F248" i="236"/>
  <c r="I248" i="236" s="1"/>
  <c r="N248" i="236"/>
  <c r="F252" i="236"/>
  <c r="I252" i="236" s="1"/>
  <c r="N252" i="236"/>
  <c r="F247" i="236"/>
  <c r="I247" i="236" s="1"/>
  <c r="N247" i="236"/>
  <c r="F239" i="236"/>
  <c r="I239" i="236" s="1"/>
  <c r="N239" i="236"/>
  <c r="F250" i="236"/>
  <c r="I250" i="236" s="1"/>
  <c r="F253" i="236"/>
  <c r="I253" i="236" s="1"/>
  <c r="F234" i="236"/>
  <c r="I234" i="236" s="1"/>
  <c r="N234" i="236"/>
  <c r="F240" i="236"/>
  <c r="I240" i="236" s="1"/>
  <c r="N240" i="236"/>
  <c r="F236" i="236"/>
  <c r="I236" i="236" s="1"/>
  <c r="F254" i="236"/>
  <c r="I254" i="236" s="1"/>
  <c r="N254" i="236"/>
  <c r="F238" i="236"/>
  <c r="I238" i="236" s="1"/>
  <c r="N238" i="236"/>
  <c r="F256" i="236"/>
  <c r="I256" i="236" s="1"/>
  <c r="F235" i="236"/>
  <c r="I235" i="236" s="1"/>
  <c r="F245" i="236"/>
  <c r="I245" i="236" s="1"/>
  <c r="F242" i="236"/>
  <c r="I242" i="236" s="1"/>
  <c r="N242" i="236"/>
  <c r="F243" i="236"/>
  <c r="I243" i="236" s="1"/>
  <c r="N244" i="236"/>
  <c r="F230" i="236"/>
  <c r="I230" i="236" s="1"/>
  <c r="D259" i="236" l="1"/>
  <c r="D261" i="236" s="1"/>
  <c r="F228" i="236"/>
  <c r="K259" i="236" l="1"/>
  <c r="K261" i="236" s="1"/>
  <c r="N228" i="236"/>
  <c r="N259" i="236" s="1"/>
  <c r="N261" i="236" s="1"/>
  <c r="F17" i="3" s="1"/>
  <c r="F19" i="3" s="1"/>
  <c r="F259" i="236"/>
  <c r="F261" i="236" s="1"/>
  <c r="I228" i="236"/>
  <c r="I259" i="236" s="1"/>
  <c r="I261" i="236" s="1"/>
  <c r="D17" i="3" s="1"/>
  <c r="D19" i="3" l="1"/>
  <c r="H26" i="10"/>
  <c r="H27" i="10" s="1"/>
  <c r="H33" i="10" s="1"/>
  <c r="H256" i="237" l="1"/>
  <c r="H237" i="237"/>
  <c r="H229" i="237"/>
  <c r="H243" i="237"/>
  <c r="H245" i="237"/>
  <c r="H234" i="237"/>
  <c r="H241" i="237"/>
  <c r="H239" i="237"/>
  <c r="H244" i="237"/>
  <c r="H248" i="237"/>
  <c r="H238" i="237"/>
  <c r="H230" i="237"/>
  <c r="H255" i="237"/>
  <c r="H254" i="237"/>
  <c r="H246" i="237"/>
  <c r="H232" i="237"/>
  <c r="F232" i="209" l="1"/>
  <c r="I232" i="209" s="1"/>
  <c r="N231" i="209"/>
  <c r="N256" i="209"/>
  <c r="H236" i="237"/>
  <c r="H252" i="237"/>
  <c r="H242" i="237"/>
  <c r="H231" i="237"/>
  <c r="H247" i="237"/>
  <c r="H253" i="237"/>
  <c r="H250" i="237"/>
  <c r="H233" i="237"/>
  <c r="F234" i="209"/>
  <c r="I234" i="209" s="1"/>
  <c r="N234" i="209"/>
  <c r="F248" i="209"/>
  <c r="I248" i="209" s="1"/>
  <c r="N248" i="209"/>
  <c r="H235" i="237"/>
  <c r="H240" i="237"/>
  <c r="H251" i="237"/>
  <c r="F243" i="209"/>
  <c r="I243" i="209" s="1"/>
  <c r="N243" i="209"/>
  <c r="H249" i="237"/>
  <c r="N232" i="209" l="1"/>
  <c r="F231" i="209"/>
  <c r="I231" i="209" s="1"/>
  <c r="F256" i="209"/>
  <c r="I256" i="209" s="1"/>
  <c r="F237" i="209"/>
  <c r="I237" i="209" s="1"/>
  <c r="F236" i="209"/>
  <c r="I236" i="209" s="1"/>
  <c r="N236" i="209"/>
  <c r="F239" i="209"/>
  <c r="I239" i="209" s="1"/>
  <c r="N239" i="209"/>
  <c r="F246" i="209"/>
  <c r="I246" i="209" s="1"/>
  <c r="N246" i="209"/>
  <c r="F240" i="209"/>
  <c r="I240" i="209" s="1"/>
  <c r="N240" i="209"/>
  <c r="F245" i="209"/>
  <c r="I245" i="209" s="1"/>
  <c r="N245" i="209"/>
  <c r="F254" i="209"/>
  <c r="I254" i="209" s="1"/>
  <c r="N254" i="209"/>
  <c r="N253" i="209"/>
  <c r="F250" i="209"/>
  <c r="I250" i="209" s="1"/>
  <c r="N250" i="209"/>
  <c r="F257" i="209"/>
  <c r="I257" i="209" s="1"/>
  <c r="N257" i="209"/>
  <c r="F247" i="209"/>
  <c r="I247" i="209" s="1"/>
  <c r="N247" i="209"/>
  <c r="F258" i="209"/>
  <c r="I258" i="209" s="1"/>
  <c r="N258" i="209"/>
  <c r="F241" i="209"/>
  <c r="I241" i="209" s="1"/>
  <c r="N241" i="209"/>
  <c r="N255" i="209" l="1"/>
  <c r="N237" i="209"/>
  <c r="F253" i="209"/>
  <c r="I253" i="209" s="1"/>
  <c r="F255" i="209"/>
  <c r="I255" i="209" s="1"/>
  <c r="F238" i="209"/>
  <c r="I238" i="209" s="1"/>
  <c r="N238" i="209"/>
  <c r="F244" i="209"/>
  <c r="I244" i="209" s="1"/>
  <c r="N244" i="209"/>
  <c r="F242" i="209"/>
  <c r="I242" i="209" s="1"/>
  <c r="N242" i="209"/>
  <c r="F249" i="209"/>
  <c r="I249" i="209" s="1"/>
  <c r="N249" i="209"/>
  <c r="F251" i="209"/>
  <c r="I251" i="209" s="1"/>
  <c r="N251" i="209"/>
  <c r="F252" i="209"/>
  <c r="I252" i="209" s="1"/>
  <c r="N252" i="209"/>
  <c r="F233" i="209"/>
  <c r="I233" i="209" s="1"/>
  <c r="N233" i="209"/>
  <c r="F235" i="209"/>
  <c r="I235" i="209" s="1"/>
  <c r="N235" i="209"/>
  <c r="D259" i="237" l="1"/>
  <c r="D261" i="237" s="1"/>
  <c r="H228" i="237"/>
  <c r="H259" i="237" s="1"/>
  <c r="H261" i="237" s="1"/>
  <c r="D261" i="209"/>
  <c r="D263" i="209" s="1"/>
  <c r="F230" i="209"/>
  <c r="F261" i="209" l="1"/>
  <c r="F263" i="209" s="1"/>
  <c r="I230" i="209"/>
  <c r="I261" i="209" s="1"/>
  <c r="I263" i="209" s="1"/>
  <c r="D17" i="137" s="1"/>
  <c r="H14" i="222"/>
  <c r="E14" i="222"/>
  <c r="N14" i="222"/>
  <c r="G14" i="222"/>
  <c r="L14" i="222"/>
  <c r="J14" i="222"/>
  <c r="O14" i="222"/>
  <c r="I14" i="222"/>
  <c r="K14" i="222"/>
  <c r="F14" i="222"/>
  <c r="D14" i="222"/>
  <c r="M14" i="222"/>
  <c r="K261" i="209"/>
  <c r="K263" i="209" s="1"/>
  <c r="N230" i="209"/>
  <c r="N261" i="209" s="1"/>
  <c r="N263" i="209" s="1"/>
  <c r="F17" i="137" s="1"/>
  <c r="F19" i="137" s="1"/>
  <c r="P14" i="222" l="1"/>
  <c r="D19" i="137"/>
  <c r="G26" i="10"/>
  <c r="G27" i="10" s="1"/>
  <c r="G33" i="10" s="1"/>
  <c r="D13" i="48" l="1"/>
  <c r="D15" i="48" s="1"/>
  <c r="D171" i="79"/>
  <c r="D16" i="48" l="1"/>
  <c r="F155" i="51"/>
  <c r="K26" i="46"/>
  <c r="O26" i="46"/>
  <c r="F26" i="46" l="1"/>
  <c r="L27" i="42"/>
  <c r="P155" i="51"/>
  <c r="F159" i="51"/>
  <c r="F20" i="47"/>
  <c r="M26" i="46"/>
  <c r="J20" i="47" l="1"/>
  <c r="F161" i="51"/>
  <c r="F163" i="51" s="1"/>
  <c r="P159" i="51"/>
  <c r="P161" i="51" l="1"/>
  <c r="P163" i="51" s="1"/>
  <c r="D44" i="232" l="1"/>
  <c r="G44" i="232" s="1"/>
  <c r="D45" i="231"/>
  <c r="G45" i="231" s="1"/>
  <c r="D42" i="232"/>
  <c r="G42" i="232" s="1"/>
  <c r="D43" i="231"/>
  <c r="G43" i="231" s="1"/>
  <c r="O47" i="233"/>
  <c r="K47" i="233"/>
  <c r="D17" i="232"/>
  <c r="G17" i="232" s="1"/>
  <c r="D17" i="231"/>
  <c r="G17" i="231" s="1"/>
  <c r="D15" i="232"/>
  <c r="G15" i="232" s="1"/>
  <c r="D15" i="231"/>
  <c r="G15" i="231" s="1"/>
  <c r="M19" i="230"/>
  <c r="D34" i="232"/>
  <c r="G34" i="232" s="1"/>
  <c r="D34" i="231"/>
  <c r="G34" i="231" s="1"/>
  <c r="D32" i="232"/>
  <c r="G32" i="232" s="1"/>
  <c r="D32" i="231"/>
  <c r="G32" i="231" s="1"/>
  <c r="L36" i="233"/>
  <c r="H36" i="233"/>
  <c r="Q17" i="230" l="1"/>
  <c r="I17" i="231" s="1"/>
  <c r="L17" i="231" s="1"/>
  <c r="G47" i="233"/>
  <c r="E36" i="233"/>
  <c r="I36" i="233"/>
  <c r="M36" i="233"/>
  <c r="N19" i="230"/>
  <c r="O36" i="230"/>
  <c r="F19" i="233"/>
  <c r="J19" i="233"/>
  <c r="N19" i="233"/>
  <c r="Q17" i="233"/>
  <c r="I17" i="232" s="1"/>
  <c r="L17" i="232" s="1"/>
  <c r="N47" i="230"/>
  <c r="L47" i="233"/>
  <c r="L36" i="230"/>
  <c r="G19" i="233"/>
  <c r="K19" i="233"/>
  <c r="O19" i="233"/>
  <c r="K47" i="230"/>
  <c r="O47" i="230"/>
  <c r="H47" i="233"/>
  <c r="L47" i="230"/>
  <c r="D39" i="231"/>
  <c r="P47" i="230"/>
  <c r="E47" i="233"/>
  <c r="I47" i="233"/>
  <c r="M47" i="233"/>
  <c r="Q41" i="230"/>
  <c r="I43" i="231" s="1"/>
  <c r="L43" i="231" s="1"/>
  <c r="Q41" i="233"/>
  <c r="I42" i="232" s="1"/>
  <c r="L42" i="232" s="1"/>
  <c r="M47" i="230"/>
  <c r="F47" i="233"/>
  <c r="J47" i="233"/>
  <c r="N47" i="233"/>
  <c r="Q43" i="230"/>
  <c r="I45" i="231" s="1"/>
  <c r="L45" i="231" s="1"/>
  <c r="Q43" i="233"/>
  <c r="I44" i="232" s="1"/>
  <c r="L44" i="232" s="1"/>
  <c r="K36" i="230"/>
  <c r="Q30" i="230"/>
  <c r="I30" i="231" s="1"/>
  <c r="D30" i="232"/>
  <c r="P36" i="233"/>
  <c r="Q32" i="230"/>
  <c r="I32" i="231" s="1"/>
  <c r="L32" i="231" s="1"/>
  <c r="D36" i="233"/>
  <c r="Q30" i="233"/>
  <c r="I30" i="232" s="1"/>
  <c r="M36" i="230"/>
  <c r="F36" i="233"/>
  <c r="J36" i="233"/>
  <c r="N36" i="233"/>
  <c r="Q34" i="230"/>
  <c r="I34" i="231" s="1"/>
  <c r="L34" i="231" s="1"/>
  <c r="Q34" i="233"/>
  <c r="I34" i="232" s="1"/>
  <c r="L34" i="232" s="1"/>
  <c r="P36" i="230"/>
  <c r="D30" i="231"/>
  <c r="Q32" i="233"/>
  <c r="I32" i="232" s="1"/>
  <c r="L32" i="232" s="1"/>
  <c r="N36" i="230"/>
  <c r="G36" i="233"/>
  <c r="K36" i="233"/>
  <c r="O36" i="233"/>
  <c r="O49" i="233" s="1"/>
  <c r="O19" i="230"/>
  <c r="D19" i="233"/>
  <c r="Q13" i="233"/>
  <c r="I13" i="232" s="1"/>
  <c r="H19" i="233"/>
  <c r="L19" i="233"/>
  <c r="L49" i="233" s="1"/>
  <c r="D13" i="232"/>
  <c r="P19" i="233"/>
  <c r="L19" i="230"/>
  <c r="Q13" i="230"/>
  <c r="I13" i="231" s="1"/>
  <c r="D13" i="231"/>
  <c r="P19" i="230"/>
  <c r="E19" i="233"/>
  <c r="I19" i="233"/>
  <c r="M19" i="233"/>
  <c r="Q15" i="230"/>
  <c r="I15" i="231" s="1"/>
  <c r="L15" i="231" s="1"/>
  <c r="K19" i="230"/>
  <c r="Q15" i="233"/>
  <c r="I15" i="232" s="1"/>
  <c r="L15" i="232" s="1"/>
  <c r="K49" i="233" l="1"/>
  <c r="G49" i="233"/>
  <c r="I49" i="233"/>
  <c r="F49" i="233"/>
  <c r="N49" i="230"/>
  <c r="E49" i="233"/>
  <c r="L49" i="230"/>
  <c r="N49" i="233"/>
  <c r="M49" i="230"/>
  <c r="M49" i="233"/>
  <c r="P49" i="230"/>
  <c r="J49" i="233"/>
  <c r="O49" i="230"/>
  <c r="H49" i="233"/>
  <c r="D38" i="232"/>
  <c r="P47" i="233"/>
  <c r="D47" i="233"/>
  <c r="D49" i="233" s="1"/>
  <c r="Q39" i="233"/>
  <c r="I38" i="232" s="1"/>
  <c r="Q47" i="230"/>
  <c r="D47" i="231"/>
  <c r="G39" i="231"/>
  <c r="G47" i="231" s="1"/>
  <c r="Q39" i="230"/>
  <c r="I39" i="231" s="1"/>
  <c r="Q36" i="233"/>
  <c r="P49" i="233"/>
  <c r="D36" i="231"/>
  <c r="G30" i="231"/>
  <c r="G36" i="231" s="1"/>
  <c r="G30" i="232"/>
  <c r="G36" i="232" s="1"/>
  <c r="D36" i="232"/>
  <c r="L30" i="231"/>
  <c r="L36" i="231" s="1"/>
  <c r="I36" i="231"/>
  <c r="L30" i="232"/>
  <c r="L36" i="232" s="1"/>
  <c r="I36" i="232"/>
  <c r="Q36" i="230"/>
  <c r="G13" i="231"/>
  <c r="G19" i="231" s="1"/>
  <c r="D19" i="231"/>
  <c r="L13" i="232"/>
  <c r="L19" i="232" s="1"/>
  <c r="I19" i="232"/>
  <c r="L13" i="231"/>
  <c r="L19" i="231" s="1"/>
  <c r="I19" i="231"/>
  <c r="G13" i="232"/>
  <c r="G19" i="232" s="1"/>
  <c r="D19" i="232"/>
  <c r="Q19" i="233"/>
  <c r="Q19" i="230"/>
  <c r="K49" i="230"/>
  <c r="G49" i="231" l="1"/>
  <c r="D25" i="3" s="1"/>
  <c r="Q49" i="233"/>
  <c r="D49" i="231"/>
  <c r="G38" i="232"/>
  <c r="G46" i="232" s="1"/>
  <c r="G49" i="232" s="1"/>
  <c r="D25" i="137" s="1"/>
  <c r="D46" i="232"/>
  <c r="D49" i="232" s="1"/>
  <c r="L39" i="231"/>
  <c r="L47" i="231" s="1"/>
  <c r="L49" i="231" s="1"/>
  <c r="I47" i="231"/>
  <c r="I49" i="231" s="1"/>
  <c r="L38" i="232"/>
  <c r="L46" i="232" s="1"/>
  <c r="L49" i="232" s="1"/>
  <c r="L53" i="232" s="1"/>
  <c r="F25" i="137" s="1"/>
  <c r="I46" i="232"/>
  <c r="I49" i="232" s="1"/>
  <c r="Q49" i="230"/>
  <c r="Q47" i="233"/>
  <c r="F25" i="3" l="1"/>
  <c r="I79" i="232"/>
  <c r="I72" i="232"/>
  <c r="I81" i="232"/>
  <c r="I83" i="232" s="1"/>
  <c r="I85" i="232" s="1"/>
  <c r="I75" i="232"/>
  <c r="I15" i="106" l="1"/>
  <c r="J27" i="106"/>
  <c r="M25" i="46" s="1"/>
  <c r="I16" i="106" l="1"/>
  <c r="I17" i="106" l="1"/>
  <c r="I18" i="106" s="1"/>
  <c r="I19" i="106" s="1"/>
  <c r="I20" i="106" s="1"/>
  <c r="I21" i="106" s="1"/>
  <c r="I22" i="106" s="1"/>
  <c r="I23" i="106" s="1"/>
  <c r="I24" i="106" s="1"/>
  <c r="I25" i="106" s="1"/>
  <c r="I26" i="106" s="1"/>
  <c r="I31" i="106" s="1"/>
  <c r="I27" i="106" l="1"/>
  <c r="F24" i="137" s="1"/>
  <c r="D24" i="137"/>
  <c r="I32" i="106"/>
  <c r="I33" i="106" s="1"/>
  <c r="I34" i="106" s="1"/>
  <c r="I35" i="106" s="1"/>
  <c r="I36" i="106" s="1"/>
  <c r="I37" i="106" s="1"/>
  <c r="I38" i="106" s="1"/>
  <c r="I39" i="106" s="1"/>
  <c r="I40" i="106" s="1"/>
  <c r="I41" i="106" s="1"/>
  <c r="I42" i="106" s="1"/>
  <c r="P59" i="44" l="1"/>
  <c r="D62" i="45" s="1"/>
  <c r="D64" i="51" s="1"/>
  <c r="P59" i="222"/>
  <c r="D58" i="79" s="1"/>
  <c r="P61" i="44" l="1"/>
  <c r="D68" i="45" s="1"/>
  <c r="P61" i="222"/>
  <c r="P89" i="44"/>
  <c r="D135" i="45" s="1"/>
  <c r="P55" i="44"/>
  <c r="P30" i="222"/>
  <c r="D33" i="79" s="1"/>
  <c r="P80" i="44"/>
  <c r="P92" i="44"/>
  <c r="D138" i="45" s="1"/>
  <c r="D110" i="51" s="1"/>
  <c r="D69" i="51"/>
  <c r="P80" i="222"/>
  <c r="P70" i="222"/>
  <c r="D105" i="79" s="1"/>
  <c r="P46" i="222"/>
  <c r="D64" i="79"/>
  <c r="P50" i="44"/>
  <c r="D49" i="45" s="1"/>
  <c r="D54" i="51" s="1"/>
  <c r="P62" i="44"/>
  <c r="P46" i="44"/>
  <c r="P62" i="222"/>
  <c r="D65" i="79" s="1"/>
  <c r="P50" i="222"/>
  <c r="D45" i="79" s="1"/>
  <c r="P70" i="44"/>
  <c r="D109" i="45" s="1"/>
  <c r="D82" i="51" s="1"/>
  <c r="P83" i="44"/>
  <c r="D125" i="45" s="1"/>
  <c r="D100" i="51" s="1"/>
  <c r="P30" i="44"/>
  <c r="D37" i="45" s="1"/>
  <c r="D48" i="51" s="1"/>
  <c r="P55" i="222"/>
  <c r="P94" i="222"/>
  <c r="D141" i="79" s="1"/>
  <c r="P66" i="44"/>
  <c r="D79" i="45" s="1"/>
  <c r="D77" i="51" s="1"/>
  <c r="P54" i="44"/>
  <c r="D53" i="45" s="1"/>
  <c r="D58" i="51" s="1"/>
  <c r="P94" i="44"/>
  <c r="D145" i="45" s="1"/>
  <c r="D114" i="51" s="1"/>
  <c r="P66" i="222"/>
  <c r="D75" i="79" s="1"/>
  <c r="P105" i="44" l="1"/>
  <c r="D163" i="45" s="1"/>
  <c r="D126" i="51" s="1"/>
  <c r="P84" i="222"/>
  <c r="D122" i="79" s="1"/>
  <c r="P84" i="44"/>
  <c r="D126" i="45" s="1"/>
  <c r="D101" i="51" s="1"/>
  <c r="P108" i="44"/>
  <c r="D166" i="45" s="1"/>
  <c r="D131" i="51" s="1"/>
  <c r="P101" i="44"/>
  <c r="D159" i="45" s="1"/>
  <c r="D122" i="51" s="1"/>
  <c r="P78" i="44"/>
  <c r="D117" i="45" s="1"/>
  <c r="D90" i="51" s="1"/>
  <c r="P105" i="222"/>
  <c r="D159" i="79" s="1"/>
  <c r="P77" i="222"/>
  <c r="D112" i="79" s="1"/>
  <c r="P102" i="44"/>
  <c r="D160" i="45" s="1"/>
  <c r="D123" i="51" s="1"/>
  <c r="P75" i="44"/>
  <c r="D114" i="45" s="1"/>
  <c r="D87" i="51" s="1"/>
  <c r="P76" i="44"/>
  <c r="D115" i="45" s="1"/>
  <c r="D88" i="51" s="1"/>
  <c r="P77" i="44"/>
  <c r="D116" i="45" s="1"/>
  <c r="D89" i="51" s="1"/>
  <c r="P72" i="44"/>
  <c r="D111" i="45" s="1"/>
  <c r="D84" i="51" s="1"/>
  <c r="P109" i="44"/>
  <c r="D170" i="45" s="1"/>
  <c r="D171" i="45" s="1"/>
  <c r="P86" i="44"/>
  <c r="D128" i="45" s="1"/>
  <c r="D103" i="51" s="1"/>
  <c r="P101" i="222"/>
  <c r="D155" i="79" s="1"/>
  <c r="P58" i="44"/>
  <c r="D61" i="45" s="1"/>
  <c r="D63" i="51" s="1"/>
  <c r="P93" i="44"/>
  <c r="P63" i="44"/>
  <c r="D70" i="45" s="1"/>
  <c r="D71" i="51" s="1"/>
  <c r="P106" i="44"/>
  <c r="D164" i="45" s="1"/>
  <c r="D127" i="51" s="1"/>
  <c r="P29" i="222"/>
  <c r="D110" i="222"/>
  <c r="P96" i="44"/>
  <c r="P97" i="44"/>
  <c r="P85" i="44"/>
  <c r="D127" i="45" s="1"/>
  <c r="D102" i="51" s="1"/>
  <c r="P81" i="44"/>
  <c r="D123" i="45" s="1"/>
  <c r="D93" i="51" s="1"/>
  <c r="P81" i="222"/>
  <c r="D119" i="79" s="1"/>
  <c r="D69" i="45"/>
  <c r="P99" i="44"/>
  <c r="D157" i="45" s="1"/>
  <c r="D120" i="51" s="1"/>
  <c r="P104" i="44"/>
  <c r="D162" i="45" s="1"/>
  <c r="D125" i="51" s="1"/>
  <c r="P82" i="44"/>
  <c r="D124" i="45" s="1"/>
  <c r="D99" i="51" s="1"/>
  <c r="P90" i="44"/>
  <c r="P71" i="44"/>
  <c r="D110" i="45" s="1"/>
  <c r="D83" i="51" s="1"/>
  <c r="P67" i="44"/>
  <c r="D80" i="45" s="1"/>
  <c r="D78" i="51" s="1"/>
  <c r="P56" i="44"/>
  <c r="D59" i="45" s="1"/>
  <c r="D61" i="51" s="1"/>
  <c r="P91" i="44"/>
  <c r="D137" i="45" s="1"/>
  <c r="D109" i="51" s="1"/>
  <c r="P74" i="44"/>
  <c r="D113" i="45" s="1"/>
  <c r="D86" i="51" s="1"/>
  <c r="P64" i="44"/>
  <c r="D71" i="45" s="1"/>
  <c r="D72" i="51" s="1"/>
  <c r="P49" i="44"/>
  <c r="D48" i="45" s="1"/>
  <c r="D53" i="51" s="1"/>
  <c r="D53" i="79"/>
  <c r="P52" i="44"/>
  <c r="D51" i="45" s="1"/>
  <c r="D56" i="51" s="1"/>
  <c r="P96" i="222"/>
  <c r="L111" i="44"/>
  <c r="O111" i="44"/>
  <c r="N111" i="44"/>
  <c r="P85" i="222"/>
  <c r="D123" i="79" s="1"/>
  <c r="K111" i="44"/>
  <c r="P29" i="44"/>
  <c r="P69" i="44"/>
  <c r="D108" i="45" s="1"/>
  <c r="D81" i="51" s="1"/>
  <c r="D40" i="79"/>
  <c r="D122" i="45"/>
  <c r="P107" i="44"/>
  <c r="D165" i="45" s="1"/>
  <c r="D130" i="51" s="1"/>
  <c r="P98" i="44"/>
  <c r="P88" i="44"/>
  <c r="D130" i="45" s="1"/>
  <c r="D105" i="51" s="1"/>
  <c r="P88" i="222"/>
  <c r="D126" i="79" s="1"/>
  <c r="P95" i="44"/>
  <c r="P47" i="44"/>
  <c r="D46" i="45" s="1"/>
  <c r="D51" i="51" s="1"/>
  <c r="P87" i="44"/>
  <c r="D129" i="45" s="1"/>
  <c r="D104" i="51" s="1"/>
  <c r="P51" i="44"/>
  <c r="D50" i="45" s="1"/>
  <c r="D55" i="51" s="1"/>
  <c r="P54" i="222"/>
  <c r="D49" i="79" s="1"/>
  <c r="P97" i="222"/>
  <c r="P69" i="222"/>
  <c r="D104" i="79" s="1"/>
  <c r="P53" i="44"/>
  <c r="D52" i="45" s="1"/>
  <c r="D57" i="51" s="1"/>
  <c r="P103" i="44"/>
  <c r="D161" i="45" s="1"/>
  <c r="D124" i="51" s="1"/>
  <c r="P60" i="44"/>
  <c r="D63" i="45" s="1"/>
  <c r="D66" i="51" s="1"/>
  <c r="P73" i="44"/>
  <c r="D112" i="45" s="1"/>
  <c r="D85" i="51" s="1"/>
  <c r="P48" i="44"/>
  <c r="D47" i="45" s="1"/>
  <c r="D52" i="51" s="1"/>
  <c r="P65" i="44"/>
  <c r="P57" i="44"/>
  <c r="D60" i="45" s="1"/>
  <c r="D62" i="51" s="1"/>
  <c r="P53" i="222"/>
  <c r="D48" i="79" s="1"/>
  <c r="P79" i="222"/>
  <c r="D114" i="79" s="1"/>
  <c r="M111" i="44"/>
  <c r="P68" i="44"/>
  <c r="P79" i="44"/>
  <c r="D118" i="45" s="1"/>
  <c r="D91" i="51" s="1"/>
  <c r="D44" i="45"/>
  <c r="D118" i="79"/>
  <c r="D57" i="45"/>
  <c r="D107" i="51"/>
  <c r="J25" i="42" l="1"/>
  <c r="J29" i="42" s="1"/>
  <c r="J31" i="42" s="1"/>
  <c r="D132" i="51"/>
  <c r="D78" i="45"/>
  <c r="D149" i="45"/>
  <c r="D48" i="100"/>
  <c r="H49" i="100"/>
  <c r="J49" i="100" s="1"/>
  <c r="D146" i="79"/>
  <c r="D70" i="51"/>
  <c r="D74" i="45"/>
  <c r="D50" i="100"/>
  <c r="F50" i="100" s="1"/>
  <c r="D151" i="45"/>
  <c r="D117" i="51" s="1"/>
  <c r="D59" i="51"/>
  <c r="D64" i="45"/>
  <c r="D49" i="100"/>
  <c r="F49" i="100" s="1"/>
  <c r="D150" i="45"/>
  <c r="D116" i="51" s="1"/>
  <c r="D144" i="45"/>
  <c r="D20" i="100"/>
  <c r="E110" i="222"/>
  <c r="D107" i="45"/>
  <c r="D147" i="79"/>
  <c r="H50" i="100"/>
  <c r="J50" i="100" s="1"/>
  <c r="D92" i="51"/>
  <c r="D132" i="45"/>
  <c r="D36" i="45"/>
  <c r="D38" i="45" s="1"/>
  <c r="D32" i="79"/>
  <c r="D34" i="79" s="1"/>
  <c r="D49" i="51"/>
  <c r="D54" i="45"/>
  <c r="D156" i="45"/>
  <c r="D136" i="45"/>
  <c r="H50" i="10" l="1"/>
  <c r="D19" i="46"/>
  <c r="D18" i="24" s="1"/>
  <c r="H18" i="24" s="1"/>
  <c r="D167" i="45"/>
  <c r="D119" i="51"/>
  <c r="K18" i="46"/>
  <c r="D18" i="46"/>
  <c r="F20" i="100"/>
  <c r="F22" i="100" s="1"/>
  <c r="D22" i="100"/>
  <c r="D115" i="51"/>
  <c r="D153" i="45"/>
  <c r="D80" i="51"/>
  <c r="D119" i="45"/>
  <c r="D113" i="51"/>
  <c r="D146" i="45"/>
  <c r="D108" i="51"/>
  <c r="D139" i="45"/>
  <c r="F110" i="222"/>
  <c r="D52" i="100"/>
  <c r="F48" i="100"/>
  <c r="F52" i="100" s="1"/>
  <c r="D76" i="51"/>
  <c r="D82" i="45"/>
  <c r="D134" i="51" l="1"/>
  <c r="D20" i="46"/>
  <c r="D20" i="24" s="1"/>
  <c r="H20" i="24" s="1"/>
  <c r="D173" i="45"/>
  <c r="G110" i="222"/>
  <c r="D23" i="46"/>
  <c r="D26" i="24" s="1"/>
  <c r="H26" i="24" s="1"/>
  <c r="D16" i="24"/>
  <c r="D22" i="46"/>
  <c r="D24" i="24" s="1"/>
  <c r="H24" i="24" s="1"/>
  <c r="D21" i="46"/>
  <c r="D22" i="24" s="1"/>
  <c r="H22" i="24" s="1"/>
  <c r="D24" i="46"/>
  <c r="D28" i="24" s="1"/>
  <c r="H28" i="24" s="1"/>
  <c r="F18" i="46"/>
  <c r="O18" i="46"/>
  <c r="D25" i="46"/>
  <c r="D30" i="24" s="1"/>
  <c r="H30" i="24" s="1"/>
  <c r="H110" i="222" l="1"/>
  <c r="D16" i="69"/>
  <c r="E15" i="84"/>
  <c r="D19" i="47"/>
  <c r="D32" i="24"/>
  <c r="H32" i="24" s="1"/>
  <c r="H16" i="24"/>
  <c r="I110" i="222" l="1"/>
  <c r="H16" i="69"/>
  <c r="J32" i="24"/>
  <c r="E14" i="31"/>
  <c r="P89" i="222"/>
  <c r="D131" i="79" l="1"/>
  <c r="J110" i="222"/>
  <c r="D21" i="3"/>
  <c r="E22" i="31"/>
  <c r="P51" i="222"/>
  <c r="D46" i="79" s="1"/>
  <c r="P64" i="222"/>
  <c r="D67" i="79" s="1"/>
  <c r="P48" i="222"/>
  <c r="D43" i="79" s="1"/>
  <c r="P60" i="222"/>
  <c r="D59" i="79" s="1"/>
  <c r="P49" i="222"/>
  <c r="D44" i="79" s="1"/>
  <c r="P102" i="222"/>
  <c r="D156" i="79" s="1"/>
  <c r="P52" i="222"/>
  <c r="D47" i="79" s="1"/>
  <c r="P87" i="222"/>
  <c r="D125" i="79" s="1"/>
  <c r="P56" i="222"/>
  <c r="P58" i="222"/>
  <c r="D57" i="79" s="1"/>
  <c r="P57" i="222"/>
  <c r="D56" i="79" s="1"/>
  <c r="P83" i="222"/>
  <c r="D121" i="79" s="1"/>
  <c r="P106" i="222"/>
  <c r="D160" i="79" s="1"/>
  <c r="P107" i="222"/>
  <c r="D161" i="79" s="1"/>
  <c r="P108" i="222"/>
  <c r="D162" i="79" s="1"/>
  <c r="P86" i="222"/>
  <c r="D124" i="79" s="1"/>
  <c r="P90" i="222"/>
  <c r="D132" i="79" s="1"/>
  <c r="P82" i="222"/>
  <c r="P93" i="222"/>
  <c r="P65" i="222"/>
  <c r="P95" i="222"/>
  <c r="P67" i="222"/>
  <c r="D76" i="79" s="1"/>
  <c r="P91" i="222"/>
  <c r="D133" i="79" s="1"/>
  <c r="P99" i="222"/>
  <c r="D153" i="79" s="1"/>
  <c r="P98" i="222"/>
  <c r="K110" i="222" l="1"/>
  <c r="D120" i="79"/>
  <c r="D128" i="79" s="1"/>
  <c r="D145" i="79"/>
  <c r="D149" i="79" s="1"/>
  <c r="H48" i="100"/>
  <c r="P47" i="222"/>
  <c r="D135" i="79"/>
  <c r="D74" i="79"/>
  <c r="D78" i="79" s="1"/>
  <c r="H20" i="100"/>
  <c r="D140" i="79"/>
  <c r="D142" i="79" s="1"/>
  <c r="D55" i="79"/>
  <c r="D60" i="79" s="1"/>
  <c r="D152" i="79"/>
  <c r="F21" i="3"/>
  <c r="F27" i="3" s="1"/>
  <c r="D27" i="3"/>
  <c r="K23" i="46" l="1"/>
  <c r="K22" i="46"/>
  <c r="K24" i="46"/>
  <c r="D28" i="47"/>
  <c r="E16" i="1"/>
  <c r="E24" i="1" s="1"/>
  <c r="E28" i="84"/>
  <c r="E32" i="84" s="1"/>
  <c r="H22" i="100"/>
  <c r="J20" i="100"/>
  <c r="J22" i="100" s="1"/>
  <c r="L110" i="222"/>
  <c r="D42" i="79"/>
  <c r="D50" i="79" s="1"/>
  <c r="H52" i="100"/>
  <c r="J48" i="100"/>
  <c r="J52" i="100" s="1"/>
  <c r="F22" i="46" l="1"/>
  <c r="O22" i="46"/>
  <c r="D24" i="69" s="1"/>
  <c r="H24" i="69" s="1"/>
  <c r="M110" i="222"/>
  <c r="K19" i="46"/>
  <c r="E17" i="84"/>
  <c r="E19" i="84" s="1"/>
  <c r="E23" i="84" s="1"/>
  <c r="J41" i="42"/>
  <c r="F24" i="46"/>
  <c r="O24" i="46"/>
  <c r="D28" i="69" s="1"/>
  <c r="H28" i="69" s="1"/>
  <c r="O23" i="46"/>
  <c r="D26" i="69" s="1"/>
  <c r="H26" i="69" s="1"/>
  <c r="F23" i="46"/>
  <c r="P76" i="222"/>
  <c r="D111" i="79" s="1"/>
  <c r="P71" i="222"/>
  <c r="D106" i="79" s="1"/>
  <c r="P73" i="222"/>
  <c r="D108" i="79" s="1"/>
  <c r="P75" i="222"/>
  <c r="D110" i="79" s="1"/>
  <c r="P78" i="222"/>
  <c r="D113" i="79" s="1"/>
  <c r="P72" i="222"/>
  <c r="D107" i="79" s="1"/>
  <c r="P74" i="222"/>
  <c r="D109" i="79" s="1"/>
  <c r="P109" i="222"/>
  <c r="D166" i="79" s="1"/>
  <c r="D167" i="79" s="1"/>
  <c r="P104" i="222" l="1"/>
  <c r="D158" i="79" s="1"/>
  <c r="P103" i="222"/>
  <c r="D157" i="79" s="1"/>
  <c r="H59" i="10"/>
  <c r="J42" i="42"/>
  <c r="O19" i="46"/>
  <c r="F19" i="46"/>
  <c r="P63" i="222"/>
  <c r="O110" i="222"/>
  <c r="P68" i="222"/>
  <c r="D177" i="45"/>
  <c r="D23" i="47"/>
  <c r="D24" i="47" s="1"/>
  <c r="D26" i="47" s="1"/>
  <c r="N12" i="44"/>
  <c r="M12" i="44"/>
  <c r="J12" i="44"/>
  <c r="K12" i="44"/>
  <c r="L12" i="44"/>
  <c r="O12" i="44"/>
  <c r="N110" i="222"/>
  <c r="D163" i="79" l="1"/>
  <c r="K25" i="46" s="1"/>
  <c r="J43" i="42"/>
  <c r="H53" i="10" s="1"/>
  <c r="P12" i="44"/>
  <c r="D28" i="46"/>
  <c r="D31" i="46" s="1"/>
  <c r="D33" i="46" s="1"/>
  <c r="N54" i="202" s="1"/>
  <c r="N50" i="202" s="1"/>
  <c r="L50" i="202" s="1"/>
  <c r="D179" i="45"/>
  <c r="D181" i="45" s="1"/>
  <c r="D103" i="79"/>
  <c r="D115" i="79" s="1"/>
  <c r="E18" i="1"/>
  <c r="D30" i="47"/>
  <c r="D66" i="79"/>
  <c r="D70" i="79" s="1"/>
  <c r="D18" i="69"/>
  <c r="K21" i="46" l="1"/>
  <c r="E20" i="1"/>
  <c r="E26" i="1"/>
  <c r="E30" i="1" s="1"/>
  <c r="P111" i="44"/>
  <c r="F25" i="46"/>
  <c r="O25" i="46"/>
  <c r="D30" i="69" s="1"/>
  <c r="H30" i="69" s="1"/>
  <c r="H18" i="69"/>
  <c r="J45" i="42"/>
  <c r="K20" i="46"/>
  <c r="D169" i="79"/>
  <c r="H55" i="10"/>
  <c r="O21" i="46" l="1"/>
  <c r="D22" i="69" s="1"/>
  <c r="H22" i="69" s="1"/>
  <c r="F21" i="46"/>
  <c r="F20" i="46"/>
  <c r="O20" i="46"/>
  <c r="H58" i="10"/>
  <c r="H115" i="10"/>
  <c r="H114" i="10"/>
  <c r="D20" i="69" l="1"/>
  <c r="F19" i="47"/>
  <c r="G15" i="84"/>
  <c r="H78" i="10"/>
  <c r="H80" i="10"/>
  <c r="H60" i="10"/>
  <c r="H62" i="10" s="1"/>
  <c r="H79" i="10"/>
  <c r="H77" i="10"/>
  <c r="H82" i="10"/>
  <c r="H76" i="10"/>
  <c r="H66" i="10" l="1"/>
  <c r="H64" i="10"/>
  <c r="F15" i="84"/>
  <c r="L25" i="42"/>
  <c r="L29" i="42" s="1"/>
  <c r="H20" i="69"/>
  <c r="D32" i="69"/>
  <c r="H32" i="69" s="1"/>
  <c r="E14" i="67" s="1"/>
  <c r="E22" i="67" l="1"/>
  <c r="D21" i="137"/>
  <c r="L31" i="42"/>
  <c r="G50" i="10"/>
  <c r="D27" i="137" l="1"/>
  <c r="F21" i="137"/>
  <c r="F27" i="137" s="1"/>
  <c r="J28" i="47" l="1"/>
  <c r="G28" i="84"/>
  <c r="G32" i="84" s="1"/>
  <c r="G16" i="1"/>
  <c r="G24" i="1" s="1"/>
  <c r="I60" i="232"/>
  <c r="F28" i="47"/>
  <c r="I62" i="232" l="1"/>
  <c r="I64" i="232"/>
  <c r="G17" i="84"/>
  <c r="L41" i="42"/>
  <c r="I66" i="232" l="1"/>
  <c r="I68" i="232" s="1"/>
  <c r="I70" i="232" s="1"/>
  <c r="K76" i="232" s="1"/>
  <c r="G59" i="10"/>
  <c r="L42" i="42"/>
  <c r="F17" i="84"/>
  <c r="F19" i="84" s="1"/>
  <c r="G19" i="84"/>
  <c r="G23" i="84" s="1"/>
  <c r="K73" i="232" l="1"/>
  <c r="E12" i="222"/>
  <c r="J12" i="222"/>
  <c r="H12" i="222"/>
  <c r="G12" i="222"/>
  <c r="M12" i="222"/>
  <c r="N12" i="222"/>
  <c r="L12" i="222"/>
  <c r="K12" i="222"/>
  <c r="O28" i="46"/>
  <c r="F23" i="47"/>
  <c r="F24" i="47" s="1"/>
  <c r="F26" i="47" s="1"/>
  <c r="F23" i="84"/>
  <c r="O12" i="222"/>
  <c r="F12" i="222"/>
  <c r="D12" i="222"/>
  <c r="I12" i="222"/>
  <c r="L43" i="42"/>
  <c r="G53" i="10" s="1"/>
  <c r="P12" i="222" l="1"/>
  <c r="P110" i="222" s="1"/>
  <c r="L45" i="42"/>
  <c r="G18" i="1"/>
  <c r="F30" i="47"/>
  <c r="O31" i="46"/>
  <c r="O33" i="46" s="1"/>
  <c r="G55" i="10"/>
  <c r="D173" i="79" l="1"/>
  <c r="K28" i="46" s="1"/>
  <c r="G115" i="10"/>
  <c r="G58" i="10"/>
  <c r="G114" i="10"/>
  <c r="G20" i="1"/>
  <c r="V54" i="202" s="1"/>
  <c r="V50" i="202" s="1"/>
  <c r="T50" i="202" s="1"/>
  <c r="G26" i="1"/>
  <c r="G30" i="1" s="1"/>
  <c r="G32" i="1" s="1"/>
  <c r="D175" i="79" l="1"/>
  <c r="D177" i="79" s="1"/>
  <c r="H15" i="47"/>
  <c r="G36" i="1"/>
  <c r="G60" i="10"/>
  <c r="G62" i="10" s="1"/>
  <c r="G80" i="10"/>
  <c r="G78" i="10"/>
  <c r="G77" i="10"/>
  <c r="G82" i="10"/>
  <c r="G76" i="10"/>
  <c r="G79" i="10"/>
  <c r="F28" i="46"/>
  <c r="F31" i="46" s="1"/>
  <c r="F33" i="46" s="1"/>
  <c r="K31" i="46"/>
  <c r="K33" i="46" s="1"/>
  <c r="M28" i="46"/>
  <c r="M31" i="46" s="1"/>
  <c r="M33" i="46" s="1"/>
  <c r="G66" i="10" l="1"/>
  <c r="G64" i="10"/>
  <c r="H19" i="47"/>
  <c r="H21" i="47"/>
  <c r="J21" i="47" s="1"/>
  <c r="J15" i="47"/>
  <c r="J19" i="47" l="1"/>
  <c r="H23" i="47"/>
  <c r="J23" i="47" s="1"/>
  <c r="J24" i="47" l="1"/>
  <c r="J26" i="47" s="1"/>
  <c r="J30" i="47" s="1"/>
  <c r="H24" i="47"/>
  <c r="H26" i="47" s="1"/>
  <c r="D34" i="49" l="1"/>
  <c r="L144" i="51" l="1"/>
  <c r="L146" i="51" s="1"/>
  <c r="L148" i="51" s="1"/>
  <c r="D35" i="49"/>
  <c r="D28" i="49" l="1"/>
  <c r="L134" i="51" l="1"/>
  <c r="L141" i="51" s="1"/>
  <c r="P141" i="51" s="1"/>
  <c r="P110" i="51"/>
  <c r="P134" i="51" s="1"/>
  <c r="D29" i="49"/>
  <c r="J144" i="51"/>
  <c r="J146" i="51" l="1"/>
  <c r="J148" i="51" s="1"/>
  <c r="J142" i="51"/>
  <c r="P142" i="51" s="1"/>
  <c r="P144" i="51" s="1"/>
  <c r="P146" i="51" s="1"/>
  <c r="P148" i="51" s="1"/>
  <c r="D42" i="49" l="1"/>
  <c r="D43" i="49" l="1"/>
  <c r="D44" i="49" s="1"/>
  <c r="D45" i="49" s="1"/>
  <c r="D39" i="49"/>
  <c r="N144" i="51" l="1"/>
  <c r="N146" i="51" s="1"/>
  <c r="N148" i="51" s="1"/>
  <c r="D40" i="49"/>
</calcChain>
</file>

<file path=xl/sharedStrings.xml><?xml version="1.0" encoding="utf-8"?>
<sst xmlns="http://schemas.openxmlformats.org/spreadsheetml/2006/main" count="5531" uniqueCount="1704">
  <si>
    <t>Cost</t>
  </si>
  <si>
    <t>EMBEDDED Cost of PREFERRED STOCK</t>
  </si>
  <si>
    <t>Cost of Capital Summary</t>
  </si>
  <si>
    <t>C-2.2</t>
  </si>
  <si>
    <t>Total General Plant</t>
  </si>
  <si>
    <t>Total CWIP Without AFUDC (Div 009, 091, 002, 012)</t>
  </si>
  <si>
    <t>Kentucky Direct (Division 009)</t>
  </si>
  <si>
    <t>Kentucky-Mid-States General Office (Division 091)</t>
  </si>
  <si>
    <t>Shared Services General Office (Division 002)</t>
  </si>
  <si>
    <t>Shared Services Customer Support (Division 012)</t>
  </si>
  <si>
    <t xml:space="preserve">Adjusted </t>
  </si>
  <si>
    <t xml:space="preserve">Kentucky </t>
  </si>
  <si>
    <t>Allocated</t>
  </si>
  <si>
    <t>Kentucky- Mid</t>
  </si>
  <si>
    <t>States Division</t>
  </si>
  <si>
    <t>(D)</t>
  </si>
  <si>
    <t>Mains - Steel</t>
  </si>
  <si>
    <t>OverTime Hours</t>
  </si>
  <si>
    <t xml:space="preserve">Ratio of OverTime Hours </t>
  </si>
  <si>
    <t>OverTime Dollars</t>
  </si>
  <si>
    <t>Ratio of OverTime Dollars</t>
  </si>
  <si>
    <t>Sales or</t>
  </si>
  <si>
    <t xml:space="preserve">13 Month Average Rate Base </t>
  </si>
  <si>
    <t>403 DEPRECIATION Expense</t>
  </si>
  <si>
    <t>Purchased Gas Cost</t>
  </si>
  <si>
    <t>Comparative Financial Data</t>
  </si>
  <si>
    <t xml:space="preserve">   Production &amp; Gathering Plant</t>
  </si>
  <si>
    <t xml:space="preserve">   Underground Storage</t>
  </si>
  <si>
    <t xml:space="preserve">   Transmission Plant</t>
  </si>
  <si>
    <t>907 Cust Accts Supervision</t>
  </si>
  <si>
    <t>908 Customer Assistance Expenses</t>
  </si>
  <si>
    <t>Div 09 Accumulated Deferred Income Taxes</t>
  </si>
  <si>
    <t>1 /8 Method</t>
  </si>
  <si>
    <t>1 / 8  O &amp; M Method</t>
  </si>
  <si>
    <t xml:space="preserve">   Basis) (%)</t>
  </si>
  <si>
    <t>Date</t>
  </si>
  <si>
    <t>Schedule H-1</t>
  </si>
  <si>
    <t>Most Recent Five Fiscal Years*</t>
  </si>
  <si>
    <t>Schedule C-2.2</t>
  </si>
  <si>
    <t>(E)</t>
  </si>
  <si>
    <t>(G)</t>
  </si>
  <si>
    <t>CIVIC, POLITICAL and RELATED ACTIVITIES</t>
  </si>
  <si>
    <t>of Total</t>
  </si>
  <si>
    <t xml:space="preserve">Allocation for taxes other CSC </t>
  </si>
  <si>
    <t>Forecasted</t>
  </si>
  <si>
    <t>Base</t>
  </si>
  <si>
    <t>13 Month</t>
  </si>
  <si>
    <t>Schedule K</t>
  </si>
  <si>
    <t>Schedule J-4</t>
  </si>
  <si>
    <t>Schedule J-3</t>
  </si>
  <si>
    <t>Schedule J-2</t>
  </si>
  <si>
    <t>Performance based rates</t>
  </si>
  <si>
    <t>Total other income</t>
  </si>
  <si>
    <t>Account 252 - Customer Advances For Construction</t>
  </si>
  <si>
    <t>Summary of Utility Jurisdictional Adjustments to</t>
  </si>
  <si>
    <t>Data:___X____Base Period________Forecasted Period</t>
  </si>
  <si>
    <t>(MMcf)</t>
  </si>
  <si>
    <t xml:space="preserve"> No.</t>
  </si>
  <si>
    <t>Schedule A</t>
  </si>
  <si>
    <t>Schedule</t>
  </si>
  <si>
    <t>Operating Income Summary</t>
  </si>
  <si>
    <t>to Straight-Time Hours</t>
  </si>
  <si>
    <t>O&amp;M Labor Dollars</t>
  </si>
  <si>
    <t xml:space="preserve">Ratio of O&amp;M of Labor Dollars </t>
  </si>
  <si>
    <t>Revenue From Transportation of Gas of Others</t>
  </si>
  <si>
    <t xml:space="preserve">  Other Operating Income</t>
  </si>
  <si>
    <t>O P E R A T I N G  R E V E N U E</t>
  </si>
  <si>
    <t>T O T A L  O P E R A T I N G  R E V E N U E</t>
  </si>
  <si>
    <t xml:space="preserve">      Gas Delivered to Storage</t>
  </si>
  <si>
    <t>Div 02 Accumulated Deferred Income Taxes</t>
  </si>
  <si>
    <t xml:space="preserve">      Other Gas Supply Expenses</t>
  </si>
  <si>
    <t>Customer Accting. &amp; Collection</t>
  </si>
  <si>
    <t>Customer Service &amp; Information</t>
  </si>
  <si>
    <t>Schedule F-6</t>
  </si>
  <si>
    <t>Owensboro Country Club</t>
  </si>
  <si>
    <t>( dues )</t>
  </si>
  <si>
    <t>OCC - Expenses</t>
  </si>
  <si>
    <t>Div 002</t>
  </si>
  <si>
    <t>Div 012</t>
  </si>
  <si>
    <t>Div 091</t>
  </si>
  <si>
    <t>B-4</t>
  </si>
  <si>
    <t>Allowance for Working Capital</t>
  </si>
  <si>
    <t>B-4.2</t>
  </si>
  <si>
    <t>B-4.1</t>
  </si>
  <si>
    <t>13 Month Average Balance</t>
  </si>
  <si>
    <t>B-5</t>
  </si>
  <si>
    <t>Unbilled</t>
  </si>
  <si>
    <t>Trailers</t>
  </si>
  <si>
    <t>Ditchers</t>
  </si>
  <si>
    <t>Backhoes</t>
  </si>
  <si>
    <t>Welders</t>
  </si>
  <si>
    <t>Charitable Organization  *</t>
  </si>
  <si>
    <t>Depreciation Expense</t>
  </si>
  <si>
    <t>13-Month</t>
  </si>
  <si>
    <t>Line</t>
  </si>
  <si>
    <t>Sub</t>
  </si>
  <si>
    <t>Workpaper</t>
  </si>
  <si>
    <t>Total</t>
  </si>
  <si>
    <t>Jurisdictional</t>
  </si>
  <si>
    <t>Average</t>
  </si>
  <si>
    <t>No.</t>
  </si>
  <si>
    <t>Acct</t>
  </si>
  <si>
    <t>Reference</t>
  </si>
  <si>
    <t>Company</t>
  </si>
  <si>
    <t>Percent</t>
  </si>
  <si>
    <t>Amount</t>
  </si>
  <si>
    <t>Balance</t>
  </si>
  <si>
    <t>Other Prop. On Cust. Prem</t>
  </si>
  <si>
    <t>actual</t>
  </si>
  <si>
    <t>Taxes Property and Other</t>
  </si>
  <si>
    <t>Ad Valorem - Accrual</t>
  </si>
  <si>
    <t>814 Storage Supervision &amp; Engineering</t>
  </si>
  <si>
    <t>816 Storage Wells Expense</t>
  </si>
  <si>
    <t>Working Capital Components</t>
  </si>
  <si>
    <t>Gross Profit</t>
  </si>
  <si>
    <t>Direct O&amp;M</t>
  </si>
  <si>
    <t>Depreciation &amp; amortization</t>
  </si>
  <si>
    <t>Taxes - other than income</t>
  </si>
  <si>
    <t>894 Dist Maint Other Eq</t>
  </si>
  <si>
    <t>901 Cust Accts Supervision</t>
  </si>
  <si>
    <t>902 Cust Accts Mtr Exp</t>
  </si>
  <si>
    <t>903 Cust Accts Records/Collections</t>
  </si>
  <si>
    <t>904 Cust Accts Uncoll Accts</t>
  </si>
  <si>
    <t>909 Cust Ser Supervision</t>
  </si>
  <si>
    <t>910 Cust Ser Assist Exp</t>
  </si>
  <si>
    <t>Adjusted Operating Income</t>
  </si>
  <si>
    <t>Gross Revenue</t>
  </si>
  <si>
    <t>Gross Revenue Conversion Factor</t>
  </si>
  <si>
    <t>Ratemaking</t>
  </si>
  <si>
    <t>Test Year</t>
  </si>
  <si>
    <t>Rev. &amp; Exp.</t>
  </si>
  <si>
    <t>Residential</t>
  </si>
  <si>
    <t>Commercial</t>
  </si>
  <si>
    <t>Industrial</t>
  </si>
  <si>
    <t>Average Revenue per Class:</t>
  </si>
  <si>
    <t>Total O &amp; M Expenses</t>
  </si>
  <si>
    <t xml:space="preserve">  Sales of Gas</t>
  </si>
  <si>
    <t>Data:__x___Base Period___x___Forecasted Period</t>
  </si>
  <si>
    <t>Schedule F-3</t>
  </si>
  <si>
    <t>Number</t>
  </si>
  <si>
    <t>Sched.</t>
  </si>
  <si>
    <t>C-2</t>
  </si>
  <si>
    <t>Weighted cost of Debt</t>
  </si>
  <si>
    <t>J-1.1</t>
  </si>
  <si>
    <t>Schedule F-2.1</t>
  </si>
  <si>
    <t>Compressor Station Expense</t>
  </si>
  <si>
    <t>Compressor Station Expense Fuel &amp; Power</t>
  </si>
  <si>
    <t>$</t>
  </si>
  <si>
    <t>100.00%</t>
  </si>
  <si>
    <t>Data:______Base Period__X___Forecasted Period</t>
  </si>
  <si>
    <t>%</t>
  </si>
  <si>
    <t>Adjustment</t>
  </si>
  <si>
    <t>Computation of State &amp; Federal Income Tax</t>
  </si>
  <si>
    <t>Composite Tax Rate (state &amp; federal)</t>
  </si>
  <si>
    <t>Franchises &amp; Consents</t>
  </si>
  <si>
    <t>Natural Gas Production Plant</t>
  </si>
  <si>
    <t>Division</t>
  </si>
  <si>
    <t>Property Plant and Equipment, Net (Sum line 1 Thru 3)</t>
  </si>
  <si>
    <t>Rate Base (Sum line 4 Thru 8)</t>
  </si>
  <si>
    <t>Property Plant and Equipment, Net (Sum Line 1 Thru 3)</t>
  </si>
  <si>
    <t>Rate Base (Sum Line 4 Thru 8)</t>
  </si>
  <si>
    <t>Forecasted Period Ending Balance</t>
  </si>
  <si>
    <t>Rights of Ways</t>
  </si>
  <si>
    <t>Field Lines</t>
  </si>
  <si>
    <t>Public Authority &amp; Other</t>
  </si>
  <si>
    <t>Number of Customer by Class:</t>
  </si>
  <si>
    <t xml:space="preserve">    Gross Plant</t>
  </si>
  <si>
    <t>406 AMORT. - Gas Plant AQUIST.</t>
  </si>
  <si>
    <t>Plant in Service</t>
  </si>
  <si>
    <t>(E=D/B)</t>
  </si>
  <si>
    <t>Federal Income Tax @</t>
  </si>
  <si>
    <t>A</t>
  </si>
  <si>
    <t>Rate Base Summary</t>
  </si>
  <si>
    <t>Net Income</t>
  </si>
  <si>
    <t xml:space="preserve">   Industrial</t>
  </si>
  <si>
    <t>Schedule F-1</t>
  </si>
  <si>
    <t>Account No.</t>
  </si>
  <si>
    <t>Social Organization/Service Club</t>
  </si>
  <si>
    <t>Jurisdictional %</t>
  </si>
  <si>
    <t xml:space="preserve">   Intangible Plant</t>
  </si>
  <si>
    <t>Other Tang. Property - Mainframe S/W</t>
  </si>
  <si>
    <t>Transportation</t>
  </si>
  <si>
    <t>Customer accounts-Operation supervision</t>
  </si>
  <si>
    <t>A&amp;G-Administrative &amp; general salaries</t>
  </si>
  <si>
    <t>A&amp;G-General advertising expense</t>
  </si>
  <si>
    <t>A&amp;G-Rents</t>
  </si>
  <si>
    <t>A&amp;G-Maintenance of general plant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</si>
  <si>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</si>
  <si>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</si>
  <si>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Other storage expenses-Operation labor and expenses</t>
  </si>
  <si>
    <t>Odorization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</si>
  <si>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</si>
  <si>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Discription</t>
  </si>
  <si>
    <t>Account 4081-Taxes Other than Income Tax by Sub-Account</t>
  </si>
  <si>
    <t>Div 009</t>
  </si>
  <si>
    <t>Summary of Revenue Adjustments.</t>
  </si>
  <si>
    <t>Allocation Factor to Kentucky</t>
  </si>
  <si>
    <t>Kentucky</t>
  </si>
  <si>
    <t>*Note:  Debits are shown as positive, and credits are shown as negatives.  Includes the  Shared Services allocation.</t>
  </si>
  <si>
    <t>Data:__X___Base Period___X___Forecasted Period</t>
  </si>
  <si>
    <t>Shared Services</t>
  </si>
  <si>
    <t>Kentucky/Mid-States</t>
  </si>
  <si>
    <t>General Office (Div 002)</t>
  </si>
  <si>
    <t>Customer Support (Div 012)</t>
  </si>
  <si>
    <t>Mid-States General Office (Div 091)</t>
  </si>
  <si>
    <t>Line No.</t>
  </si>
  <si>
    <t>Benefit Load Projects</t>
  </si>
  <si>
    <t>Taxes Property And Other</t>
  </si>
  <si>
    <t>Total Tax Other Than Income Tax</t>
  </si>
  <si>
    <t>Allocation Factor to Kentucky Mid-States (Div 091)</t>
  </si>
  <si>
    <t>Allocation Factor to Kentucky Jurisdiction (Div 009)</t>
  </si>
  <si>
    <t>Total Allocated Amount</t>
  </si>
  <si>
    <t>Interest Deduction</t>
  </si>
  <si>
    <t>922 Administrative Expense Transferred</t>
  </si>
  <si>
    <t>DIVISION 09</t>
  </si>
  <si>
    <t>DIVISION 02</t>
  </si>
  <si>
    <t>Total Storage Plant</t>
  </si>
  <si>
    <t>Account /</t>
  </si>
  <si>
    <t>Title</t>
  </si>
  <si>
    <t>Title of Adjustment</t>
  </si>
  <si>
    <t>&amp; Title</t>
  </si>
  <si>
    <t>Projected Rate Case Expense</t>
  </si>
  <si>
    <t>Consulting</t>
  </si>
  <si>
    <t>495 Other Gas Service Revenue</t>
  </si>
  <si>
    <t>803/804/812 Gas Purchase Costs</t>
  </si>
  <si>
    <t>Blended Effective Tax Rate</t>
  </si>
  <si>
    <t>911 Cust Ser Info Adv Exp</t>
  </si>
  <si>
    <t>916 Sales Promo Demo/Selling</t>
  </si>
  <si>
    <t>921 Adm Gen Office Supply</t>
  </si>
  <si>
    <t>923 Adm Gen Outside Services Emply</t>
  </si>
  <si>
    <t>Meas &amp; Reg. Sta. Equip - General</t>
  </si>
  <si>
    <t>Forfeited discounts</t>
  </si>
  <si>
    <t>815 Maps and records</t>
  </si>
  <si>
    <t>860 Rents</t>
  </si>
  <si>
    <t>8711 Odorization</t>
  </si>
  <si>
    <t>895 Maintenance of Other Plant</t>
  </si>
  <si>
    <t>835 Storage Maintenance Meas/Reg</t>
  </si>
  <si>
    <t>836 Storage Maintenance Purification</t>
  </si>
  <si>
    <t>841 Storage Operation</t>
  </si>
  <si>
    <t>847 Storage Maintenance</t>
  </si>
  <si>
    <t>* The Payroll System accumulates data most readily on a fiscal year basis (Oct. 1 - Sept. 30) rather than calendar basis.</t>
  </si>
  <si>
    <t>850 Trsm Supervision &amp; Engineering</t>
  </si>
  <si>
    <t>856 Trsm Mains Expense</t>
  </si>
  <si>
    <t>857 Trsm Measuring &amp; Regulating</t>
  </si>
  <si>
    <t>859 Trsm Other Exp</t>
  </si>
  <si>
    <t>862 Trsm Structure &amp; Improvements</t>
  </si>
  <si>
    <t>863 Trsm Maint of Mains</t>
  </si>
  <si>
    <t>864 Trsm Maint Comp Sta Equip</t>
  </si>
  <si>
    <t>865 Trsm Maint Meas/Reg Sta</t>
  </si>
  <si>
    <t>867 Trsm Maint Other Eq</t>
  </si>
  <si>
    <t>870 Dist Supervision &amp; Engineering</t>
  </si>
  <si>
    <t>871 Dist Load Dispatching</t>
  </si>
  <si>
    <t>872 Dist Comp Sta</t>
  </si>
  <si>
    <t>874 Dist Main/Ser Exp</t>
  </si>
  <si>
    <t>875 Dist Meas/Reg Sta-Gen</t>
  </si>
  <si>
    <t>SIT Rate</t>
  </si>
  <si>
    <t>Schedule D-2.1</t>
  </si>
  <si>
    <t xml:space="preserve">  Preferred stock ($000)</t>
  </si>
  <si>
    <t xml:space="preserve">  Common equity ($000)</t>
  </si>
  <si>
    <t>Condensed Income Statement data: ($000)</t>
  </si>
  <si>
    <t xml:space="preserve">  State Income Tax (current))</t>
  </si>
  <si>
    <t xml:space="preserve">  Federal Income Tax (current)</t>
  </si>
  <si>
    <t xml:space="preserve">  Federal and State Income Tax - net</t>
  </si>
  <si>
    <t xml:space="preserve">  Investment  tax credits</t>
  </si>
  <si>
    <t>Schedule D-2.2</t>
  </si>
  <si>
    <t>Schedule D-2.3</t>
  </si>
  <si>
    <t>Schedule C-1</t>
  </si>
  <si>
    <t>Schedule C-2</t>
  </si>
  <si>
    <t>Materials &amp; Supplies</t>
  </si>
  <si>
    <t>Acct.</t>
  </si>
  <si>
    <t>Interest</t>
  </si>
  <si>
    <t>Expense</t>
  </si>
  <si>
    <t>Rate Base</t>
  </si>
  <si>
    <t>SHORT-TERM DEBT</t>
  </si>
  <si>
    <t>LONG-TERM DEBT</t>
  </si>
  <si>
    <t>PREFERRED STOCK</t>
  </si>
  <si>
    <t>COMMON EQUITY</t>
  </si>
  <si>
    <t>J-3</t>
  </si>
  <si>
    <t>J-4</t>
  </si>
  <si>
    <t>Total Natural Gas Production Plant</t>
  </si>
  <si>
    <t>Storage Plant</t>
  </si>
  <si>
    <t xml:space="preserve">Compression Station Equipment 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</si>
  <si>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</si>
  <si>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</si>
  <si>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</si>
  <si>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Gas Withdrawn From Storage - Debit</t>
  </si>
  <si>
    <t>Operating Revenue and Expenses by FERC Account</t>
  </si>
  <si>
    <t xml:space="preserve">(1) These donations represent Economic Development Contributions, all Other civic donations are Included </t>
  </si>
  <si>
    <t>Required Rate of Return</t>
  </si>
  <si>
    <t xml:space="preserve">  Operating Expenses (excludes Federal</t>
  </si>
  <si>
    <t>FICA</t>
  </si>
  <si>
    <t>FUTA</t>
  </si>
  <si>
    <t>SUTA</t>
  </si>
  <si>
    <t>Ad Valorem</t>
  </si>
  <si>
    <t>Public Service Commission Assessment</t>
  </si>
  <si>
    <t>Organization</t>
  </si>
  <si>
    <t>Land</t>
  </si>
  <si>
    <t>Maintenance of Other Plant</t>
  </si>
  <si>
    <t>Maps and Records</t>
  </si>
  <si>
    <t>840/847</t>
  </si>
  <si>
    <t>SubAccount Titles</t>
  </si>
  <si>
    <t>Intangible Plant</t>
  </si>
  <si>
    <t>Total Intangible Plant</t>
  </si>
  <si>
    <t>Distribution Plant</t>
  </si>
  <si>
    <t>Total Distribution Plant</t>
  </si>
  <si>
    <t>General Plant</t>
  </si>
  <si>
    <t>O P E R A T I N G  E X P E N S E S</t>
  </si>
  <si>
    <t xml:space="preserve">      Natural Gas City Gate Purchases</t>
  </si>
  <si>
    <t>State &amp; Federal Income Taxes</t>
  </si>
  <si>
    <t xml:space="preserve">  Total Mix of Sales</t>
  </si>
  <si>
    <t xml:space="preserve">  Mix of Fuel:</t>
  </si>
  <si>
    <t>Composite Depreciation Rate</t>
  </si>
  <si>
    <t xml:space="preserve">   Plant in Service by functional class:</t>
  </si>
  <si>
    <t>Property Insurance</t>
  </si>
  <si>
    <t>Franchise Requirements</t>
  </si>
  <si>
    <t>Miscellaneous General Expense</t>
  </si>
  <si>
    <t>403-406</t>
  </si>
  <si>
    <t>Revenue Statistics</t>
  </si>
  <si>
    <t>Total Utility</t>
  </si>
  <si>
    <t>13 month</t>
  </si>
  <si>
    <t>Test Period</t>
  </si>
  <si>
    <t>Ending Balance</t>
  </si>
  <si>
    <t>Labor and Benefits</t>
  </si>
  <si>
    <t>Rent, Maintenance and Utilites</t>
  </si>
  <si>
    <t>Other O&amp;M</t>
  </si>
  <si>
    <t>Bad Debt</t>
  </si>
  <si>
    <t>(F)</t>
  </si>
  <si>
    <t xml:space="preserve"> </t>
  </si>
  <si>
    <t>Base Period</t>
  </si>
  <si>
    <t>Forecasted Period</t>
  </si>
  <si>
    <t>Ng. Field Meas. &amp; Reg. Station</t>
  </si>
  <si>
    <t>Purchased Gas Cost - Operation</t>
  </si>
  <si>
    <t>T O T A L  O P E R A T I N G  E X P E N S E</t>
  </si>
  <si>
    <t>Total Operation and Maintenance Expense</t>
  </si>
  <si>
    <t xml:space="preserve">  Return On Total Capital (Average)</t>
  </si>
  <si>
    <t xml:space="preserve">  Return On Net Plant in Service (Average)</t>
  </si>
  <si>
    <t xml:space="preserve">  Mix of Sales:</t>
  </si>
  <si>
    <t>TOTAL OPERATING EXPENSE (incl Gas Cost)</t>
  </si>
  <si>
    <t>NET OPERATING INCOME</t>
  </si>
  <si>
    <t>STDRATE</t>
  </si>
  <si>
    <t>LTDRATE</t>
  </si>
  <si>
    <t xml:space="preserve">Jurisdictional </t>
  </si>
  <si>
    <t>Account</t>
  </si>
  <si>
    <t>N/A</t>
  </si>
  <si>
    <t xml:space="preserve">Sales by Customer Class: </t>
  </si>
  <si>
    <t>Average Volume per Class:</t>
  </si>
  <si>
    <t>Other Tang. Property - Application Software</t>
  </si>
  <si>
    <t>Cushion Gas</t>
  </si>
  <si>
    <t xml:space="preserve">      Odorization</t>
  </si>
  <si>
    <t>N E T  O P E R A T I N G  I N C O M E</t>
  </si>
  <si>
    <t>Atmos Energy Corporation, Kentucky/Mid-States Division</t>
  </si>
  <si>
    <t>Class of Capital</t>
  </si>
  <si>
    <t>Weighted</t>
  </si>
  <si>
    <t>Outstanding</t>
  </si>
  <si>
    <t>Effective</t>
  </si>
  <si>
    <t>Annual</t>
  </si>
  <si>
    <t>Issue</t>
  </si>
  <si>
    <t>Issued</t>
  </si>
  <si>
    <t>Premium</t>
  </si>
  <si>
    <t>or</t>
  </si>
  <si>
    <t>Discount</t>
  </si>
  <si>
    <t>Gain or Loss</t>
  </si>
  <si>
    <t>on Reacquired</t>
  </si>
  <si>
    <t>Stock</t>
  </si>
  <si>
    <t>Net</t>
  </si>
  <si>
    <t>Proceeds</t>
  </si>
  <si>
    <t>At Issue</t>
  </si>
  <si>
    <t>Annualized</t>
  </si>
  <si>
    <t>Dividends</t>
  </si>
  <si>
    <t>Workpaper Reference No(s).____________________</t>
  </si>
  <si>
    <t>1</t>
  </si>
  <si>
    <t>B-1</t>
  </si>
  <si>
    <t>2</t>
  </si>
  <si>
    <t>C-1</t>
  </si>
  <si>
    <t>3</t>
  </si>
  <si>
    <t>4</t>
  </si>
  <si>
    <t>5</t>
  </si>
  <si>
    <t>6</t>
  </si>
  <si>
    <t>7</t>
  </si>
  <si>
    <t>H</t>
  </si>
  <si>
    <t>8</t>
  </si>
  <si>
    <t>9</t>
  </si>
  <si>
    <t>10</t>
  </si>
  <si>
    <t>Data:__X___Base Period______Forecasted Period</t>
  </si>
  <si>
    <t>13 Month Avg</t>
  </si>
  <si>
    <t xml:space="preserve">  Earnings available for common equity</t>
  </si>
  <si>
    <t xml:space="preserve">    Acquisition Adjustments</t>
  </si>
  <si>
    <t xml:space="preserve">   Less:  Accumulated depreciation</t>
  </si>
  <si>
    <t xml:space="preserve">   Net plant in Service</t>
  </si>
  <si>
    <t>% of Construction financed internally</t>
  </si>
  <si>
    <t>Operating Income Percentage</t>
  </si>
  <si>
    <t>834 Storage Maintenance Compressor</t>
  </si>
  <si>
    <t>AGA</t>
  </si>
  <si>
    <t xml:space="preserve">     on Schedule F-2.1, Charitable Contributions.</t>
  </si>
  <si>
    <t>Summary of O &amp; M adjustments.</t>
  </si>
  <si>
    <t>Atmos Energy Corporation has no PREFERRED STOCK OUTSTANDING at this time.</t>
  </si>
  <si>
    <t>Positions included on this schedule are:</t>
  </si>
  <si>
    <t>These costs are total costs for Atmos Energy Corporation, a portion of which are allocated to Kentucky.</t>
  </si>
  <si>
    <t xml:space="preserve">  Labor</t>
  </si>
  <si>
    <t>Dividend Rate,</t>
  </si>
  <si>
    <t>Proposed</t>
  </si>
  <si>
    <t xml:space="preserve">   Total</t>
  </si>
  <si>
    <t>Adjusted Operating Income Statement</t>
  </si>
  <si>
    <t>Total DEBT</t>
  </si>
  <si>
    <t>Total Capital</t>
  </si>
  <si>
    <t xml:space="preserve">          sub-total</t>
  </si>
  <si>
    <t>Legal Fees</t>
  </si>
  <si>
    <t xml:space="preserve">     (J. Hughes/R. Hutchinson)</t>
  </si>
  <si>
    <t>Employee Expense</t>
  </si>
  <si>
    <t xml:space="preserve">Note:  Rate Case related expenses are shown separately on Schedule F-6. </t>
  </si>
  <si>
    <t xml:space="preserve">     (airfare, lodging, meals, etc.)</t>
  </si>
  <si>
    <t>Miscellaneous Expense</t>
  </si>
  <si>
    <t xml:space="preserve">     (printing, advertising, etc.)</t>
  </si>
  <si>
    <t>Note:  These items are not included in O&amp;M and therefore not part of revenue requirements.</t>
  </si>
  <si>
    <t>Data:__X____Base Period___X____Forecasted Period</t>
  </si>
  <si>
    <t>(c)</t>
  </si>
  <si>
    <t>Earned Rate of Return (line 2 divided by line 1)</t>
  </si>
  <si>
    <t>Required Operating Income (line 1 times line 4)</t>
  </si>
  <si>
    <t>Operating Income Deficiency (line 5 minus line 2)</t>
  </si>
  <si>
    <t>Revenue Deficiency (line 6 times line 7)</t>
  </si>
  <si>
    <t>Revenue Requirements (line 9 plus line 10)</t>
  </si>
  <si>
    <t>Accumulated Depreciation &amp; Amortization</t>
  </si>
  <si>
    <t xml:space="preserve">Gross Payroll </t>
  </si>
  <si>
    <t>Monthly Jurisdictional Operating Income by FERC Account</t>
  </si>
  <si>
    <t xml:space="preserve">     Total     </t>
  </si>
  <si>
    <t>PROFESSIONAL Service Expenses</t>
  </si>
  <si>
    <t xml:space="preserve">      PGA for Commercial</t>
  </si>
  <si>
    <t>Total Distribution Expenses - Maintenance</t>
  </si>
  <si>
    <t>Customer Accounts Expenses - Operation</t>
  </si>
  <si>
    <t>SOCIAL and Service CLUB DUES</t>
  </si>
  <si>
    <t>(2)  All civic Memberships are Included on Schedule F-1, Social and Service Club Dues.</t>
  </si>
  <si>
    <t>Workpaper Reference No(s).</t>
  </si>
  <si>
    <t>Current Rates</t>
  </si>
  <si>
    <t>Proposed Rates</t>
  </si>
  <si>
    <t>Return at</t>
  </si>
  <si>
    <t>Detailed Adjustments</t>
  </si>
  <si>
    <t>Allowance For Working Capital</t>
  </si>
  <si>
    <t xml:space="preserve">   Other</t>
  </si>
  <si>
    <t>Other Capital</t>
  </si>
  <si>
    <t>Other Operating Income</t>
  </si>
  <si>
    <t>Health</t>
  </si>
  <si>
    <t>Total Production Expense - Operation</t>
  </si>
  <si>
    <t>887 Dist Maint of Mains</t>
  </si>
  <si>
    <t>Div 91 Accumulated Deferred Income Taxes</t>
  </si>
  <si>
    <t>Account 255 - Accumulated Deferred Investment Tax Credits</t>
  </si>
  <si>
    <t>Communication Equipment</t>
  </si>
  <si>
    <t>Wells \ Rights of Way</t>
  </si>
  <si>
    <t>Meter Installaitons</t>
  </si>
  <si>
    <t>House Reg. Installations</t>
  </si>
  <si>
    <t>Ind. Meas. &amp; Reg. Sta. Equipment</t>
  </si>
  <si>
    <t>Air Conditioning Equipment</t>
  </si>
  <si>
    <t>841/847</t>
  </si>
  <si>
    <t>Other Storage Exp. - LNG</t>
  </si>
  <si>
    <t>Sched</t>
  </si>
  <si>
    <t>Ref.</t>
  </si>
  <si>
    <t>Utility budget</t>
  </si>
  <si>
    <t>Other Tang. Property - PC Hardware</t>
  </si>
  <si>
    <t>Misc Cust Serv &amp; Informational Exp</t>
  </si>
  <si>
    <t>Budgeted</t>
  </si>
  <si>
    <t>912 Demonstrating and Selling Expenses</t>
  </si>
  <si>
    <t>913 Advertising Expenses</t>
  </si>
  <si>
    <t>924 Property insurance</t>
  </si>
  <si>
    <t>Other O &amp; M Expenses</t>
  </si>
  <si>
    <t>Workpaper Reference No(s).__________</t>
  </si>
  <si>
    <t>C-2.3</t>
  </si>
  <si>
    <t>Monthly Operating Income by FERC Account</t>
  </si>
  <si>
    <t>Taxes Other than Income Tax by Sub-Account</t>
  </si>
  <si>
    <t>Unallocated</t>
  </si>
  <si>
    <t>Income Tax Calculation</t>
  </si>
  <si>
    <t>ADJ 2</t>
  </si>
  <si>
    <t>ADJ 3</t>
  </si>
  <si>
    <t>ADJ 4</t>
  </si>
  <si>
    <t>ADJ 5</t>
  </si>
  <si>
    <t>Data:__X_____Base Period___X____Forecasted Period</t>
  </si>
  <si>
    <t>ADJ3</t>
  </si>
  <si>
    <t>D-2.1</t>
  </si>
  <si>
    <t>ADJUST.</t>
  </si>
  <si>
    <t>929 Uniforms capitalized</t>
  </si>
  <si>
    <t>840 Other Storage Expense</t>
  </si>
  <si>
    <t>Other Tangible Property - Servers - H/W</t>
  </si>
  <si>
    <t>Measuring &amp; Regulating Station Expense</t>
  </si>
  <si>
    <t>Purification</t>
  </si>
  <si>
    <t>Description of Expenses</t>
  </si>
  <si>
    <t>Supervision</t>
  </si>
  <si>
    <t>Customer Assistance</t>
  </si>
  <si>
    <t>Data:___x___Base Period___x___Forecasted Period</t>
  </si>
  <si>
    <t>Schedule F-2.2</t>
  </si>
  <si>
    <t>Payee</t>
  </si>
  <si>
    <t>Data:___x___Base Period___X___Forecasted Period</t>
  </si>
  <si>
    <t>Schedule F-2.3</t>
  </si>
  <si>
    <t xml:space="preserve">  Total Operating Revenue</t>
  </si>
  <si>
    <t xml:space="preserve">  Total Plant Revenue</t>
  </si>
  <si>
    <t xml:space="preserve">  Total DEPRECIATION and Amortization</t>
  </si>
  <si>
    <t xml:space="preserve">Total </t>
  </si>
  <si>
    <t>Total Other Working Capital Allowances</t>
  </si>
  <si>
    <t>Total Working Capital Requirements</t>
  </si>
  <si>
    <t>Construction Work in Progress</t>
  </si>
  <si>
    <t>% Change</t>
  </si>
  <si>
    <t>Executive Compensation</t>
  </si>
  <si>
    <t>Sales Expense</t>
  </si>
  <si>
    <t>Admin. &amp; General Expense</t>
  </si>
  <si>
    <t xml:space="preserve">Plant in Service by Accounts and SubAccounts </t>
  </si>
  <si>
    <t>Other Tangible Property - MF - Hardware</t>
  </si>
  <si>
    <t>TYPE, PAR Amount</t>
  </si>
  <si>
    <t xml:space="preserve">   Distribution Plant</t>
  </si>
  <si>
    <t>* *</t>
  </si>
  <si>
    <t>F-2.2</t>
  </si>
  <si>
    <t>F-3</t>
  </si>
  <si>
    <t>PROPOSED RATES</t>
  </si>
  <si>
    <t>CURRENT RATES</t>
  </si>
  <si>
    <t>Other Tang. Property - PC Software</t>
  </si>
  <si>
    <t>Mains</t>
  </si>
  <si>
    <t>Wells Expense</t>
  </si>
  <si>
    <t>Lines Expense</t>
  </si>
  <si>
    <t>404 Amortization Expense</t>
  </si>
  <si>
    <t>Deferred  Credits and Accumulated Deferred Income Taxes</t>
  </si>
  <si>
    <t>PAYROLL Costs</t>
  </si>
  <si>
    <t>13 Month Average</t>
  </si>
  <si>
    <t>Account 1540- Plant Materials and Operating Supplies</t>
  </si>
  <si>
    <t xml:space="preserve">Account 1630- Stores Expense Undistributed </t>
  </si>
  <si>
    <t>Total Materials &amp; Supplies</t>
  </si>
  <si>
    <t>Gas Stored Underground- Account 1641</t>
  </si>
  <si>
    <t>Prepayments- Account 1650</t>
  </si>
  <si>
    <t>Data Source:</t>
  </si>
  <si>
    <t>Material &amp; Supplies (Account 1540 &amp; 1630)</t>
  </si>
  <si>
    <t>Gas Stored Underground (Account 1641)</t>
  </si>
  <si>
    <t>Prepayments (Account 1650)</t>
  </si>
  <si>
    <t>Salvation Army</t>
  </si>
  <si>
    <t xml:space="preserve">Base Period </t>
  </si>
  <si>
    <t>(F=B+C-D+E)</t>
  </si>
  <si>
    <t>NOTES:</t>
  </si>
  <si>
    <t>ANNUALIZED SHORT-TERM DEBT</t>
  </si>
  <si>
    <t>Remittance Processing Equip</t>
  </si>
  <si>
    <t>Reference No.</t>
  </si>
  <si>
    <t>Accumulated Depreciation and Amortization</t>
  </si>
  <si>
    <t>Plant in Service by Account and Sub Account</t>
  </si>
  <si>
    <t xml:space="preserve">  Dividend Payout Ratio (Declared</t>
  </si>
  <si>
    <t xml:space="preserve">  Market Price - High (Low)</t>
  </si>
  <si>
    <t xml:space="preserve">   1st Quarter - High ($)</t>
  </si>
  <si>
    <t xml:space="preserve">   1st Quarter - Low ($)</t>
  </si>
  <si>
    <t xml:space="preserve">   2nd Quarter - High ($)</t>
  </si>
  <si>
    <t xml:space="preserve">   2nd Quarter - Low ($)</t>
  </si>
  <si>
    <t xml:space="preserve">   3rd Quarter - High ($)</t>
  </si>
  <si>
    <t>Period</t>
  </si>
  <si>
    <t xml:space="preserve">  F.I.C.A.</t>
  </si>
  <si>
    <t>Type of Filing:___X_____Original________Updated</t>
  </si>
  <si>
    <t>Structures Frame</t>
  </si>
  <si>
    <t>Power Operated Equipment</t>
  </si>
  <si>
    <t>Misc Intangible Plant</t>
  </si>
  <si>
    <t>Total Customer Accounts Expense</t>
  </si>
  <si>
    <t>Customer Service &amp; Information - Operation</t>
  </si>
  <si>
    <t>F-1</t>
  </si>
  <si>
    <t>Social and Service Club Dues</t>
  </si>
  <si>
    <t>F-2.1</t>
  </si>
  <si>
    <t>Charitable Contributions</t>
  </si>
  <si>
    <t>Initiation Fees/Country Club Expenses</t>
  </si>
  <si>
    <t>F-2.3</t>
  </si>
  <si>
    <t>Employee Party, Outing and Gift Expenses</t>
  </si>
  <si>
    <t>Sales and Advertising Expenses</t>
  </si>
  <si>
    <t>F-4</t>
  </si>
  <si>
    <t>F-5</t>
  </si>
  <si>
    <t>Professional Service Expenses</t>
  </si>
  <si>
    <t>F-6</t>
  </si>
  <si>
    <t>F-7</t>
  </si>
  <si>
    <t>Civic, Political and Related Activities</t>
  </si>
  <si>
    <t>Expense Reports</t>
  </si>
  <si>
    <t>Jurisdictional Requirement</t>
  </si>
  <si>
    <t>Allocated O&amp;M</t>
  </si>
  <si>
    <t>*Note:  Debits are shown as positive, and credits are shown as negatives.  Includes the Shared Services allocation.</t>
  </si>
  <si>
    <t xml:space="preserve">                            </t>
  </si>
  <si>
    <t>Mcf</t>
  </si>
  <si>
    <t>Data:__X___Base Period__X___Forecasted Period</t>
  </si>
  <si>
    <t>488 MISC. Service Revenues</t>
  </si>
  <si>
    <t>Income Taxes</t>
  </si>
  <si>
    <t>Customer Service and Informational Expenses</t>
  </si>
  <si>
    <t>408 Taxes, Other than Income</t>
  </si>
  <si>
    <t>Rate</t>
  </si>
  <si>
    <t>Item</t>
  </si>
  <si>
    <t>Schedule F-5</t>
  </si>
  <si>
    <t>Schedule F-7</t>
  </si>
  <si>
    <t>Donations (1)</t>
  </si>
  <si>
    <t>Civic Duties (2)</t>
  </si>
  <si>
    <t xml:space="preserve">  Moody's Preferred Stock Rating</t>
  </si>
  <si>
    <t xml:space="preserve">  S&amp;P Preferred Stock Rating</t>
  </si>
  <si>
    <t>Common Stock Related Data: (1)</t>
  </si>
  <si>
    <t xml:space="preserve">  Shares Outstanding Year End (000)</t>
  </si>
  <si>
    <t xml:space="preserve">  Total SALE of Gas</t>
  </si>
  <si>
    <t>Operating income(loss)</t>
  </si>
  <si>
    <t>Other income</t>
  </si>
  <si>
    <t>Other Income</t>
  </si>
  <si>
    <t>Other</t>
  </si>
  <si>
    <t>Meas. &amp; Reg. Sta. Structues</t>
  </si>
  <si>
    <t>Other Structures</t>
  </si>
  <si>
    <t>Well Construction</t>
  </si>
  <si>
    <t>Well Equipment</t>
  </si>
  <si>
    <t>Leaseholds</t>
  </si>
  <si>
    <t>Storage Rights</t>
  </si>
  <si>
    <t>Compressor Station Equipment</t>
  </si>
  <si>
    <t>Taxes - Other</t>
  </si>
  <si>
    <t>Utility</t>
  </si>
  <si>
    <t>Jurisdiction</t>
  </si>
  <si>
    <t>Revenue</t>
  </si>
  <si>
    <t>Tributary Lines</t>
  </si>
  <si>
    <t>INCOME STATEMENT</t>
  </si>
  <si>
    <t>Operating Revenues</t>
  </si>
  <si>
    <t>Gas service revenue</t>
  </si>
  <si>
    <t xml:space="preserve">Other revenue </t>
  </si>
  <si>
    <t>Total Operating Revenues</t>
  </si>
  <si>
    <t>Purchase gas</t>
  </si>
  <si>
    <t>Purpose and Description</t>
  </si>
  <si>
    <t>ADJ1</t>
  </si>
  <si>
    <t>ADJ2</t>
  </si>
  <si>
    <t>ADJ 1</t>
  </si>
  <si>
    <t>Promotional</t>
  </si>
  <si>
    <t xml:space="preserve">  Employee INSURANCE PLANS</t>
  </si>
  <si>
    <t>Total Employee BENEFITS</t>
  </si>
  <si>
    <t>Employee PARTY, OUTING, and GIFT EXP.</t>
  </si>
  <si>
    <t>Computation of Gross Revenue Conversion Factor</t>
  </si>
  <si>
    <t>Comparative Income Statement</t>
  </si>
  <si>
    <t>(H=GXB)</t>
  </si>
  <si>
    <t>Pages</t>
  </si>
  <si>
    <t>Type of Filing:___X____Original________Updated ________Revised</t>
  </si>
  <si>
    <t>to Total Labor Dollars</t>
  </si>
  <si>
    <t>Employee Benefits</t>
  </si>
  <si>
    <t xml:space="preserve">  Return On Common Equity (Average)</t>
  </si>
  <si>
    <t>Most Recent Ten Calendar Years - as Reported</t>
  </si>
  <si>
    <t xml:space="preserve">  and State Taxes, includes gas cost) </t>
  </si>
  <si>
    <t>(H)</t>
  </si>
  <si>
    <t>(I)</t>
  </si>
  <si>
    <t>$000</t>
  </si>
  <si>
    <t>Various</t>
  </si>
  <si>
    <t>Schedule G-3</t>
  </si>
  <si>
    <t xml:space="preserve">  Taxes Other than Income</t>
  </si>
  <si>
    <t>Allocation</t>
  </si>
  <si>
    <t>Deferred Credits &amp; Accumulated Deferred Income Taxes</t>
  </si>
  <si>
    <t>Ratio of Payroll Taxes</t>
  </si>
  <si>
    <t xml:space="preserve">Expensed to Total Payroll </t>
  </si>
  <si>
    <t xml:space="preserve">   Average (Monthly) (000)</t>
  </si>
  <si>
    <t>Total Payroll Taxes</t>
  </si>
  <si>
    <t>Customer Advances For Construction</t>
  </si>
  <si>
    <t>Taxes</t>
  </si>
  <si>
    <t>Production O&amp;M Expense</t>
  </si>
  <si>
    <t>Storage O&amp;M Expense</t>
  </si>
  <si>
    <t>Storage Well Royalties</t>
  </si>
  <si>
    <t>Structure &amp; Improvements</t>
  </si>
  <si>
    <t>Reservoirs &amp; Wells</t>
  </si>
  <si>
    <t>Compressor Station Equip.</t>
  </si>
  <si>
    <t>Measuring &amp; Regulating Station Equip.</t>
  </si>
  <si>
    <t>Mains Expense</t>
  </si>
  <si>
    <t>Measuring &amp; Regulating Station Exp.</t>
  </si>
  <si>
    <t>Measuring &amp; Reg Station Equip.</t>
  </si>
  <si>
    <t>Other Equipment</t>
  </si>
  <si>
    <t>Other Exp.</t>
  </si>
  <si>
    <t>Supervision and Engineering</t>
  </si>
  <si>
    <t>Distribution Load Dispatching</t>
  </si>
  <si>
    <t>Stores Equipment</t>
  </si>
  <si>
    <t>Miscellaneous Equipment</t>
  </si>
  <si>
    <t>Transmission O&amp;M Expense</t>
  </si>
  <si>
    <t>SALE of Gas - Unbilled - no adjustment.</t>
  </si>
  <si>
    <t>876 Dist Meas/Reg Sta-Ind</t>
  </si>
  <si>
    <t>877 Dist Meas/Reg Sta-Cty.</t>
  </si>
  <si>
    <t>878 Dist Mtr/House Reg</t>
  </si>
  <si>
    <t>879 Dist Cust Install</t>
  </si>
  <si>
    <t>880 Dist Other Exp</t>
  </si>
  <si>
    <t>881 Dist Rents</t>
  </si>
  <si>
    <t>Total Distribution Expenses - Operation</t>
  </si>
  <si>
    <t>Distribution Expenses - Maintenance</t>
  </si>
  <si>
    <t>Production Expense - Operation</t>
  </si>
  <si>
    <t>Other Gas Revenue</t>
  </si>
  <si>
    <t>Political Activities (3)</t>
  </si>
  <si>
    <t>Informational and Instructional Advertising Expenses</t>
  </si>
  <si>
    <t>Customer Assistance Expenses</t>
  </si>
  <si>
    <t>Meter Reading Expenses</t>
  </si>
  <si>
    <t>Uncollectible Accounts</t>
  </si>
  <si>
    <t>Provision for Federal &amp; State Income Taxes</t>
  </si>
  <si>
    <t>Depreciation and Amortization</t>
  </si>
  <si>
    <t>Taxes Other than Income Taxes</t>
  </si>
  <si>
    <t>Operation Supervision &amp; Engineering</t>
  </si>
  <si>
    <t>Distribution O&amp;M Expense</t>
  </si>
  <si>
    <t>Account 190 - Accumulated Deferred Income Taxes</t>
  </si>
  <si>
    <t>Account 282 - Accumulated Deferred Income Taxes</t>
  </si>
  <si>
    <t>Account 283 - Accumulated Deferred Income Taxes - Other</t>
  </si>
  <si>
    <t>DIVISION 91</t>
  </si>
  <si>
    <t>Schedule D-1</t>
  </si>
  <si>
    <t>B-2</t>
  </si>
  <si>
    <t>B-3</t>
  </si>
  <si>
    <t>Data:___X____Base Period___X____Forecasted Period</t>
  </si>
  <si>
    <t xml:space="preserve">     </t>
  </si>
  <si>
    <t xml:space="preserve">  State Unemployment</t>
  </si>
  <si>
    <t xml:space="preserve">  Total Payroll Taxes</t>
  </si>
  <si>
    <t>Total Compensation</t>
  </si>
  <si>
    <t>Data Source</t>
  </si>
  <si>
    <t>Filing Requirement</t>
  </si>
  <si>
    <t>B-2 B</t>
  </si>
  <si>
    <t>B-3 B</t>
  </si>
  <si>
    <t>B-4.2 B</t>
  </si>
  <si>
    <t>B-4.1 B</t>
  </si>
  <si>
    <t>B-6 B</t>
  </si>
  <si>
    <t>B-5 B</t>
  </si>
  <si>
    <t>B-2 F</t>
  </si>
  <si>
    <t>B-3 F</t>
  </si>
  <si>
    <t>B-4.2 F</t>
  </si>
  <si>
    <t>B-4.1 F</t>
  </si>
  <si>
    <t>B-6 F</t>
  </si>
  <si>
    <t>B-5 F</t>
  </si>
  <si>
    <t>Schedule B-3.1</t>
  </si>
  <si>
    <t>Description of methodology</t>
  </si>
  <si>
    <t>used to determine</t>
  </si>
  <si>
    <t>Schedule B-4 B</t>
  </si>
  <si>
    <t>Schedule B-4 F</t>
  </si>
  <si>
    <t>Schedule B-4.1 B</t>
  </si>
  <si>
    <t>Schedule B-4.1 F</t>
  </si>
  <si>
    <t>Schedule B-4.2 B</t>
  </si>
  <si>
    <t>Schedule B-4.2 F</t>
  </si>
  <si>
    <t>Sch. B-5 B</t>
  </si>
  <si>
    <t>Sch. B-5 F</t>
  </si>
  <si>
    <t>Sch. B-6 B</t>
  </si>
  <si>
    <t>Sch. B-6 F</t>
  </si>
  <si>
    <t>Schedule C-2.1 F</t>
  </si>
  <si>
    <t>Schedule C-2.1 B</t>
  </si>
  <si>
    <t>Schedule C-2.3 B</t>
  </si>
  <si>
    <t>Schedule C-2.3 F</t>
  </si>
  <si>
    <t>Schedule F-8</t>
  </si>
  <si>
    <t>Revenue by Customer Class:</t>
  </si>
  <si>
    <t>WP B-5 B</t>
  </si>
  <si>
    <t>Div 012 Accumulated Deferred Income Taxes</t>
  </si>
  <si>
    <t>Total Account 252 - Customer Advances For Construction</t>
  </si>
  <si>
    <t>Total Deferred Inc. Taxes and Investment Tax  Credits</t>
  </si>
  <si>
    <t>Communication Equip. - Telemetering</t>
  </si>
  <si>
    <t xml:space="preserve">     Total interest charges</t>
  </si>
  <si>
    <t>Income Before Taxes</t>
  </si>
  <si>
    <t>Provision for income taxes</t>
  </si>
  <si>
    <t>Meas &amp; Reg. Sta. Equipment T.b.</t>
  </si>
  <si>
    <t xml:space="preserve">  AFUDC - % of Net Income</t>
  </si>
  <si>
    <t xml:space="preserve">  AFUDC - % of earnings available for </t>
  </si>
  <si>
    <t xml:space="preserve">   common equity</t>
  </si>
  <si>
    <t>Costs of Capital (1)</t>
  </si>
  <si>
    <t xml:space="preserve">  Embedded cost of short-term debt (%)</t>
  </si>
  <si>
    <t xml:space="preserve">  Embedded cost of long-term debt  (%)</t>
  </si>
  <si>
    <t>Total Administrative and Gen. Exp. - Maintenance</t>
  </si>
  <si>
    <t>4091-4101</t>
  </si>
  <si>
    <t>Operating (Income)Loss*</t>
  </si>
  <si>
    <t>Total Employee Benefits</t>
  </si>
  <si>
    <t>Employee Benefits Expensed</t>
  </si>
  <si>
    <t>Rate of Return</t>
  </si>
  <si>
    <t>Operating Revenue</t>
  </si>
  <si>
    <t>Revenue &amp;</t>
  </si>
  <si>
    <t>Man Hours</t>
  </si>
  <si>
    <t>Labor Dollars</t>
  </si>
  <si>
    <t>Straight-Time Dollars</t>
  </si>
  <si>
    <t>885 Dist Maint Super/Eng</t>
  </si>
  <si>
    <t xml:space="preserve">  Moody's Bond Rating</t>
  </si>
  <si>
    <t xml:space="preserve">  S&amp;P Bond Rating</t>
  </si>
  <si>
    <t>Schedule B-1</t>
  </si>
  <si>
    <t>Structures-Brick</t>
  </si>
  <si>
    <t>Total Plant (Div 009, 091, 002, 012)</t>
  </si>
  <si>
    <t>CWIP With out AFUDC</t>
  </si>
  <si>
    <t>(a)</t>
  </si>
  <si>
    <t>(b)</t>
  </si>
  <si>
    <t>(d)</t>
  </si>
  <si>
    <t>(e)</t>
  </si>
  <si>
    <t>(g)</t>
  </si>
  <si>
    <t>(h)</t>
  </si>
  <si>
    <t>(i)</t>
  </si>
  <si>
    <t>(c) = (a) + (b)</t>
  </si>
  <si>
    <t>(f) = (c) * (d) * (e)</t>
  </si>
  <si>
    <t>(j) = (g) * (h) * (i)</t>
  </si>
  <si>
    <t>Total Administrative and General Exp. - Operation</t>
  </si>
  <si>
    <t>Administrative and General Salaries</t>
  </si>
  <si>
    <t>Office Supplies and Expenses</t>
  </si>
  <si>
    <t>Administrative Expense Transferred</t>
  </si>
  <si>
    <t>Outside Services Employed</t>
  </si>
  <si>
    <t>Injuries and Damages</t>
  </si>
  <si>
    <t>(3) These expenses are recorded below the line and therefore not included in O&amp;M.</t>
  </si>
  <si>
    <t>Employee Pensions and Benefits</t>
  </si>
  <si>
    <t>Regulatory Commission Expense</t>
  </si>
  <si>
    <t>Rents</t>
  </si>
  <si>
    <t>Demonstrating and Selling Expenses</t>
  </si>
  <si>
    <t>Administrative and General Expense - Maintenance</t>
  </si>
  <si>
    <t>Maintenance of General Plant</t>
  </si>
  <si>
    <t>Account 190 - Accumulated Deferred Income Taxes (1)</t>
  </si>
  <si>
    <t>886 Dist Maint Struc/Improv</t>
  </si>
  <si>
    <t>*</t>
  </si>
  <si>
    <t>Schedule J-1</t>
  </si>
  <si>
    <t>INITIATION FEES/COUNTRY CLUB Expenses  *</t>
  </si>
  <si>
    <t>Other - Public Authority</t>
  </si>
  <si>
    <t>Office Furniture &amp; Equipment</t>
  </si>
  <si>
    <t>Office Machines</t>
  </si>
  <si>
    <t>8950</t>
  </si>
  <si>
    <t xml:space="preserve">   Public authority &amp; Other Sales</t>
  </si>
  <si>
    <t xml:space="preserve">  Construction Work in Progress</t>
  </si>
  <si>
    <t>Cash Working Capital</t>
  </si>
  <si>
    <t>Working Capital</t>
  </si>
  <si>
    <t>Cash Working Capital Allowance</t>
  </si>
  <si>
    <t>Total Labor Dollars</t>
  </si>
  <si>
    <t>Data:__X___Base Period_____Forecasted Period</t>
  </si>
  <si>
    <t>Straight Time Hours</t>
  </si>
  <si>
    <t>Prepayments</t>
  </si>
  <si>
    <t>Material &amp; Supplies</t>
  </si>
  <si>
    <t>Rights of Way</t>
  </si>
  <si>
    <t>Operating Income</t>
  </si>
  <si>
    <t xml:space="preserve">  Operating Income</t>
  </si>
  <si>
    <t xml:space="preserve">Ratio of Employee Benefits </t>
  </si>
  <si>
    <t>Expensed to Total Employee</t>
  </si>
  <si>
    <t>Benefits</t>
  </si>
  <si>
    <t>Payroll Taxes</t>
  </si>
  <si>
    <t>Interest Income</t>
  </si>
  <si>
    <t>Costs allocated from SSU and KY-MDS General Office</t>
  </si>
  <si>
    <t>Newspaper, Magazine,bill stuffer &amp; Other</t>
  </si>
  <si>
    <t>Notes:</t>
  </si>
  <si>
    <t>Data:___X___Base Period___X____Forecasted Period</t>
  </si>
  <si>
    <t>Total Base Period</t>
  </si>
  <si>
    <t>BASE PERIOD</t>
  </si>
  <si>
    <t>Sched. B-6</t>
  </si>
  <si>
    <t>B-6</t>
  </si>
  <si>
    <t>American Red Cross</t>
  </si>
  <si>
    <t xml:space="preserve">  Pre-Tax Interest Coverage </t>
  </si>
  <si>
    <t xml:space="preserve">  Pre-Tax Interest Coverage (Excluding AFUDC)</t>
  </si>
  <si>
    <t xml:space="preserve">      Other Gas Purchases / Gas Cost Adjustments</t>
  </si>
  <si>
    <t>Taxable Income</t>
  </si>
  <si>
    <t>Summary</t>
  </si>
  <si>
    <t>B</t>
  </si>
  <si>
    <t>C</t>
  </si>
  <si>
    <t>Operating Income (Revenues &amp; Expenses)</t>
  </si>
  <si>
    <t>D</t>
  </si>
  <si>
    <t>Adjustments to Operating Income by Account</t>
  </si>
  <si>
    <t>F</t>
  </si>
  <si>
    <t>Rule F Compliance Adjustments</t>
  </si>
  <si>
    <t>G</t>
  </si>
  <si>
    <t>Payroll Analysis</t>
  </si>
  <si>
    <t>I</t>
  </si>
  <si>
    <t>Comparative Income Statements</t>
  </si>
  <si>
    <t>J</t>
  </si>
  <si>
    <t>Cost of Capital</t>
  </si>
  <si>
    <t>K</t>
  </si>
  <si>
    <t>E</t>
  </si>
  <si>
    <t>Schedule   E</t>
  </si>
  <si>
    <t>Fully Adjusted</t>
  </si>
  <si>
    <t>Operating Income before Income Tax &amp; Interest</t>
  </si>
  <si>
    <t>(1) Based on fiscal year-end of parent company</t>
  </si>
  <si>
    <t xml:space="preserve">  ESOP PLAN Contributions</t>
  </si>
  <si>
    <t>NOTE:  This schedule contains confidential information, detail of these numbers are available upon request.</t>
  </si>
  <si>
    <t xml:space="preserve">      PGA for Industrial</t>
  </si>
  <si>
    <t xml:space="preserve">      PGA for Public Authority</t>
  </si>
  <si>
    <t>Miscellaneous Sales Expenses</t>
  </si>
  <si>
    <t>Other Gas Supply Expenses - Operation</t>
  </si>
  <si>
    <t xml:space="preserve">  Total Other Gas Supply Expenses - Operation</t>
  </si>
  <si>
    <t>NET Operating Income Impact</t>
  </si>
  <si>
    <t>Schedule G-1</t>
  </si>
  <si>
    <t>Schedule G-2</t>
  </si>
  <si>
    <t xml:space="preserve">  Dividends Declared Per Share ($)</t>
  </si>
  <si>
    <t>Mains Cathodic Protection</t>
  </si>
  <si>
    <t>Mains - Plastic</t>
  </si>
  <si>
    <t>Meters</t>
  </si>
  <si>
    <t>Working Capital Components - 13 Month Averages</t>
  </si>
  <si>
    <t>Cash Working Capital - 1/8 O&amp;M Expenses</t>
  </si>
  <si>
    <t>Payroll Costs</t>
  </si>
  <si>
    <t>Total Payroll Costs</t>
  </si>
  <si>
    <t>Operating Income by Major Accounts</t>
  </si>
  <si>
    <t>Advertising Expenses</t>
  </si>
  <si>
    <t>Sheet 1 of 1</t>
  </si>
  <si>
    <t>13 Mth Avg.</t>
  </si>
  <si>
    <t>Total Customer Accounts Expenses - Operation</t>
  </si>
  <si>
    <t>Structures &amp; Improvements</t>
  </si>
  <si>
    <t>Miscellaneous general expenses</t>
  </si>
  <si>
    <t>Maintenance of general plant</t>
  </si>
  <si>
    <t xml:space="preserve">  Shares Outstanding - Weighted</t>
  </si>
  <si>
    <t>Data:__X____Base Period___X___Forecasted Period</t>
  </si>
  <si>
    <t>Amortization of gas plant acquisition adjustments</t>
  </si>
  <si>
    <t>Taxes other than income taxes, utility operating income</t>
  </si>
  <si>
    <t>Residential sales</t>
  </si>
  <si>
    <t>Other Sales to Public Authorities</t>
  </si>
  <si>
    <t>Miscellaneous service revenues</t>
  </si>
  <si>
    <t>Revenue-Transportation Commercial</t>
  </si>
  <si>
    <t>Intercompany Gas Well-head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</si>
  <si>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</si>
  <si>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</si>
  <si>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</si>
  <si>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</si>
  <si>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</si>
  <si>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</si>
  <si>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</si>
  <si>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</si>
  <si>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</si>
  <si>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</si>
  <si>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</si>
  <si>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</si>
  <si>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Storage-Operation supervision and engineering</t>
  </si>
  <si>
    <t>Wells expenses</t>
  </si>
  <si>
    <t>EMPLOYEE EXPENSE REPORT EXCLUSIONS</t>
  </si>
  <si>
    <t xml:space="preserve">Data Source: </t>
  </si>
  <si>
    <t>Expense Report Review Division 009.xls</t>
  </si>
  <si>
    <t>Expense Report Review Division 091.xls</t>
  </si>
  <si>
    <t>Total Expense Report Exclusions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</si>
  <si>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</si>
  <si>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</si>
  <si>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</si>
  <si>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</si>
  <si>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</si>
  <si>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</si>
  <si>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(1) Based on fiscal year-end of parent company, except for Base Period &amp; Test Period which are based on Atmos Energy Corporation, Kentucky.</t>
  </si>
  <si>
    <t>Percentage of</t>
  </si>
  <si>
    <t>Incremental</t>
  </si>
  <si>
    <t>Less: Uncollectible Accounts Expense</t>
  </si>
  <si>
    <t>Less: PSC Fees</t>
  </si>
  <si>
    <t>Net Revenues</t>
  </si>
  <si>
    <t>Income before Federal Income Tax</t>
  </si>
  <si>
    <t>(100 % divided by Income after Income Tax)</t>
  </si>
  <si>
    <t>AVERAGE SHORT-TERM DEBT</t>
  </si>
  <si>
    <t>TOTAL SHORT-TERM DEBT</t>
  </si>
  <si>
    <t>AVERAGE SHORT-TERM DEBT (1)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</si>
  <si>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</si>
  <si>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</si>
  <si>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</si>
  <si>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</si>
  <si>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</si>
  <si>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Transmission-Operation supervision and engineering</t>
  </si>
  <si>
    <t>Mains expenses</t>
  </si>
  <si>
    <t>Transmission-Measuring and regulating station expenses</t>
  </si>
  <si>
    <t>Transmission-Maintenance of mains</t>
  </si>
  <si>
    <t>Transmission-Maintenance of measuring and regulating station equipment</t>
  </si>
  <si>
    <t>Distribution-Operation supervision and engineering</t>
  </si>
  <si>
    <t>Distribution load dispatching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</si>
  <si>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</si>
  <si>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</si>
  <si>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</si>
  <si>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</si>
  <si>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</si>
  <si>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</si>
  <si>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</si>
  <si>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</si>
  <si>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</si>
  <si>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</si>
  <si>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</si>
  <si>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</si>
  <si>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</si>
  <si>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</si>
  <si>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</si>
  <si>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</si>
  <si>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</si>
  <si>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accounts-Meter reading expenses</t>
  </si>
  <si>
    <t>Sub Account 07421- Service Awards</t>
  </si>
  <si>
    <t>Grand Total</t>
  </si>
  <si>
    <t>Class Cost Study - P. Raab</t>
  </si>
  <si>
    <t>Cost of Capital - Vander Weide, J. H.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</si>
  <si>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</si>
  <si>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</si>
  <si>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</si>
  <si>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</si>
  <si>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</si>
  <si>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</si>
  <si>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</si>
  <si>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</si>
  <si>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</si>
  <si>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</si>
  <si>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</si>
  <si>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</si>
  <si>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</si>
  <si>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</si>
  <si>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</si>
  <si>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Account Discription</t>
  </si>
  <si>
    <t>Data Sources:</t>
  </si>
  <si>
    <t>Advertising</t>
  </si>
  <si>
    <t>Miscellaneous Sales Expense</t>
  </si>
  <si>
    <t xml:space="preserve">   General Plant</t>
  </si>
  <si>
    <t>Total Projected Rate Case Expense</t>
  </si>
  <si>
    <t>Museums &amp; Arts</t>
  </si>
  <si>
    <t>Youth Clubs &amp; Centers</t>
  </si>
  <si>
    <t>Other Tangible Property - Servers - S/W</t>
  </si>
  <si>
    <t>Compressor Station Labor &amp; Expenses</t>
  </si>
  <si>
    <t>Mains &amp; Services</t>
  </si>
  <si>
    <t>Meters and House Regulator Expense</t>
  </si>
  <si>
    <t>Customer Installations Expense</t>
  </si>
  <si>
    <t>Other Expense</t>
  </si>
  <si>
    <t>Measuring and Regulating Station Exp. - Gen</t>
  </si>
  <si>
    <t>Measuring and Regulating Station Exp. - Ind.</t>
  </si>
  <si>
    <t>Measuring and Regulating Sta. Exp. - City Gate</t>
  </si>
  <si>
    <t>Structures and Improvements</t>
  </si>
  <si>
    <t>Meters and House Regulators</t>
  </si>
  <si>
    <t>Customer Records &amp; Collections</t>
  </si>
  <si>
    <t>F-8</t>
  </si>
  <si>
    <t>Total Manhours</t>
  </si>
  <si>
    <t xml:space="preserve">  AFUDC</t>
  </si>
  <si>
    <t xml:space="preserve">Working Capital Components </t>
  </si>
  <si>
    <t xml:space="preserve">  Embedded cost of preferred stock (%)</t>
  </si>
  <si>
    <t>Supervision (1)</t>
  </si>
  <si>
    <t>Informational Advertising (1)</t>
  </si>
  <si>
    <t>Miscellaneous Customer Service and Informational (1)</t>
  </si>
  <si>
    <t>Demonstration and Selling (1)</t>
  </si>
  <si>
    <t xml:space="preserve">Allocated </t>
  </si>
  <si>
    <t>06111- Contract Labor</t>
  </si>
  <si>
    <t>06121- Legal</t>
  </si>
  <si>
    <t>Fixed Charge Coverage: (1)</t>
  </si>
  <si>
    <t>Description</t>
  </si>
  <si>
    <t>Unadjusted</t>
  </si>
  <si>
    <t>Adjustments</t>
  </si>
  <si>
    <t>Adjusted</t>
  </si>
  <si>
    <t>Interest Charges</t>
  </si>
  <si>
    <t>Operating Expenses</t>
  </si>
  <si>
    <t>Requirement</t>
  </si>
  <si>
    <t>Meas &amp; Reg. Equipment</t>
  </si>
  <si>
    <t>Transmission Plant</t>
  </si>
  <si>
    <t>Other Structues</t>
  </si>
  <si>
    <t>Meas. &amp; Reg. Equipment</t>
  </si>
  <si>
    <t>Land Other</t>
  </si>
  <si>
    <t>Structures &amp; Improvements T.B.</t>
  </si>
  <si>
    <t>Improvements</t>
  </si>
  <si>
    <t>Land Rights</t>
  </si>
  <si>
    <t>Overall Financial Summary</t>
  </si>
  <si>
    <t>Allocation from taxes other SS</t>
  </si>
  <si>
    <t>Factor</t>
  </si>
  <si>
    <t>Other Tangible Property - Network - H/W</t>
  </si>
  <si>
    <t>Total Transmission Expense - Operation</t>
  </si>
  <si>
    <t>Transmission Expense - Maintenance</t>
  </si>
  <si>
    <t>Total Transmission Expense - Maintenance</t>
  </si>
  <si>
    <t xml:space="preserve">      Exchange Gas</t>
  </si>
  <si>
    <t>Schedule B-2 F</t>
  </si>
  <si>
    <t>Schedule B-2 B</t>
  </si>
  <si>
    <t>Schedule B-3 B</t>
  </si>
  <si>
    <t>Schedule B-3 F</t>
  </si>
  <si>
    <t>Natural Gas Storage Expense - Maintenance</t>
  </si>
  <si>
    <t>Forfeited Discounts</t>
  </si>
  <si>
    <t>Misc. Service Revenues</t>
  </si>
  <si>
    <t>480 Gas Rev - Residential</t>
  </si>
  <si>
    <t>480 Gas Rev - Commericial</t>
  </si>
  <si>
    <t>480 Gas Rev - Industrial</t>
  </si>
  <si>
    <t>480 Gas Rev - Public Authority &amp; Other</t>
  </si>
  <si>
    <t>890 Dist Maint Meas/Reg Sta-Ind</t>
  </si>
  <si>
    <t>891 Dist Maint Meas/Reg Sta-Cty</t>
  </si>
  <si>
    <t>892 Dist Maint of Ser</t>
  </si>
  <si>
    <t>893 Dist Maint Mtr/House Reg</t>
  </si>
  <si>
    <t xml:space="preserve">      Gas Used for Other Utility Operations</t>
  </si>
  <si>
    <t>Total Purchased Gas Cost</t>
  </si>
  <si>
    <t>Natural Gas Storage Expense - Operation</t>
  </si>
  <si>
    <t>Total Nat. Gas Storage Expense - Operation</t>
  </si>
  <si>
    <t>Total Nat. Gas Storage Expense - Maintenance</t>
  </si>
  <si>
    <t>Transmission Expense - Operation</t>
  </si>
  <si>
    <t>AVERAGE ANNUALIZED SHORT-TERM DEBT</t>
  </si>
  <si>
    <t xml:space="preserve">  Earnings Per Share - Weighted Avg. ($)</t>
  </si>
  <si>
    <t xml:space="preserve">  Dividends Paid Per Share ($)</t>
  </si>
  <si>
    <t>Three Projected Calendar Years</t>
  </si>
  <si>
    <t>Education</t>
  </si>
  <si>
    <t>United Way Agencies</t>
  </si>
  <si>
    <t>Community Welfare</t>
  </si>
  <si>
    <t>Tools, Shop &amp; Garage Equipment</t>
  </si>
  <si>
    <t>Improvement to leased Premises</t>
  </si>
  <si>
    <t xml:space="preserve">   Residential</t>
  </si>
  <si>
    <t xml:space="preserve">   Commercial</t>
  </si>
  <si>
    <t>to Straight-Time Dollars</t>
  </si>
  <si>
    <t>Purification Equipment</t>
  </si>
  <si>
    <t>819 Storage Compressor Station Fuel</t>
  </si>
  <si>
    <t>820 Storage Measuring &amp; Regulating</t>
  </si>
  <si>
    <t>821 Storage Purification</t>
  </si>
  <si>
    <t>824 Storage Other Expense</t>
  </si>
  <si>
    <t>825 Storage Royalties</t>
  </si>
  <si>
    <t>831 Storage Maintenance Structure</t>
  </si>
  <si>
    <t>832 Storage Maintenance Res</t>
  </si>
  <si>
    <t>Type of Filing:_______Original________Updated ____X____Revised</t>
  </si>
  <si>
    <t>13 Mth Average</t>
  </si>
  <si>
    <t>Distribution Expenses - Operation</t>
  </si>
  <si>
    <t xml:space="preserve">  Depreciation Expense</t>
  </si>
  <si>
    <t>Services</t>
  </si>
  <si>
    <t>House Regulators</t>
  </si>
  <si>
    <t>Interest Expense</t>
  </si>
  <si>
    <t>Data:_____Base Period___X__Forecasted Period</t>
  </si>
  <si>
    <t>Period End</t>
  </si>
  <si>
    <t>Customer Service and Informational SALES and General ADVERTISING Expense</t>
  </si>
  <si>
    <t>Other Working Capital Allowances (Inventory &amp; Prepaids)</t>
  </si>
  <si>
    <t>100%</t>
  </si>
  <si>
    <t xml:space="preserve">   3rd Quarter - Low ($)</t>
  </si>
  <si>
    <t xml:space="preserve">   4th Quarter - High ($)</t>
  </si>
  <si>
    <t xml:space="preserve">   4th Quarter - Low ($)</t>
  </si>
  <si>
    <t xml:space="preserve">  Book Amount Per Share (Year-end) ($)</t>
  </si>
  <si>
    <t>Data:________Base Period___X____Forecasted Period</t>
  </si>
  <si>
    <t>D-1</t>
  </si>
  <si>
    <t>925 Adm Gen Injuries/Damages</t>
  </si>
  <si>
    <t>926 Adm Gen Empl Pen/Ben</t>
  </si>
  <si>
    <t>(based on year-end accounts))</t>
  </si>
  <si>
    <t xml:space="preserve">  Short-term debt ($000)</t>
  </si>
  <si>
    <t xml:space="preserve">  Long-term debt ($000)</t>
  </si>
  <si>
    <t xml:space="preserve">  Other Income net</t>
  </si>
  <si>
    <t xml:space="preserve">  Income available for fixed charges</t>
  </si>
  <si>
    <t xml:space="preserve">  Interest charges</t>
  </si>
  <si>
    <t xml:space="preserve">  Net Income</t>
  </si>
  <si>
    <t xml:space="preserve">  Preferred dividends accrual</t>
  </si>
  <si>
    <t>Transportation Equipment</t>
  </si>
  <si>
    <t>Summary of Utility Jurisdictional Adjustments to Operating Income by Account</t>
  </si>
  <si>
    <t>LN</t>
  </si>
  <si>
    <t>NO</t>
  </si>
  <si>
    <t>ADJUSTED</t>
  </si>
  <si>
    <t>(A)</t>
  </si>
  <si>
    <t>(B)</t>
  </si>
  <si>
    <t>(C)</t>
  </si>
  <si>
    <t>AVERAGE ANNUALIZED LONG-TERM DEBT</t>
  </si>
  <si>
    <t xml:space="preserve">(1) Included in these accounts are advertising and promotional advertising expenses which are considered Non-recoverable and will be Excluded </t>
  </si>
  <si>
    <t>Rate of Return Measures (1)</t>
  </si>
  <si>
    <t xml:space="preserve">Gas Stored Underground </t>
  </si>
  <si>
    <t xml:space="preserve">  FAS 106</t>
  </si>
  <si>
    <t>D-2.2</t>
  </si>
  <si>
    <t>GRAND</t>
  </si>
  <si>
    <t>D-2.3</t>
  </si>
  <si>
    <t>(1)</t>
  </si>
  <si>
    <t>(2)</t>
  </si>
  <si>
    <t>(3)</t>
  </si>
  <si>
    <t xml:space="preserve"> 1</t>
  </si>
  <si>
    <t>12.50%</t>
  </si>
  <si>
    <t xml:space="preserve">  Salary</t>
  </si>
  <si>
    <t xml:space="preserve">  Other Allowances and Compensation</t>
  </si>
  <si>
    <t xml:space="preserve">  Total Salary and Compensation</t>
  </si>
  <si>
    <t xml:space="preserve">  Pensions</t>
  </si>
  <si>
    <t xml:space="preserve">  Other Benefits</t>
  </si>
  <si>
    <t xml:space="preserve">  Total Employee Benefits</t>
  </si>
  <si>
    <t xml:space="preserve">  Federal Unemployment</t>
  </si>
  <si>
    <t>Payroll Taxes Expensed</t>
  </si>
  <si>
    <t xml:space="preserve">  After Tax Interest Coverage  </t>
  </si>
  <si>
    <t xml:space="preserve">  SEC Coverage</t>
  </si>
  <si>
    <t xml:space="preserve">  After Tax Interest Coverage (Excluding AFUDC)</t>
  </si>
  <si>
    <t xml:space="preserve">  Indenture Provision Coverage</t>
  </si>
  <si>
    <t xml:space="preserve">  After Tax Fixed Charge Coverage</t>
  </si>
  <si>
    <t>Stock and Bond Ratings: (1)</t>
  </si>
  <si>
    <t>Jurisdictional Rate Base Summary</t>
  </si>
  <si>
    <t>Increase</t>
  </si>
  <si>
    <t>Revenue Increase Requested</t>
  </si>
  <si>
    <t>SALE of Gas</t>
  </si>
  <si>
    <t>Total Sales Expenses</t>
  </si>
  <si>
    <t>Administrative and General Expenses - Operation</t>
  </si>
  <si>
    <t>DIVISION 12</t>
  </si>
  <si>
    <t>Jurisdictional Accumulated Depreciation &amp; Amortization</t>
  </si>
  <si>
    <t>B-3.1</t>
  </si>
  <si>
    <t>Field Meas. &amp; Reg. Sta. Equip</t>
  </si>
  <si>
    <t>Total Operating Expenses</t>
  </si>
  <si>
    <t>Type of Filing:___X____Original________Updated</t>
  </si>
  <si>
    <t>Type of Filing:___X____Original________Updated________Revised</t>
  </si>
  <si>
    <t>Type of Filing:___X_____Original________Updated________Revised</t>
  </si>
  <si>
    <t>Type of Filing:___X____Original________Updated_________Revised</t>
  </si>
  <si>
    <t>Type of Filing:___X____Original_______Updated_______Revised</t>
  </si>
  <si>
    <t xml:space="preserve">ACCOUNT No. </t>
  </si>
  <si>
    <t>Base Year</t>
  </si>
  <si>
    <t>Expenses</t>
  </si>
  <si>
    <t>Classification</t>
  </si>
  <si>
    <t>Major Group</t>
  </si>
  <si>
    <t>Kentucky Composite Tax</t>
  </si>
  <si>
    <t>Deferred Inc. Taxes and Investment Tax  Credits</t>
  </si>
  <si>
    <t>Workpaper Reference NO(S).____________________</t>
  </si>
  <si>
    <t>J-1</t>
  </si>
  <si>
    <t>SALES STATISTICS</t>
  </si>
  <si>
    <t>Schedule I</t>
  </si>
  <si>
    <t xml:space="preserve">      Transportation to City Gate</t>
  </si>
  <si>
    <t xml:space="preserve">Operating Revenue and Expenses by FERC Account </t>
  </si>
  <si>
    <t>Production Expense - Maintenance</t>
  </si>
  <si>
    <t>Ng Main. Supervision &amp; Engineering</t>
  </si>
  <si>
    <t>Ng. Main. Supervision &amp; Engineering</t>
  </si>
  <si>
    <t>Rate Base, Dep. Exp., &amp; Taxes Other</t>
  </si>
  <si>
    <t>Retirement Work in Progress</t>
  </si>
  <si>
    <t>Composite</t>
  </si>
  <si>
    <t>Total Accumulated Depreciation &amp; Amortization (Div 009, 091, 002, 012)</t>
  </si>
  <si>
    <t>Data:_____Base Period___X___Forecasted Period</t>
  </si>
  <si>
    <t>Land &amp; Land Rights</t>
  </si>
  <si>
    <t>State &amp; Federal Income Tax</t>
  </si>
  <si>
    <t>* Interest Expense Calculation:</t>
  </si>
  <si>
    <t>State Tax Rate</t>
  </si>
  <si>
    <t>Federal Tax Rate</t>
  </si>
  <si>
    <t>Other Tangible Property</t>
  </si>
  <si>
    <t>Other Financial and Operating Data:</t>
  </si>
  <si>
    <t>Plant Data: ($000)</t>
  </si>
  <si>
    <t xml:space="preserve">  Total Sales of Gas</t>
  </si>
  <si>
    <t xml:space="preserve">  Total Other Operating Income</t>
  </si>
  <si>
    <t>Cost Rate</t>
  </si>
  <si>
    <t>Employee Levels</t>
  </si>
  <si>
    <t>Average Employee Levels</t>
  </si>
  <si>
    <t>Year end Employee Levels</t>
  </si>
  <si>
    <t>Most Recent Five Calendar Years</t>
  </si>
  <si>
    <t>Payroll Analysis by Employee Classifications/Payroll Distribution/Total Company</t>
  </si>
  <si>
    <t xml:space="preserve">  Total MIX of Fuel (2)</t>
  </si>
  <si>
    <t>(2) Kentucky gas purchases by accounting month.</t>
  </si>
  <si>
    <t>Cash Working Capital Components - 1 / 8 O&amp;M Expenses</t>
  </si>
  <si>
    <t>Period ending</t>
  </si>
  <si>
    <t>Sched. B-5</t>
  </si>
  <si>
    <t>C-2.1</t>
  </si>
  <si>
    <t>General Plant **</t>
  </si>
  <si>
    <t>Base Period Ending Balance</t>
  </si>
  <si>
    <t>Kentucky Direct (Div 009)</t>
  </si>
  <si>
    <t>KY/Mid-States General Office (Div 091)</t>
  </si>
  <si>
    <t>Shared Services General Office (Div 002)</t>
  </si>
  <si>
    <t>Shared Services Customer Support (Div 012)</t>
  </si>
  <si>
    <t>Safety or</t>
  </si>
  <si>
    <t>Req by Law</t>
  </si>
  <si>
    <t>Other Tang. Property - CPU</t>
  </si>
  <si>
    <t xml:space="preserve">    Total CWIP</t>
  </si>
  <si>
    <t>Total LONG-TERM DEBT</t>
  </si>
  <si>
    <t>927 Adm Gen Franchise Req</t>
  </si>
  <si>
    <t>928 Adm Gen Reg Comm Exp</t>
  </si>
  <si>
    <t>9301 Adm Gen Goodwill Adv</t>
  </si>
  <si>
    <t>9302 Adm Gen Gen Exp</t>
  </si>
  <si>
    <t>932 Adm Gen Maint Gen Plant</t>
  </si>
  <si>
    <t>Supporting</t>
  </si>
  <si>
    <t>Adjusted Operating Revenues</t>
  </si>
  <si>
    <t xml:space="preserve">  Operating Revenues </t>
  </si>
  <si>
    <t>Rate Base Component</t>
  </si>
  <si>
    <t>Component</t>
  </si>
  <si>
    <t>Meas &amp; Reg. Sta. Equip - City Gate</t>
  </si>
  <si>
    <t>Net Operating Income</t>
  </si>
  <si>
    <t>817 Storage Lines Expense</t>
  </si>
  <si>
    <t>818 Storage Compressor Station</t>
  </si>
  <si>
    <t>889 Dist Maint Meas/Reg Sta-Gen</t>
  </si>
  <si>
    <t>Witness:   Waller</t>
  </si>
  <si>
    <t>G-Structures &amp; Improvements</t>
  </si>
  <si>
    <t>G-Office Furniture &amp; Equip.</t>
  </si>
  <si>
    <t>Laboratory Equipment</t>
  </si>
  <si>
    <t>CKV-Land &amp; Land Rights</t>
  </si>
  <si>
    <t>CKV-Structures &amp; Improvements</t>
  </si>
  <si>
    <t>CKV-Communication Equipment</t>
  </si>
  <si>
    <t>CKV-Other Tangible Property</t>
  </si>
  <si>
    <t>CKV-Oth Tang Prop-PC Hardware</t>
  </si>
  <si>
    <t>CKV-Oth Tang Prop-PC Software</t>
  </si>
  <si>
    <t>depreciation expense due to the increased level of depreciable plant investment.</t>
  </si>
  <si>
    <t xml:space="preserve">Taxes Other - The purpose of this adjustment is to account for anticipated </t>
  </si>
  <si>
    <t>changes in Taxes, Other than Income Taxes</t>
  </si>
  <si>
    <t>Natural gas field line purchases</t>
  </si>
  <si>
    <t>Transmission and compression of gas by others</t>
  </si>
  <si>
    <t>Revenue-Transportation Distribution</t>
  </si>
  <si>
    <t xml:space="preserve">      Transmission and compression of gas by others</t>
  </si>
  <si>
    <t xml:space="preserve">      Natural gas field line purchases</t>
  </si>
  <si>
    <t xml:space="preserve">      Gas used for products extraction-Credit</t>
  </si>
  <si>
    <t>4893-4896</t>
  </si>
  <si>
    <t>**Note:  Provision for Income Taxes is not a component of Operating Income but is included on this schedule to develop the 12 month total for use elsewhere in the model</t>
  </si>
  <si>
    <t>Allocation Factors</t>
  </si>
  <si>
    <t>Forecast Period</t>
  </si>
  <si>
    <t>KY/ Md-Sts</t>
  </si>
  <si>
    <t>Charles K. Vaughan Center</t>
  </si>
  <si>
    <t>Greenville Avenue Data Center</t>
  </si>
  <si>
    <t>Forecast</t>
  </si>
  <si>
    <t>489 Revenue From Transporting Gas to Others</t>
  </si>
  <si>
    <t>Payroll Tax Projects</t>
  </si>
  <si>
    <t>Allocation from taxes other Gen Office</t>
  </si>
  <si>
    <t>Sales-Demonstrating and selling</t>
  </si>
  <si>
    <t>Distribution-Measuring and regulating station expenses-Genrl</t>
  </si>
  <si>
    <t>from O &amp; M for ratemaking and therefore the Revenue Requirements.  These amounts are shown properly classified on Schedule F-4, Advertising.</t>
  </si>
  <si>
    <t>ADVERTISING</t>
  </si>
  <si>
    <t>SS expense review.xlsx</t>
  </si>
  <si>
    <t>NOTE:  Country Club dues will be excluded from O &amp; M and therefore, excluded from the revenue requirements. A/C 870.</t>
  </si>
  <si>
    <t>Deferred  Credits</t>
  </si>
  <si>
    <t>(1) Unbilled Revenue is not included in the appropriate customer class.</t>
  </si>
  <si>
    <t>and 10 Most Recent Calendar Years</t>
  </si>
  <si>
    <r>
      <t xml:space="preserve">Capital structure:  </t>
    </r>
    <r>
      <rPr>
        <b/>
        <u/>
        <sz val="10.8"/>
        <rFont val="Helvetica-Narrow"/>
      </rPr>
      <t>(Total Company)</t>
    </r>
  </si>
  <si>
    <t>Account 923 - Outside Services Employed</t>
  </si>
  <si>
    <t>Source:</t>
  </si>
  <si>
    <t>Sources:</t>
  </si>
  <si>
    <t>Labor</t>
  </si>
  <si>
    <t xml:space="preserve">  PENSION &amp; RETIREMENT Income Plan</t>
  </si>
  <si>
    <t>% of</t>
  </si>
  <si>
    <t>forecast</t>
  </si>
  <si>
    <t>ANDERSON COUNTY CHAMBER OF COMMERCE</t>
  </si>
  <si>
    <t>BRECKINRIDGE COUNTY CHAMBER OF COMMERCE</t>
  </si>
  <si>
    <t>CADIZ TRIGG COUNTY ECONOMIC DEVELOP COMM</t>
  </si>
  <si>
    <t>CAVE CITY CHAMBER OF COMMERCE</t>
  </si>
  <si>
    <t>CRITTENDEN COUNTY ECONOMIC</t>
  </si>
  <si>
    <t>DANVILLE-BOYLE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</si>
  <si>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</si>
  <si>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</si>
  <si>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</si>
  <si>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</si>
  <si>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HART COUNTY CHAMBER OF COMMERCE</t>
  </si>
  <si>
    <t>HOPKINS COUNTY HOME BUILDERS ASSOCIATION</t>
  </si>
  <si>
    <t>KENTUCKY GAS ASSOCIATION</t>
  </si>
  <si>
    <t>LAKE BARKLEY CHAMBER OF COMMERCE</t>
  </si>
  <si>
    <t>LEADERSHIP KENTUCKY</t>
  </si>
  <si>
    <t>LINCOLN COUNTY CHAMBER OF COMMERCE</t>
  </si>
  <si>
    <t>MERCER COUNTY CHAMBER OF COMMERCE</t>
  </si>
  <si>
    <t>OHIO COUNTY CHAMBER OF COMMERCE</t>
  </si>
  <si>
    <t>OWENSBORO AREA MUSEUM OF SCIENCE AND HISTORY</t>
  </si>
  <si>
    <t>PADUCAH AREA CHAMBER OF COMMERCE</t>
  </si>
  <si>
    <t>SHELBY COUNTY CHAMBER OF COMMERCE</t>
  </si>
  <si>
    <t>SOCIETY FOR MARKETING PROFESSIONAL SERVICES</t>
  </si>
  <si>
    <t>TODD COUNTY COMMUNITY ALLIANCE</t>
  </si>
  <si>
    <t>Heat Help Assistance Programs</t>
  </si>
  <si>
    <t>Depreciation - D. Watson</t>
  </si>
  <si>
    <t>AR 15 general plant amortization</t>
  </si>
  <si>
    <t>Schedule F-9</t>
  </si>
  <si>
    <t>LEASE EXPENSE</t>
  </si>
  <si>
    <t>Division 009 - Direct Kentucky</t>
  </si>
  <si>
    <t>Monthly</t>
  </si>
  <si>
    <t>Period affected</t>
  </si>
  <si>
    <t>months</t>
  </si>
  <si>
    <t>Total Amount</t>
  </si>
  <si>
    <t>Adjustment to O &amp; M</t>
  </si>
  <si>
    <t>Total lease expense to be avoided</t>
  </si>
  <si>
    <t>Data Sources</t>
  </si>
  <si>
    <t>factor</t>
  </si>
  <si>
    <t>O&amp;M</t>
  </si>
  <si>
    <t>Base Year Revenues</t>
  </si>
  <si>
    <t>Base Year Gas Costs</t>
  </si>
  <si>
    <t>Base Year Gross Profit</t>
  </si>
  <si>
    <t>Test Year Revenues</t>
  </si>
  <si>
    <t>Test Year Gas costs</t>
  </si>
  <si>
    <t>Test Year Gross Profit</t>
  </si>
  <si>
    <t xml:space="preserve">SALE of Gas-Residential - the purpose of this Adjustment is to reflect the normalization of volumes </t>
  </si>
  <si>
    <t xml:space="preserve">SALE of Gas-Commercial - the purpose of this Adjustment is to reflect the normalization of volumes </t>
  </si>
  <si>
    <t>SALE of Gas-Industrial - the purpose of this Adjustment is to reflect known and measurable changes,</t>
  </si>
  <si>
    <t xml:space="preserve">SALE of Gas-Public Authority - The purpose of this Adjustment is to reflect the normalization of </t>
  </si>
  <si>
    <t>revenues for the base period.</t>
  </si>
  <si>
    <t xml:space="preserve">Revenue from Transportation  - the purpose of this Adjustment is to reflect known and measurable </t>
  </si>
  <si>
    <t xml:space="preserve">Forfeited discounts - the purpose of this adjustment is to reflect anticipated changes in the billed late </t>
  </si>
  <si>
    <t>payment fees from the base period to the test year.</t>
  </si>
  <si>
    <t xml:space="preserve">Benefits are projected as a fixed benefit load percentage of labor expense plus an amount for workers’ comp </t>
  </si>
  <si>
    <t>insurance.  This adjustment pertains to labor and benefits for Kentucky operations.</t>
  </si>
  <si>
    <t>Rent, Maintenance and Utilities - The purpose of this adjustment is to account for forecasted rent, maintenance</t>
  </si>
  <si>
    <t xml:space="preserve">and utilities.  Unlike other O&amp;M categories that are likely to increase with normal inflation, our building rents are  </t>
  </si>
  <si>
    <t xml:space="preserve">driven by leases already in place and can therefore be projected with a high level of accuracy.  The rent portion </t>
  </si>
  <si>
    <t>for Kentucky operations.</t>
  </si>
  <si>
    <t>of this O&amp;M category was projected by reviewing actual lease amounts.  This adjustment pertains to expenses</t>
  </si>
  <si>
    <t xml:space="preserve">Other O&amp;M - The purpose of this adjustment is to account for projected changes in O&amp;M expenses other than </t>
  </si>
  <si>
    <t xml:space="preserve">Bad Debt - The purpose of this adjustment is to account for anticipated bad debt costs due to uncollectible </t>
  </si>
  <si>
    <t xml:space="preserve">accounts.  The projection is made by calculating 0.50% of residential, commercial and public authority  </t>
  </si>
  <si>
    <t xml:space="preserve">Costs allocated from Shared Services and Kentucky-Mid States General Office - The purpose of this </t>
  </si>
  <si>
    <t xml:space="preserve">adjustment is to account for the forecasted amount of expenses that are allocated to Kentucky from the   </t>
  </si>
  <si>
    <t>Shared Services Unit and Division General Office.</t>
  </si>
  <si>
    <t>Schedule F-4</t>
  </si>
  <si>
    <t>F-9</t>
  </si>
  <si>
    <t>Leases</t>
  </si>
  <si>
    <t>931 A&amp;G-Rents</t>
  </si>
  <si>
    <t>920 Administrative and General Salaries</t>
  </si>
  <si>
    <t>COMMITMENT FEE</t>
  </si>
  <si>
    <t>G-2 Labor Support schedules.xls</t>
  </si>
  <si>
    <t>No. (s)</t>
  </si>
  <si>
    <t xml:space="preserve">Account No. </t>
  </si>
  <si>
    <t>Witness:  Waller</t>
  </si>
  <si>
    <t>NOTE:  This amount is included on ratemaking adjustments on Schedule C-2 and therefore excluded from the Revenue Requirements.</t>
  </si>
  <si>
    <t>A&amp;G-Administrative &amp; General Salaries</t>
  </si>
  <si>
    <t>Total Forecasted Period</t>
  </si>
  <si>
    <t>Unbilled Residential</t>
  </si>
  <si>
    <t>Unbilled Commercial</t>
  </si>
  <si>
    <t>Unbilled Public Authority</t>
  </si>
  <si>
    <t>Unbilled Residential Revenue</t>
  </si>
  <si>
    <t>Unbilled Comm Revenue</t>
  </si>
  <si>
    <t>Unbilled Public Authority Revenue</t>
  </si>
  <si>
    <t>Annualized Amortization of Debt Exp. &amp; Debt Dsct.</t>
  </si>
  <si>
    <t>Less Unamortized Debt Discount</t>
  </si>
  <si>
    <t>Total Plant  (Div 91)</t>
  </si>
  <si>
    <t>Total Plant  (Div 9)</t>
  </si>
  <si>
    <t>Total General Plant  (Div 2)</t>
  </si>
  <si>
    <t>Total General Plant  (Div 12)</t>
  </si>
  <si>
    <t>39103-Office Furn. - Copiers &amp; Type</t>
  </si>
  <si>
    <t>Total Depr Reserves  (Div 9)</t>
  </si>
  <si>
    <t>Total Depr Reserves  (Div 2)</t>
  </si>
  <si>
    <t>Total Depr Reserves  (Div 12)</t>
  </si>
  <si>
    <t>Total Depr Reserves  (Div 91)</t>
  </si>
  <si>
    <t>Ending</t>
  </si>
  <si>
    <t>12 Months</t>
  </si>
  <si>
    <t>Total Depreciation Expense  (Div 91)</t>
  </si>
  <si>
    <t>Total Depreciation Expense  (Div 9)</t>
  </si>
  <si>
    <t>Total Depreciation Expense  (Div 2)</t>
  </si>
  <si>
    <t>Total Depreciation Expense  (Div 12)</t>
  </si>
  <si>
    <t>Total General Plant Depr</t>
  </si>
  <si>
    <t>Total Distribution Plant Depr</t>
  </si>
  <si>
    <t>Total Intangible Plant Depr</t>
  </si>
  <si>
    <t>Total Storage Plant Depr</t>
  </si>
  <si>
    <t>Total Production Plant - (LPG)  Depr</t>
  </si>
  <si>
    <t>Total Natural Gas Production Plant Depr</t>
  </si>
  <si>
    <t>Total Intangible Plant Amort.</t>
  </si>
  <si>
    <t>index to source file</t>
  </si>
  <si>
    <t>Maintenance of other equipment</t>
  </si>
  <si>
    <t>Communication system expenses</t>
  </si>
  <si>
    <t>Transmission-Maintenance of compressor sta equipment</t>
  </si>
  <si>
    <t>Distribution-Compressor station labor and expenses</t>
  </si>
  <si>
    <t>Unbilled Industrial Revenue</t>
  </si>
  <si>
    <t>Witness: Waller</t>
  </si>
  <si>
    <t xml:space="preserve">Depreciation  Expense - The purpose of this adjustment is to reflect the change in </t>
  </si>
  <si>
    <t xml:space="preserve"> 2015 * * Composite Tax Rate Calculation:  6.00% + 35%(100% - 6.00%)  =  38.900%</t>
  </si>
  <si>
    <t>Production and gathering-Other</t>
  </si>
  <si>
    <t>Unbilled Industrial</t>
  </si>
  <si>
    <t>2013</t>
  </si>
  <si>
    <t>Total Transmission Plant</t>
  </si>
  <si>
    <t>Occupational Licenses</t>
  </si>
  <si>
    <t>Dot Transmission User Tax</t>
  </si>
  <si>
    <t>Total Allocated Amount from Div 91</t>
  </si>
  <si>
    <t>Total Allocated Amount from Div 12</t>
  </si>
  <si>
    <t>Total Allocated Amount from Div 2</t>
  </si>
  <si>
    <t>Rate of Return on Equity</t>
  </si>
  <si>
    <t>SSU</t>
  </si>
  <si>
    <t>Billing</t>
  </si>
  <si>
    <t>Adjs</t>
  </si>
  <si>
    <t>Schedule F-10</t>
  </si>
  <si>
    <t>Div</t>
  </si>
  <si>
    <t>Category</t>
  </si>
  <si>
    <t>Totals</t>
  </si>
  <si>
    <t>Variable Pay &amp; Management Incentive Plans</t>
  </si>
  <si>
    <t>VPP &amp; MIP</t>
  </si>
  <si>
    <t>Restricted Stock Plans</t>
  </si>
  <si>
    <t>RSU-LTIP - Time Lapse</t>
  </si>
  <si>
    <t>Total Allocated Restricted Stock Plans</t>
  </si>
  <si>
    <t>Total Allocated VPP &amp; MIP Plans</t>
  </si>
  <si>
    <t>Grand Total Allocated Expense</t>
  </si>
  <si>
    <t>INCENTIVE COMPENSATION EXPENSE</t>
  </si>
  <si>
    <t>F-6,F-8,F-9, F-10</t>
  </si>
  <si>
    <t>F-10</t>
  </si>
  <si>
    <t>RSU-LTIP - Performance Based</t>
  </si>
  <si>
    <t>CHARITABLE CONTRIBUTIONS</t>
  </si>
  <si>
    <t>TEST PERIOD</t>
  </si>
  <si>
    <t xml:space="preserve">Misc Service Revenues - the purpose of this adjustment is to reflect modest reduction in service charge </t>
  </si>
  <si>
    <t>837 Maintenance of other equipment</t>
  </si>
  <si>
    <t>852 Communication system expenses</t>
  </si>
  <si>
    <t>Total General Plant Reserves</t>
  </si>
  <si>
    <t>Total Distribution Plant Reserves</t>
  </si>
  <si>
    <t>Total Production Plant - LPG Reserves</t>
  </si>
  <si>
    <t>Total Storage Plant Reserves</t>
  </si>
  <si>
    <t>Total Natural Gas Production Plant Reserves</t>
  </si>
  <si>
    <t>Total Intangible Plant Reserves</t>
  </si>
  <si>
    <t>Commercial Revenue</t>
  </si>
  <si>
    <t>Industrial Revenue</t>
  </si>
  <si>
    <t>forecasted</t>
  </si>
  <si>
    <t>4060</t>
  </si>
  <si>
    <t>Field measuring and regulating station expenses</t>
  </si>
  <si>
    <t>39924-Oth Tang Prop - Gen.</t>
  </si>
  <si>
    <t>2012</t>
  </si>
  <si>
    <t>2014</t>
  </si>
  <si>
    <t>* Standby Pay included in regular hours and dollars</t>
  </si>
  <si>
    <t>855 Other Fuel &amp; Power Comp</t>
  </si>
  <si>
    <t>Other fuel and power for Compression</t>
  </si>
  <si>
    <t>Other fuel &amp; power for compression</t>
  </si>
  <si>
    <t>Other Fuel &amp; Power for Compression</t>
  </si>
  <si>
    <t>JOURNAL ENTRY</t>
  </si>
  <si>
    <t>CHRISTIAN COUNTY CHAMBER OF COMMERCE</t>
  </si>
  <si>
    <t>GREATER OWENSBORO ECONOMIC DEVELOPMENT CORP</t>
  </si>
  <si>
    <t>KENTUCKY OIL AND GAS ASSOCIATION</t>
  </si>
  <si>
    <t>KIWANIS CLUB</t>
  </si>
  <si>
    <t>LEADERSHIP SHELBY</t>
  </si>
  <si>
    <t>LOGAN ECONOMIC ALLIANCE FOR DEVELOPMENT</t>
  </si>
  <si>
    <t>MARION COUNTY CHAMBER OF COMMERCE</t>
  </si>
  <si>
    <t>Retirement Work in Progress Recon</t>
  </si>
  <si>
    <t>Transmission-Maintenance of me - Non-Inventory Supplies 8650-02005</t>
  </si>
  <si>
    <t>FR 16(8)(a)</t>
  </si>
  <si>
    <t>FR 16(8)(b)</t>
  </si>
  <si>
    <t>FR 16(8)(c)</t>
  </si>
  <si>
    <t>FR 16(8)(d)</t>
  </si>
  <si>
    <t>FR 16(8)(e)</t>
  </si>
  <si>
    <t>FR 16(8)(f)</t>
  </si>
  <si>
    <t>FR 16(8)(g)</t>
  </si>
  <si>
    <t>FR 16(8)(h)</t>
  </si>
  <si>
    <t>FR 16(8)(i)</t>
  </si>
  <si>
    <t>FR 16(8)(j)</t>
  </si>
  <si>
    <t>FR 16(8)(k)</t>
  </si>
  <si>
    <t>FR 16(8)(b)                 SCHEDULE B</t>
  </si>
  <si>
    <t>FR 16(8)(b)1</t>
  </si>
  <si>
    <t>FR 16(8)(b)2</t>
  </si>
  <si>
    <t>FR 16(8)(b)3</t>
  </si>
  <si>
    <t>FR 16(8)(b)3.1</t>
  </si>
  <si>
    <t>FR 16(8)(b)4</t>
  </si>
  <si>
    <t>FR 16(8)(b)4.1</t>
  </si>
  <si>
    <t>FR 16(8)(b)4.2</t>
  </si>
  <si>
    <t>FR 16(8)(b)5</t>
  </si>
  <si>
    <t>FR 16(8)(b)6</t>
  </si>
  <si>
    <t>FR 16(8)(c)                 SCHEDULE C</t>
  </si>
  <si>
    <t>FR 16(8)(c)1</t>
  </si>
  <si>
    <t>FR 16(8)(c)2</t>
  </si>
  <si>
    <t>FR 16(8)(c)2.1</t>
  </si>
  <si>
    <t>FR 16(8)(c)2.2</t>
  </si>
  <si>
    <t>FR 16(8)(c)2.3</t>
  </si>
  <si>
    <t>FR 16(8)(d)                 SCHEDULE D</t>
  </si>
  <si>
    <t>FR 16(8)(d)1</t>
  </si>
  <si>
    <t>FR 16(8)(d)2.1</t>
  </si>
  <si>
    <t>FR 16(8)(d)2.2</t>
  </si>
  <si>
    <t>FR 16(8)(d)2.3</t>
  </si>
  <si>
    <t>FR 16(8)(e)                 SCHEDULE E</t>
  </si>
  <si>
    <t>FR 16(8)(f)                 SCHEDULE F</t>
  </si>
  <si>
    <t>FR 16(8)(i)1</t>
  </si>
  <si>
    <t>FR 16(8)(i)2</t>
  </si>
  <si>
    <t>FR 16(8)(i)3</t>
  </si>
  <si>
    <t>Change in NOLC</t>
  </si>
  <si>
    <t>Regulated Asset Balance</t>
  </si>
  <si>
    <t>Amortization Expense</t>
  </si>
  <si>
    <t>Rate Case (2 year Amortization)</t>
  </si>
  <si>
    <t xml:space="preserve">Two (2) Year Amortization of Rate Case Expenses </t>
  </si>
  <si>
    <t>(13 Month Average)</t>
  </si>
  <si>
    <t>F.6</t>
  </si>
  <si>
    <t>Regulatory Assets</t>
  </si>
  <si>
    <t xml:space="preserve">Calculation of Change in NOLC </t>
  </si>
  <si>
    <t>(from 13-month average Base Period to 13-month average Forecasted Period</t>
  </si>
  <si>
    <t>13-month average Rate Base</t>
  </si>
  <si>
    <t>Forecasted Test Period</t>
  </si>
  <si>
    <t>B.1 F</t>
  </si>
  <si>
    <t>Required Operating Income</t>
  </si>
  <si>
    <t>A.1</t>
  </si>
  <si>
    <t>E.1</t>
  </si>
  <si>
    <t>Return on Equity Portion of Rate Base</t>
  </si>
  <si>
    <t>Return, grossed up for Income Tax</t>
  </si>
  <si>
    <t>B.1 F; B.1 B</t>
  </si>
  <si>
    <t>13-Month Average ADIT, Base Period</t>
  </si>
  <si>
    <t>13-Month Average ADIT, Forecasted Period, excl, Change in NOLC</t>
  </si>
  <si>
    <t>Total Required Change in Accumulated Deferred Income Taxes</t>
  </si>
  <si>
    <t>ADIT Reconciliation</t>
  </si>
  <si>
    <t>Change In ADIT, excluding forecasted change in NOLC</t>
  </si>
  <si>
    <t>Required Change in NOLC</t>
  </si>
  <si>
    <t>Forecasted Change in NOLC</t>
  </si>
  <si>
    <t>Forecasted 13-month Average ADIT in Rate Base</t>
  </si>
  <si>
    <t>Tax Expense on Return</t>
  </si>
  <si>
    <t>B.5 B</t>
  </si>
  <si>
    <r>
      <t>Total Required Change in Accumulated Deferred Income Taxes</t>
    </r>
    <r>
      <rPr>
        <b/>
        <vertAlign val="superscript"/>
        <sz val="8.4"/>
        <rFont val="Helvetica-Narrow"/>
      </rPr>
      <t>1</t>
    </r>
  </si>
  <si>
    <r>
      <rPr>
        <i/>
        <vertAlign val="superscript"/>
        <sz val="8.4"/>
        <rFont val="Helvetica-Narrow"/>
      </rPr>
      <t>1</t>
    </r>
    <r>
      <rPr>
        <i/>
        <sz val="12"/>
        <rFont val="Helvetica-Narrow"/>
      </rPr>
      <t>Because the Company is in a NOLC position, the total change in ADIT must equal the tax expenses included in revenue requirement</t>
    </r>
  </si>
  <si>
    <t xml:space="preserve">      (excluding forecasted change in NOLC)</t>
  </si>
  <si>
    <t>Line 71 - Line 67</t>
  </si>
  <si>
    <t>Line 37</t>
  </si>
  <si>
    <t>Line 39</t>
  </si>
  <si>
    <t>line 50 - line 52</t>
  </si>
  <si>
    <t>Line 56 x tax rate</t>
  </si>
  <si>
    <t>Line 54 / (1-tax rate)</t>
  </si>
  <si>
    <t>Line 37; B.5 B</t>
  </si>
  <si>
    <t>Income Statement Activity Mar15-Jul15.xlsx</t>
  </si>
  <si>
    <t>13 Month Average Capital Structure</t>
  </si>
  <si>
    <t>Capital Structure</t>
  </si>
  <si>
    <t>Schedule F 2 1.xls</t>
  </si>
  <si>
    <t>Schedule F-1.xlsx</t>
  </si>
  <si>
    <t>F 2 2 Owensboro Country Club Expenses.xls</t>
  </si>
  <si>
    <t>6.75% Debentures Unsecured due July 2028</t>
  </si>
  <si>
    <t>6.67% MTN A1 due Dec 2025</t>
  </si>
  <si>
    <t>5.95% Sr Note due 10/15/2034</t>
  </si>
  <si>
    <t>6.35% Sr Note due 6/15/2017</t>
  </si>
  <si>
    <t>Sr Note 5.50% Due 06/15/2041</t>
  </si>
  <si>
    <t>8.50% Sr Note due 3/15/2019</t>
  </si>
  <si>
    <t>4.15% Sr Note due 1/15/2043</t>
  </si>
  <si>
    <t>4.125% Sr Note due 10/15/2044</t>
  </si>
  <si>
    <t>Incentive Compensation Expense</t>
  </si>
  <si>
    <t>This adjustment pertains to expenses for Kentucky operations.</t>
  </si>
  <si>
    <t>Labor and Benefits - The purpose of this adjustment is to account for forecasted labor and benefits expense</t>
  </si>
  <si>
    <t>due primarily to adjustments to labor capitalization rate versus the base period.</t>
  </si>
  <si>
    <t xml:space="preserve">Other gas service revenues - the purpose of this adjustment is to reflect pro forma adjustments for </t>
  </si>
  <si>
    <t>individual customers and special contract reformations</t>
  </si>
  <si>
    <t>margins from the revenues projection.</t>
  </si>
  <si>
    <t xml:space="preserve">labor, benefits, rent, and bad debt.  </t>
  </si>
  <si>
    <t xml:space="preserve">*Test Period ending ADIT balance does not include forecasted change in NOLC.  Forecasted change in NOLC is calculated on B.5F on a 13 month average basis only and included in rate base and revenue requirement.  </t>
  </si>
  <si>
    <t>Gas Purchase Costs - The purpose of this Adjustment is to reflect the purchase quantities</t>
  </si>
  <si>
    <t>Forecasted Test Period: Twelve Months Ended March 31, 2019</t>
  </si>
  <si>
    <t>Base Period: Twelve Months Ended December 31, 2017</t>
  </si>
  <si>
    <t>as of March 31, 2019</t>
  </si>
  <si>
    <t>as of December 31, 2017</t>
  </si>
  <si>
    <t>Communication Equip.</t>
  </si>
  <si>
    <t>Servers Hardware</t>
  </si>
  <si>
    <t>Servers Software</t>
  </si>
  <si>
    <t>Office Furniture And</t>
  </si>
  <si>
    <t>Struct &amp; Improv AEAM</t>
  </si>
  <si>
    <t>Improv-Leased AEAM</t>
  </si>
  <si>
    <t>Off Furn &amp; Equip-AEAM</t>
  </si>
  <si>
    <t>Tools And Garage-AEAM</t>
  </si>
  <si>
    <t>Commun Equip AEAM</t>
  </si>
  <si>
    <t>Misc Equip - AEAM</t>
  </si>
  <si>
    <t>Servers-Hardware-AEAM</t>
  </si>
  <si>
    <t>Servers-Software-AEAM</t>
  </si>
  <si>
    <t>Network Hardware-AEAM</t>
  </si>
  <si>
    <t>Remittance Processing</t>
  </si>
  <si>
    <t>CKV-Office Furn &amp; Eq</t>
  </si>
  <si>
    <t>CKV-Transportation Eq</t>
  </si>
  <si>
    <t>CKV-Tools Shop Garage</t>
  </si>
  <si>
    <t>CKV-Laboratory Equip</t>
  </si>
  <si>
    <t>CKV-Misc Equipment</t>
  </si>
  <si>
    <t>CKV-Oth Tang Prop-App</t>
  </si>
  <si>
    <t>Oth Tang Prop - Gen.</t>
  </si>
  <si>
    <t>Pc Hardware-AEAM</t>
  </si>
  <si>
    <t>Application SW-AEAM</t>
  </si>
  <si>
    <t>ALGN-Servers-Hardware</t>
  </si>
  <si>
    <t>ALGN-Servers-Software</t>
  </si>
  <si>
    <t>ALGN-Application SW</t>
  </si>
  <si>
    <t>NOTE:  There are no OCC expenses for the Base Period</t>
  </si>
  <si>
    <t>38900-Land &amp; Land Rights</t>
  </si>
  <si>
    <t>39000-Structures &amp; Improvements</t>
  </si>
  <si>
    <t>39002-Structures - Brick</t>
  </si>
  <si>
    <t>39003-Improvements</t>
  </si>
  <si>
    <t>39004-Air Conditioning Equipment</t>
  </si>
  <si>
    <t>39009-Improv. to Leased Premises</t>
  </si>
  <si>
    <t>39100-Office Furniture &amp; Equipment</t>
  </si>
  <si>
    <t>39200-Transportation Equipment</t>
  </si>
  <si>
    <t>39202-WKG Trailers</t>
  </si>
  <si>
    <t>39400-Tools, Shop, &amp; Garage Equip.</t>
  </si>
  <si>
    <t>39603-Ditchers</t>
  </si>
  <si>
    <t>39604-Backhoes</t>
  </si>
  <si>
    <t>39605-Welders</t>
  </si>
  <si>
    <t>39700-Communication Equipment</t>
  </si>
  <si>
    <t>39705-Comm. Equip. - Telemetering</t>
  </si>
  <si>
    <t>39800-Miscellaneous Equipment</t>
  </si>
  <si>
    <t>39903-Oth Tang Prop - Network - H/W</t>
  </si>
  <si>
    <t>39906-Oth Tang Prop - PC Hardware</t>
  </si>
  <si>
    <t>39907-Oth Tang Prop - PC Software</t>
  </si>
  <si>
    <t>39908-Oth Tang Prop - Appl Software</t>
  </si>
  <si>
    <t>39001-Structures - Frame</t>
  </si>
  <si>
    <t>39200-Trans Equip- Group</t>
  </si>
  <si>
    <t>39600-Power Operated Equipment</t>
  </si>
  <si>
    <t>39900-Other Tangible Property</t>
  </si>
  <si>
    <t>39901-Oth Tang Prop - Servers - H/W</t>
  </si>
  <si>
    <t>39902-Oth Tang Prop - Servers - S/W</t>
  </si>
  <si>
    <t>39005-G-Structures &amp; Improvements</t>
  </si>
  <si>
    <t>39102-Remittance Processing Equipment</t>
  </si>
  <si>
    <t>39104-G-Office Furniture &amp; Equip.</t>
  </si>
  <si>
    <t>39300-Stores Equipment</t>
  </si>
  <si>
    <t>39500-Laboratory Equipment</t>
  </si>
  <si>
    <t>39900-Other Tangible Equipm</t>
  </si>
  <si>
    <t>39904-Oth Tang Prop - CPU</t>
  </si>
  <si>
    <t>39905-Oth Tang Prop - MF Hardware</t>
  </si>
  <si>
    <t>39909-Oth Tang Prop - Mainframe S/W</t>
  </si>
  <si>
    <t>38900-Land</t>
  </si>
  <si>
    <t>38910-CKV-Land &amp; Land Rights</t>
  </si>
  <si>
    <t>39010-CKV-Structures &amp; Improvements</t>
  </si>
  <si>
    <t>39710-CKV-Communication Equipment</t>
  </si>
  <si>
    <t>39910-CKV-Other Tangible Property</t>
  </si>
  <si>
    <t>39916-CKV-Oth Tang Prop-PC Hardware</t>
  </si>
  <si>
    <t>39917-CKV-Oth Tang Prop-PC Software</t>
  </si>
  <si>
    <t>RWIP</t>
  </si>
  <si>
    <t>AEAM</t>
  </si>
  <si>
    <t>ALGN</t>
  </si>
  <si>
    <t>KY Plant Data-2017 case.xlsx</t>
  </si>
  <si>
    <t>3% Sr Note dues 6/15/2027</t>
  </si>
  <si>
    <t>3% Sr Note due 6/15/2027</t>
  </si>
  <si>
    <t>$200MM 3YR Sr Credit Facility (Est. 9/22/16)</t>
  </si>
  <si>
    <t>Less Unamortized Debt Expenses</t>
  </si>
  <si>
    <t>2016</t>
  </si>
  <si>
    <t>2015</t>
  </si>
  <si>
    <t>There are no lease expenses avoided in this filing</t>
  </si>
  <si>
    <t>ADIT for KY 2017.xlsx</t>
  </si>
  <si>
    <t>ADIT for KY-2017.xlsx</t>
  </si>
  <si>
    <t xml:space="preserve">   (1)  Interest Rate is the actual average rate for 12 Months Ended June 30, 2017</t>
  </si>
  <si>
    <t>COMMITMENT FEE &amp; BANK ADMIN</t>
  </si>
  <si>
    <t>Donations</t>
  </si>
  <si>
    <t>BOWLING GREEN CHAMBER OF COMMERCE</t>
  </si>
  <si>
    <t>CADIZ ROTARY CLUB</t>
  </si>
  <si>
    <t>CAMPBELLSVILLE - TAYLOR COUNTY CHAMBER OF COMMERCE</t>
  </si>
  <si>
    <t>FRANKLIN-SIMPSON CHAMBER OF COMMERCE</t>
  </si>
  <si>
    <t>GARRARD COUNTY CHAMBER</t>
  </si>
  <si>
    <t>GREATER OWENSBORO REALTOR ASSOCIATION</t>
  </si>
  <si>
    <t>GREENSBURG - GREEN CO. CHAMBER</t>
  </si>
  <si>
    <t>HOME BUILDERS ASSOCIATION OF OWENSBORO</t>
  </si>
  <si>
    <t>HOME BUILDERS ASSOCIATION OF THE BLUEGRASS</t>
  </si>
  <si>
    <t>HOME BUILDERS ASSOCIATION OF WESTERN KY</t>
  </si>
  <si>
    <t>HOPKINS CO. REGIONAL CHAMBER OF COMMERCE</t>
  </si>
  <si>
    <t>HOPKINSVILLE CHRISTIAN AND TODD COUNTY ASSN OF REALTORS</t>
  </si>
  <si>
    <t>HOPKINSVILLE HOME BUILDERS ASSOCIATION</t>
  </si>
  <si>
    <t>KENTUCKY ASSOCIATION FOR ECONOMIC DEVELOPMENT</t>
  </si>
  <si>
    <t>KENTUCKY ASSOCIATION OF MAPPING PROFESSIONALS</t>
  </si>
  <si>
    <t>KENTUCKY CHAMBER OF COMMERCE</t>
  </si>
  <si>
    <t>KENTUCKY COUNTY JUDGE EXECUTIVE ASSOCIATION</t>
  </si>
  <si>
    <t>LOGAN COUNTY CHAMBER OF COMMERCE</t>
  </si>
  <si>
    <t>LOGAN COUNTY HOME BUILDERS</t>
  </si>
  <si>
    <t>MARSHALL COUNTY CHAMBER OF COMMERCE</t>
  </si>
  <si>
    <t>MAYFIELD GRAVES COUNTY CHAMBER OF COMMERCE</t>
  </si>
  <si>
    <t>NACE INTERNATIONAL</t>
  </si>
  <si>
    <t>OWENSBORO ASSN OF PLUMBING HEATING</t>
  </si>
  <si>
    <t>PAXTON MEDIA GROUP</t>
  </si>
  <si>
    <t>PRINCETON / CALDWELL COUNTY CHAMBER OF COMMERCE</t>
  </si>
  <si>
    <t>PRINCETON CHAMBER OF COMMERCE</t>
  </si>
  <si>
    <t>SOUTH WESTERN KENTUCKY ECONOMIC DEVELOPMENT COUNCIL</t>
  </si>
  <si>
    <t>SOUTHERN GAS ASSOCIATION</t>
  </si>
  <si>
    <t>SPRINGFIELD WASHINGTON COUNTY CHAMBER OF COMMERCE</t>
  </si>
  <si>
    <t>TRIGG CO. CHAMBER OF COMMERCE</t>
  </si>
  <si>
    <t>URBAN &amp; REGIONAL INFORMATION SYSTEMS ASSOCIATION</t>
  </si>
  <si>
    <t>OM for KY-2017.xlsx</t>
  </si>
  <si>
    <t>div 9 labor analysis-2017.xlsx</t>
  </si>
  <si>
    <t xml:space="preserve">  SERP</t>
  </si>
  <si>
    <t>*Wtd Avg is 9 mos of FY17 and 3 months of FY16</t>
  </si>
  <si>
    <t xml:space="preserve">  FICA/FUTA/SUTA</t>
  </si>
  <si>
    <t>2020</t>
  </si>
  <si>
    <t>2021</t>
  </si>
  <si>
    <t>misc jurirep BS accts-2017.xlsx</t>
  </si>
  <si>
    <t>C2.2 Jurirep Acct 9220.xlsx</t>
  </si>
  <si>
    <t>Gas Cost by FERC-2017.xlsx</t>
  </si>
  <si>
    <t>KY Revenue &amp; Billing Unit Forecast 2017 Case.xlsx</t>
  </si>
  <si>
    <t>F.6 Schedule Rate Case Expenses.xls</t>
  </si>
  <si>
    <t>due to warm weather in base period, and changes in gas costs between the periods</t>
  </si>
  <si>
    <t>changes in gas costs between the periods.</t>
  </si>
  <si>
    <t>volumes due to warm weather in base period, and changes in gas costs between the periods</t>
  </si>
  <si>
    <t>OM for KY - 2017.xlsx</t>
  </si>
  <si>
    <t>misc Finrep retrievals-2017.xlsx</t>
  </si>
  <si>
    <t>G.1 Benefits Rates Calc as of 10-18-16.xlsx</t>
  </si>
  <si>
    <t>G.3 -- Executive Compensation.xlsx</t>
  </si>
  <si>
    <t>C.2.2 Jurirep 9220.xlsx</t>
  </si>
  <si>
    <t xml:space="preserve">   (1)  Interest Rate is the actual average rate for 12 Months Ended June 30, 2017. </t>
  </si>
  <si>
    <t>Thirteen Month Average as of March 31, 2019</t>
  </si>
  <si>
    <t>Includes 7 Officers</t>
  </si>
  <si>
    <t>CEO</t>
  </si>
  <si>
    <t>SVP, Utility Operations (created in January 2017)</t>
  </si>
  <si>
    <t>SVP, General Counsel (vacant from Mar17-Jul17, filled in Aug-17)</t>
  </si>
  <si>
    <t>President and COO</t>
  </si>
  <si>
    <t xml:space="preserve">SVP, CFO </t>
  </si>
  <si>
    <t xml:space="preserve">SVP, Safety and Enterprise </t>
  </si>
  <si>
    <t>SVP, Human Resources (created in January 2017)</t>
  </si>
  <si>
    <t>Witness: Waller, Martin</t>
  </si>
  <si>
    <t>Witness:  Waller, Martin</t>
  </si>
  <si>
    <t>Witness: Gillham, Martin</t>
  </si>
  <si>
    <t>Witness:  Christian</t>
  </si>
  <si>
    <t>Kentucky Jurisdiction Case No. 2017-00349</t>
  </si>
  <si>
    <t>Witness: Gillham, Martin, and Waller</t>
  </si>
  <si>
    <t>Witness: Gillham, Waller, Martin</t>
  </si>
  <si>
    <t>for sales service.  The Base Period includes Unbilled Gas Costs that will zero out by the end</t>
  </si>
  <si>
    <t xml:space="preserve">of the base period when replaced by actuals.  Gas costs in the Base Period were low due to </t>
  </si>
  <si>
    <t>lower usage associated with warmer than normal temperatures</t>
  </si>
  <si>
    <t xml:space="preserve">changes in demand for existing industries and account for migration to/from transportation service </t>
  </si>
  <si>
    <t>increases and reductions, shifts from base period to test year and</t>
  </si>
  <si>
    <t>0</t>
  </si>
  <si>
    <t>FY16</t>
  </si>
  <si>
    <t>FY17</t>
  </si>
  <si>
    <t>Wtd Avg</t>
  </si>
  <si>
    <t>A2</t>
  </si>
  <si>
    <t>Baa1</t>
  </si>
  <si>
    <t>Baa2</t>
  </si>
  <si>
    <t>Baa3</t>
  </si>
  <si>
    <t>A-</t>
  </si>
  <si>
    <t>BBB+</t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</si>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</sst>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#,##0.0_);\(#,##0.0\)"/>
    <numFmt numFmtId="172" formatCode="0.000_)"/>
    <numFmt numFmtId="173" formatCode="0.0%"/>
    <numFmt numFmtId="174" formatCode="0.000000%"/>
    <numFmt numFmtId="175" formatCode="#,##0.000_);\(#,##0.000\)"/>
    <numFmt numFmtId="176" formatCode="#,##0.000000_);\(#,##0.000000\)"/>
    <numFmt numFmtId="177" formatCode="_(* #,##0.0000_);_(* \(#,##0.0000\);_(* &quot;-&quot;??_);_(@_)"/>
    <numFmt numFmtId="178" formatCode="_(* #,##0.00000_);_(* \(#,##0.00000\);_(* &quot;-&quot;??_);_(@_)"/>
    <numFmt numFmtId="179" formatCode="0.00000%"/>
    <numFmt numFmtId="180" formatCode="0_);\(0\)"/>
    <numFmt numFmtId="181" formatCode="&quot;$&quot;#,##0"/>
    <numFmt numFmtId="182" formatCode="_(&quot;$&quot;* #,##0_);_(&quot;$&quot;* \(#,##0\);_(&quot;$&quot;* &quot;-&quot;??_);_(@_)"/>
    <numFmt numFmtId="183" formatCode="0000"/>
    <numFmt numFmtId="184" formatCode="000.0"/>
    <numFmt numFmtId="185" formatCode="_(* #,##0_);_(* \(#,##0\);_(* &quot;-&quot;??_);_(@_)"/>
    <numFmt numFmtId="186" formatCode="[$-409]mmm\-yy;@"/>
    <numFmt numFmtId="187" formatCode="_(* #,##0.0_);_(* \(#,##0.0\);_(* &quot;-&quot;??_);_(@_)"/>
    <numFmt numFmtId="188" formatCode="0.0000000%"/>
    <numFmt numFmtId="189" formatCode="mm/dd/yy;@"/>
    <numFmt numFmtId="190" formatCode="#,##0.0000_);\(#,##0.0000\)"/>
  </numFmts>
  <fonts count="70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etica-Narrow"/>
      <family val="2"/>
    </font>
    <font>
      <b/>
      <sz val="12"/>
      <name val="Helvetica-Narrow"/>
      <family val="2"/>
    </font>
    <font>
      <u/>
      <sz val="12"/>
      <name val="Helvetica-Narrow"/>
      <family val="2"/>
    </font>
    <font>
      <u val="double"/>
      <sz val="12"/>
      <name val="Helvetica-Narrow"/>
      <family val="2"/>
    </font>
    <font>
      <sz val="12"/>
      <color indexed="12"/>
      <name val="Helvetica-Narrow"/>
      <family val="2"/>
    </font>
    <font>
      <sz val="12"/>
      <name val="Helvetica-Narrow"/>
      <family val="2"/>
    </font>
    <font>
      <sz val="12"/>
      <color indexed="10"/>
      <name val="Helvetica-Narrow"/>
      <family val="2"/>
    </font>
    <font>
      <sz val="12"/>
      <color indexed="10"/>
      <name val="Helvetica-Narrow"/>
    </font>
    <font>
      <sz val="12"/>
      <color indexed="12"/>
      <name val="Helvetica-Narrow"/>
    </font>
    <font>
      <sz val="12"/>
      <name val="Helvetica-Narrow"/>
    </font>
    <font>
      <u/>
      <sz val="12"/>
      <name val="Helvetica-Narrow"/>
    </font>
    <font>
      <b/>
      <sz val="12"/>
      <name val="Helvetica-Narrow"/>
    </font>
    <font>
      <u val="double"/>
      <sz val="12"/>
      <name val="Helvetica-Narrow"/>
    </font>
    <font>
      <b/>
      <sz val="12"/>
      <color indexed="14"/>
      <name val="Helvetica-Narrow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Helvetica-Narrow"/>
      <family val="2"/>
    </font>
    <font>
      <sz val="8"/>
      <name val="Helvetica-Narrow"/>
      <family val="2"/>
    </font>
    <font>
      <sz val="12"/>
      <color indexed="20"/>
      <name val="Helvetica-Narrow"/>
      <family val="2"/>
    </font>
    <font>
      <sz val="12"/>
      <color indexed="20"/>
      <name val="Helvetica-Narrow"/>
    </font>
    <font>
      <sz val="10"/>
      <name val="Arial"/>
      <family val="2"/>
    </font>
    <font>
      <u/>
      <sz val="9"/>
      <color indexed="12"/>
      <name val="Helvetica-Narrow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Helvetica-Narrow"/>
      <family val="2"/>
    </font>
    <font>
      <b/>
      <u/>
      <sz val="12"/>
      <name val="Helvetica-Narrow"/>
    </font>
    <font>
      <sz val="12"/>
      <name val="Helvetica-Narrow"/>
      <family val="2"/>
    </font>
    <font>
      <sz val="9"/>
      <name val="Helvetica-Narrow"/>
      <family val="2"/>
    </font>
    <font>
      <sz val="12"/>
      <name val="Helvetica Narrow"/>
      <family val="2"/>
    </font>
    <font>
      <b/>
      <sz val="9"/>
      <name val="Helvetica-Narrow"/>
      <family val="2"/>
    </font>
    <font>
      <sz val="12"/>
      <name val="Helvetica-Narrow"/>
      <family val="2"/>
    </font>
    <font>
      <u/>
      <sz val="12"/>
      <color indexed="12"/>
      <name val="Helvetica-Narrow"/>
      <family val="2"/>
    </font>
    <font>
      <sz val="12"/>
      <color rgb="FF0000FF"/>
      <name val="Helvetica-Narrow"/>
      <family val="2"/>
    </font>
    <font>
      <b/>
      <sz val="12"/>
      <color rgb="FF0000FF"/>
      <name val="Helvetica-Narrow"/>
    </font>
    <font>
      <sz val="12"/>
      <color rgb="FF0000FF"/>
      <name val="Helvetica-Narrow"/>
    </font>
    <font>
      <sz val="12"/>
      <color rgb="FFFF0000"/>
      <name val="Helvetica-Narrow"/>
      <family val="2"/>
    </font>
    <font>
      <b/>
      <sz val="12"/>
      <color rgb="FF00B050"/>
      <name val="Helvetica-Narrow"/>
    </font>
    <font>
      <sz val="10"/>
      <color rgb="FF0000FF"/>
      <name val="Helvetica-Narrow"/>
      <family val="2"/>
    </font>
    <font>
      <sz val="12"/>
      <color rgb="FF0000FF"/>
      <name val="Times New Roman"/>
      <family val="1"/>
    </font>
    <font>
      <b/>
      <u/>
      <sz val="10.8"/>
      <name val="Helvetica-Narrow"/>
    </font>
    <font>
      <u/>
      <sz val="12"/>
      <name val="Helvetica Narrow"/>
      <family val="2"/>
    </font>
    <font>
      <sz val="12"/>
      <color theme="0" tint="-0.34998626667073579"/>
      <name val="Helvetica-Narrow"/>
      <family val="2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b/>
      <sz val="12"/>
      <color rgb="FFFF0000"/>
      <name val="Helvetica-Narrow"/>
    </font>
    <font>
      <b/>
      <sz val="10"/>
      <color rgb="FFFF0000"/>
      <name val="Arial"/>
      <family val="2"/>
    </font>
    <font>
      <sz val="12"/>
      <color theme="0" tint="-0.499984740745262"/>
      <name val="Helvetica-Narrow"/>
      <family val="2"/>
    </font>
    <font>
      <sz val="10"/>
      <color theme="0" tint="-0.499984740745262"/>
      <name val="Helvetica-Narrow"/>
      <family val="2"/>
    </font>
    <font>
      <u/>
      <sz val="12"/>
      <color rgb="FF0000FF"/>
      <name val="Helvetica-Narrow"/>
      <family val="2"/>
    </font>
    <font>
      <sz val="10"/>
      <name val="Arial"/>
      <family val="2"/>
    </font>
    <font>
      <sz val="12"/>
      <color rgb="FFFF0000"/>
      <name val="Helvetica-Narrow"/>
    </font>
    <font>
      <sz val="10.8"/>
      <color rgb="FFFF0000"/>
      <name val="Helvetica-Narrow"/>
    </font>
    <font>
      <sz val="12"/>
      <color theme="0"/>
      <name val="Helvetica-Narrow"/>
      <family val="2"/>
    </font>
    <font>
      <b/>
      <vertAlign val="superscript"/>
      <sz val="8.4"/>
      <name val="Helvetica-Narrow"/>
    </font>
    <font>
      <i/>
      <sz val="12"/>
      <name val="Helvetica-Narrow"/>
    </font>
    <font>
      <i/>
      <vertAlign val="superscript"/>
      <sz val="8.4"/>
      <name val="Helvetica-Narrow"/>
    </font>
    <font>
      <i/>
      <sz val="8"/>
      <name val="Helvetica-Narrow"/>
    </font>
    <font>
      <sz val="12"/>
      <name val="Arial MT"/>
    </font>
    <font>
      <sz val="10"/>
      <name val="Helvetica-Narrow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2">
    <xf numFmtId="37" fontId="0" fillId="0" borderId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29" fillId="0" borderId="0"/>
    <xf numFmtId="37" fontId="3" fillId="0" borderId="0" applyProtection="0"/>
    <xf numFmtId="0" fontId="25" fillId="0" borderId="0"/>
    <xf numFmtId="0" fontId="25" fillId="0" borderId="0"/>
    <xf numFmtId="40" fontId="30" fillId="2" borderId="0">
      <alignment horizontal="right"/>
    </xf>
    <xf numFmtId="0" fontId="31" fillId="3" borderId="0">
      <alignment horizontal="center"/>
    </xf>
    <xf numFmtId="0" fontId="32" fillId="2" borderId="1"/>
    <xf numFmtId="0" fontId="33" fillId="0" borderId="0" applyBorder="0">
      <alignment horizontal="centerContinuous"/>
    </xf>
    <xf numFmtId="0" fontId="34" fillId="0" borderId="0" applyBorder="0">
      <alignment horizontal="centerContinuous"/>
    </xf>
    <xf numFmtId="9" fontId="2" fillId="0" borderId="0" applyFont="0" applyFill="0" applyBorder="0" applyAlignment="0" applyProtection="0"/>
    <xf numFmtId="0" fontId="60" fillId="0" borderId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  <xf numFmtId="4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7" fontId="3" fillId="0" borderId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9" fontId="2" fillId="0" borderId="0" applyFont="0" applyFill="0" applyBorder="0" applyAlignment="0" applyProtection="0"/>
  </cellStyleXfs>
  <cellXfs count="1189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2" xfId="0" applyFont="1" applyBorder="1" applyAlignment="1" applyProtection="1">
      <alignment horizontal="left"/>
    </xf>
    <xf numFmtId="37" fontId="3" fillId="0" borderId="2" xfId="0" applyFont="1" applyBorder="1"/>
    <xf numFmtId="165" fontId="3" fillId="0" borderId="2" xfId="0" applyNumberFormat="1" applyFont="1" applyBorder="1" applyProtection="1"/>
    <xf numFmtId="165" fontId="3" fillId="0" borderId="0" xfId="0" applyNumberFormat="1" applyFont="1" applyProtection="1"/>
    <xf numFmtId="37" fontId="3" fillId="0" borderId="2" xfId="0" applyFont="1" applyBorder="1" applyAlignment="1" applyProtection="1">
      <alignment horizontal="center"/>
    </xf>
    <xf numFmtId="37" fontId="3" fillId="0" borderId="0" xfId="0" applyNumberFormat="1" applyFont="1" applyProtection="1"/>
    <xf numFmtId="10" fontId="3" fillId="0" borderId="0" xfId="0" applyNumberFormat="1" applyFont="1" applyProtection="1"/>
    <xf numFmtId="37" fontId="4" fillId="0" borderId="0" xfId="0" applyFont="1"/>
    <xf numFmtId="37" fontId="3" fillId="0" borderId="3" xfId="0" applyFont="1" applyBorder="1"/>
    <xf numFmtId="168" fontId="3" fillId="0" borderId="0" xfId="0" applyNumberFormat="1" applyFont="1" applyProtection="1"/>
    <xf numFmtId="37" fontId="5" fillId="0" borderId="0" xfId="0" applyFont="1"/>
    <xf numFmtId="37" fontId="5" fillId="0" borderId="0" xfId="0" applyFont="1" applyAlignment="1" applyProtection="1">
      <alignment horizontal="left"/>
    </xf>
    <xf numFmtId="37" fontId="3" fillId="0" borderId="2" xfId="0" applyNumberFormat="1" applyFont="1" applyBorder="1" applyProtection="1"/>
    <xf numFmtId="10" fontId="6" fillId="0" borderId="0" xfId="0" applyNumberFormat="1" applyFont="1" applyProtection="1"/>
    <xf numFmtId="37" fontId="3" fillId="0" borderId="0" xfId="0" applyNumberFormat="1" applyFont="1" applyAlignment="1" applyProtection="1">
      <alignment horizontal="right"/>
    </xf>
    <xf numFmtId="173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10" fontId="3" fillId="0" borderId="2" xfId="0" applyNumberFormat="1" applyFont="1" applyBorder="1" applyProtection="1"/>
    <xf numFmtId="174" fontId="3" fillId="0" borderId="0" xfId="0" applyNumberFormat="1" applyFont="1" applyProtection="1"/>
    <xf numFmtId="174" fontId="3" fillId="0" borderId="2" xfId="0" applyNumberFormat="1" applyFont="1" applyBorder="1" applyProtection="1"/>
    <xf numFmtId="37" fontId="7" fillId="0" borderId="0" xfId="0" applyFont="1" applyProtection="1">
      <protection locked="0"/>
    </xf>
    <xf numFmtId="37" fontId="4" fillId="0" borderId="0" xfId="0" applyFont="1" applyAlignment="1" applyProtection="1">
      <alignment horizontal="left"/>
    </xf>
    <xf numFmtId="5" fontId="3" fillId="0" borderId="0" xfId="0" applyNumberFormat="1" applyFont="1" applyProtection="1"/>
    <xf numFmtId="171" fontId="3" fillId="0" borderId="0" xfId="0" applyNumberFormat="1" applyFont="1" applyProtection="1"/>
    <xf numFmtId="37" fontId="3" fillId="0" borderId="0" xfId="0" applyFont="1" applyAlignment="1">
      <alignment horizontal="centerContinuous"/>
    </xf>
    <xf numFmtId="37" fontId="3" fillId="0" borderId="0" xfId="0" applyFont="1" applyAlignment="1" applyProtection="1">
      <alignment horizontal="centerContinuous"/>
    </xf>
    <xf numFmtId="37" fontId="3" fillId="0" borderId="5" xfId="0" applyFont="1" applyBorder="1" applyAlignment="1" applyProtection="1">
      <alignment horizontal="center"/>
    </xf>
    <xf numFmtId="37" fontId="3" fillId="0" borderId="5" xfId="0" applyFont="1" applyBorder="1"/>
    <xf numFmtId="37" fontId="3" fillId="0" borderId="0" xfId="0" applyFont="1" applyBorder="1" applyAlignment="1" applyProtection="1">
      <alignment horizontal="center"/>
    </xf>
    <xf numFmtId="37" fontId="3" fillId="0" borderId="0" xfId="0" applyFont="1" applyBorder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2" xfId="0" applyFont="1" applyBorder="1" applyAlignment="1"/>
    <xf numFmtId="37" fontId="3" fillId="0" borderId="2" xfId="0" applyFont="1" applyBorder="1" applyAlignment="1" applyProtection="1"/>
    <xf numFmtId="37" fontId="8" fillId="0" borderId="0" xfId="0" applyFont="1"/>
    <xf numFmtId="37" fontId="5" fillId="0" borderId="0" xfId="0" applyFont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176" fontId="3" fillId="0" borderId="0" xfId="0" applyNumberFormat="1" applyFont="1" applyProtection="1"/>
    <xf numFmtId="10" fontId="3" fillId="0" borderId="0" xfId="13" applyNumberFormat="1" applyFont="1" applyProtection="1"/>
    <xf numFmtId="10" fontId="3" fillId="0" borderId="2" xfId="13" applyNumberFormat="1" applyFont="1" applyBorder="1" applyProtection="1"/>
    <xf numFmtId="10" fontId="3" fillId="0" borderId="0" xfId="13" applyNumberFormat="1" applyFont="1"/>
    <xf numFmtId="10" fontId="6" fillId="0" borderId="0" xfId="13" applyNumberFormat="1" applyFont="1" applyProtection="1"/>
    <xf numFmtId="37" fontId="3" fillId="0" borderId="0" xfId="0" applyFont="1" applyBorder="1" applyAlignment="1" applyProtection="1">
      <alignment horizontal="left"/>
    </xf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5" xfId="0" applyFont="1" applyBorder="1" applyAlignment="1" applyProtection="1">
      <alignment horizontal="left"/>
    </xf>
    <xf numFmtId="37" fontId="0" fillId="0" borderId="5" xfId="0" applyBorder="1"/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0" fontId="0" fillId="0" borderId="0" xfId="13" applyNumberFormat="1" applyFont="1"/>
    <xf numFmtId="37" fontId="3" fillId="0" borderId="5" xfId="0" applyFont="1" applyBorder="1" applyAlignment="1">
      <alignment horizontal="center"/>
    </xf>
    <xf numFmtId="37" fontId="0" fillId="0" borderId="0" xfId="0" applyBorder="1"/>
    <xf numFmtId="37" fontId="0" fillId="0" borderId="5" xfId="0" applyBorder="1" applyAlignment="1">
      <alignment horizontal="center"/>
    </xf>
    <xf numFmtId="37" fontId="3" fillId="0" borderId="7" xfId="0" applyFont="1" applyBorder="1"/>
    <xf numFmtId="37" fontId="8" fillId="0" borderId="5" xfId="0" applyFont="1" applyBorder="1"/>
    <xf numFmtId="37" fontId="11" fillId="0" borderId="0" xfId="0" applyNumberFormat="1" applyFont="1" applyProtection="1"/>
    <xf numFmtId="37" fontId="12" fillId="0" borderId="0" xfId="0" applyFont="1"/>
    <xf numFmtId="37" fontId="12" fillId="0" borderId="0" xfId="0" applyNumberFormat="1" applyFont="1" applyProtection="1"/>
    <xf numFmtId="37" fontId="0" fillId="0" borderId="0" xfId="0" applyBorder="1" applyAlignment="1">
      <alignment horizontal="center"/>
    </xf>
    <xf numFmtId="37" fontId="12" fillId="0" borderId="0" xfId="0" applyFont="1" applyAlignment="1" applyProtection="1">
      <alignment horizontal="centerContinuous"/>
      <protection locked="0"/>
    </xf>
    <xf numFmtId="37" fontId="12" fillId="0" borderId="0" xfId="0" applyFont="1" applyAlignment="1" applyProtection="1">
      <alignment horizontal="left"/>
    </xf>
    <xf numFmtId="10" fontId="11" fillId="0" borderId="0" xfId="0" applyNumberFormat="1" applyFont="1" applyProtection="1"/>
    <xf numFmtId="9" fontId="11" fillId="0" borderId="0" xfId="13" applyFont="1"/>
    <xf numFmtId="174" fontId="12" fillId="0" borderId="2" xfId="0" applyNumberFormat="1" applyFont="1" applyBorder="1" applyProtection="1"/>
    <xf numFmtId="10" fontId="12" fillId="0" borderId="0" xfId="13" applyNumberFormat="1" applyFont="1" applyAlignment="1" applyProtection="1">
      <alignment horizontal="center"/>
    </xf>
    <xf numFmtId="37" fontId="11" fillId="0" borderId="0" xfId="0" applyNumberFormat="1" applyFont="1" applyFill="1" applyProtection="1"/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Fill="1" applyProtection="1"/>
    <xf numFmtId="37" fontId="3" fillId="0" borderId="0" xfId="0" applyFont="1" applyFill="1" applyBorder="1"/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Protection="1"/>
    <xf numFmtId="37" fontId="8" fillId="0" borderId="0" xfId="0" applyFont="1" applyAlignment="1">
      <alignment horizontal="center"/>
    </xf>
    <xf numFmtId="39" fontId="0" fillId="0" borderId="0" xfId="0" applyNumberFormat="1"/>
    <xf numFmtId="37" fontId="0" fillId="0" borderId="0" xfId="0" applyFill="1"/>
    <xf numFmtId="37" fontId="3" fillId="0" borderId="0" xfId="0" applyFont="1" applyFill="1"/>
    <xf numFmtId="37" fontId="3" fillId="0" borderId="5" xfId="0" applyFont="1" applyFill="1" applyBorder="1"/>
    <xf numFmtId="37" fontId="3" fillId="0" borderId="5" xfId="0" applyNumberFormat="1" applyFont="1" applyFill="1" applyBorder="1" applyProtection="1"/>
    <xf numFmtId="37" fontId="12" fillId="0" borderId="0" xfId="0" applyNumberFormat="1" applyFont="1" applyBorder="1" applyProtection="1"/>
    <xf numFmtId="37" fontId="3" fillId="0" borderId="2" xfId="0" applyNumberFormat="1" applyFont="1" applyFill="1" applyBorder="1" applyProtection="1"/>
    <xf numFmtId="37" fontId="12" fillId="0" borderId="0" xfId="0" applyNumberFormat="1" applyFont="1" applyFill="1" applyProtection="1"/>
    <xf numFmtId="37" fontId="12" fillId="0" borderId="0" xfId="0" applyNumberFormat="1" applyFont="1" applyFill="1" applyBorder="1" applyProtection="1"/>
    <xf numFmtId="37" fontId="3" fillId="0" borderId="0" xfId="0" applyFont="1" applyFill="1" applyAlignment="1" applyProtection="1">
      <alignment horizontal="left"/>
    </xf>
    <xf numFmtId="37" fontId="0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</xf>
    <xf numFmtId="37" fontId="0" fillId="0" borderId="0" xfId="0" applyFont="1"/>
    <xf numFmtId="37" fontId="0" fillId="0" borderId="0" xfId="0" applyFont="1" applyBorder="1"/>
    <xf numFmtId="37" fontId="12" fillId="0" borderId="0" xfId="0" applyFont="1" applyBorder="1"/>
    <xf numFmtId="37" fontId="0" fillId="0" borderId="5" xfId="0" applyFont="1" applyBorder="1"/>
    <xf numFmtId="37" fontId="12" fillId="0" borderId="0" xfId="0" applyFont="1" applyFill="1"/>
    <xf numFmtId="37" fontId="0" fillId="0" borderId="2" xfId="0" applyFont="1" applyBorder="1"/>
    <xf numFmtId="37" fontId="0" fillId="0" borderId="0" xfId="0" applyFont="1" applyAlignment="1">
      <alignment horizontal="centerContinuous"/>
    </xf>
    <xf numFmtId="37" fontId="0" fillId="0" borderId="0" xfId="0" applyFont="1" applyAlignment="1">
      <alignment horizontal="center"/>
    </xf>
    <xf numFmtId="37" fontId="0" fillId="0" borderId="0" xfId="0" applyFont="1" applyAlignment="1" applyProtection="1">
      <alignment horizontal="center"/>
    </xf>
    <xf numFmtId="37" fontId="0" fillId="0" borderId="2" xfId="0" applyFont="1" applyBorder="1" applyAlignment="1" applyProtection="1">
      <alignment horizontal="center"/>
    </xf>
    <xf numFmtId="37" fontId="14" fillId="0" borderId="0" xfId="0" applyFont="1"/>
    <xf numFmtId="37" fontId="0" fillId="0" borderId="0" xfId="0" applyFont="1" applyFill="1"/>
    <xf numFmtId="37" fontId="0" fillId="0" borderId="0" xfId="0" applyFont="1" applyProtection="1"/>
    <xf numFmtId="10" fontId="0" fillId="0" borderId="0" xfId="0" applyNumberFormat="1" applyFont="1" applyProtection="1"/>
    <xf numFmtId="37" fontId="0" fillId="0" borderId="0" xfId="0" applyNumberFormat="1" applyFont="1" applyProtection="1"/>
    <xf numFmtId="37" fontId="12" fillId="0" borderId="0" xfId="0" applyFont="1" applyFill="1" applyBorder="1"/>
    <xf numFmtId="37" fontId="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164" fontId="3" fillId="0" borderId="0" xfId="0" applyNumberFormat="1" applyFont="1" applyFill="1" applyProtection="1"/>
    <xf numFmtId="10" fontId="12" fillId="0" borderId="0" xfId="13" applyNumberFormat="1" applyFont="1" applyProtection="1"/>
    <xf numFmtId="10" fontId="3" fillId="0" borderId="0" xfId="0" applyNumberFormat="1" applyFont="1" applyFill="1" applyProtection="1"/>
    <xf numFmtId="37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16" fillId="0" borderId="0" xfId="0" applyFont="1"/>
    <xf numFmtId="37" fontId="11" fillId="0" borderId="0" xfId="0" applyFont="1" applyFill="1" applyAlignment="1" applyProtection="1">
      <alignment horizontal="left"/>
    </xf>
    <xf numFmtId="37" fontId="3" fillId="0" borderId="0" xfId="0" applyFont="1" applyFill="1" applyAlignment="1" applyProtection="1">
      <alignment horizontal="center"/>
    </xf>
    <xf numFmtId="37" fontId="0" fillId="0" borderId="0" xfId="0" applyNumberFormat="1"/>
    <xf numFmtId="37" fontId="0" fillId="0" borderId="3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quotePrefix="1" applyFont="1" applyAlignment="1" applyProtection="1">
      <alignment horizontal="left"/>
    </xf>
    <xf numFmtId="37" fontId="0" fillId="0" borderId="0" xfId="0" applyFont="1" applyFill="1" applyProtection="1">
      <protection locked="0"/>
    </xf>
    <xf numFmtId="37" fontId="12" fillId="0" borderId="2" xfId="0" applyNumberFormat="1" applyFont="1" applyFill="1" applyBorder="1" applyProtection="1"/>
    <xf numFmtId="37" fontId="0" fillId="0" borderId="0" xfId="0" applyAlignment="1" applyProtection="1">
      <alignment horizontal="left"/>
    </xf>
    <xf numFmtId="37" fontId="16" fillId="0" borderId="0" xfId="0" applyFont="1" applyFill="1"/>
    <xf numFmtId="10" fontId="0" fillId="0" borderId="0" xfId="0" applyNumberFormat="1" applyFont="1" applyAlignment="1" applyProtection="1">
      <alignment horizontal="center"/>
    </xf>
    <xf numFmtId="10" fontId="0" fillId="0" borderId="0" xfId="0" applyNumberFormat="1" applyFont="1" applyAlignment="1" applyProtection="1">
      <alignment horizontal="left"/>
    </xf>
    <xf numFmtId="37" fontId="0" fillId="0" borderId="2" xfId="0" applyFont="1" applyBorder="1" applyAlignment="1" applyProtection="1">
      <alignment horizontal="left"/>
      <protection locked="0"/>
    </xf>
    <xf numFmtId="37" fontId="0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/>
    <xf numFmtId="37" fontId="6" fillId="0" borderId="0" xfId="0" applyFont="1" applyFill="1" applyProtection="1"/>
    <xf numFmtId="37" fontId="0" fillId="0" borderId="0" xfId="0" applyNumberFormat="1" applyFont="1" applyFill="1" applyAlignment="1" applyProtection="1">
      <alignment horizontal="left"/>
    </xf>
    <xf numFmtId="164" fontId="0" fillId="0" borderId="0" xfId="0" applyNumberFormat="1" applyFont="1" applyFill="1" applyProtection="1"/>
    <xf numFmtId="3" fontId="0" fillId="0" borderId="0" xfId="0" applyNumberFormat="1"/>
    <xf numFmtId="181" fontId="0" fillId="0" borderId="0" xfId="0" applyNumberFormat="1"/>
    <xf numFmtId="3" fontId="18" fillId="0" borderId="0" xfId="0" applyNumberFormat="1" applyFont="1"/>
    <xf numFmtId="3" fontId="0" fillId="0" borderId="0" xfId="1" applyNumberFormat="1" applyFont="1"/>
    <xf numFmtId="181" fontId="17" fillId="0" borderId="0" xfId="0" applyNumberFormat="1" applyFont="1"/>
    <xf numFmtId="37" fontId="19" fillId="0" borderId="0" xfId="0" applyNumberFormat="1" applyFont="1"/>
    <xf numFmtId="37" fontId="19" fillId="0" borderId="0" xfId="1" applyNumberFormat="1" applyFont="1"/>
    <xf numFmtId="37" fontId="19" fillId="0" borderId="0" xfId="0" applyFont="1"/>
    <xf numFmtId="182" fontId="19" fillId="0" borderId="0" xfId="2" applyNumberFormat="1" applyFont="1"/>
    <xf numFmtId="37" fontId="19" fillId="0" borderId="5" xfId="0" applyNumberFormat="1" applyFont="1" applyBorder="1"/>
    <xf numFmtId="182" fontId="19" fillId="0" borderId="6" xfId="2" applyNumberFormat="1" applyFont="1" applyBorder="1"/>
    <xf numFmtId="37" fontId="20" fillId="0" borderId="0" xfId="0" applyFont="1"/>
    <xf numFmtId="37" fontId="21" fillId="0" borderId="0" xfId="0" applyFont="1"/>
    <xf numFmtId="37" fontId="19" fillId="0" borderId="0" xfId="0" quotePrefix="1" applyFont="1" applyAlignment="1">
      <alignment horizontal="left" indent="3"/>
    </xf>
    <xf numFmtId="37" fontId="3" fillId="0" borderId="0" xfId="0" applyFont="1" applyFill="1" applyAlignment="1">
      <alignment horizontal="centerContinuous"/>
    </xf>
    <xf numFmtId="37" fontId="3" fillId="0" borderId="2" xfId="0" applyFont="1" applyFill="1" applyBorder="1"/>
    <xf numFmtId="10" fontId="3" fillId="0" borderId="0" xfId="0" applyNumberFormat="1" applyFont="1"/>
    <xf numFmtId="37" fontId="12" fillId="0" borderId="0" xfId="0" applyNumberFormat="1" applyFont="1" applyFill="1" applyBorder="1" applyProtection="1">
      <protection locked="0"/>
    </xf>
    <xf numFmtId="37" fontId="3" fillId="0" borderId="5" xfId="0" applyFont="1" applyBorder="1" applyAlignment="1"/>
    <xf numFmtId="37" fontId="3" fillId="0" borderId="0" xfId="0" applyNumberFormat="1" applyFont="1" applyAlignment="1">
      <alignment horizontal="right"/>
    </xf>
    <xf numFmtId="37" fontId="3" fillId="0" borderId="0" xfId="0" applyFont="1" applyAlignment="1">
      <alignment horizontal="left" indent="2"/>
    </xf>
    <xf numFmtId="37" fontId="3" fillId="0" borderId="0" xfId="0" applyFont="1" applyAlignment="1">
      <alignment horizontal="left" indent="3"/>
    </xf>
    <xf numFmtId="10" fontId="3" fillId="0" borderId="5" xfId="13" applyNumberFormat="1" applyFont="1" applyBorder="1"/>
    <xf numFmtId="37" fontId="3" fillId="0" borderId="5" xfId="0" applyNumberFormat="1" applyFont="1" applyBorder="1" applyAlignment="1" applyProtection="1">
      <alignment horizontal="right"/>
    </xf>
    <xf numFmtId="169" fontId="3" fillId="0" borderId="5" xfId="13" applyNumberFormat="1" applyFont="1" applyBorder="1" applyAlignment="1" applyProtection="1">
      <alignment horizontal="right"/>
    </xf>
    <xf numFmtId="37" fontId="14" fillId="0" borderId="0" xfId="0" applyFont="1" applyAlignment="1">
      <alignment horizontal="left" indent="1"/>
    </xf>
    <xf numFmtId="37" fontId="14" fillId="0" borderId="0" xfId="0" applyNumberFormat="1" applyFont="1" applyBorder="1" applyAlignment="1" applyProtection="1">
      <alignment horizontal="right"/>
    </xf>
    <xf numFmtId="37" fontId="13" fillId="0" borderId="0" xfId="0" applyFont="1" applyAlignment="1"/>
    <xf numFmtId="10" fontId="3" fillId="0" borderId="0" xfId="13" applyNumberFormat="1" applyFont="1" applyAlignment="1"/>
    <xf numFmtId="37" fontId="3" fillId="0" borderId="0" xfId="0" applyFont="1" applyAlignment="1" applyProtection="1">
      <alignment horizontal="left" indent="2"/>
    </xf>
    <xf numFmtId="173" fontId="3" fillId="0" borderId="0" xfId="0" applyNumberFormat="1" applyFont="1" applyFill="1" applyProtection="1"/>
    <xf numFmtId="37" fontId="3" fillId="0" borderId="0" xfId="0" applyFont="1" applyFill="1" applyAlignment="1" applyProtection="1">
      <alignment horizontal="centerContinuous"/>
    </xf>
    <xf numFmtId="37" fontId="3" fillId="0" borderId="0" xfId="0" applyNumberFormat="1" applyFont="1" applyBorder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>
      <alignment horizontal="right"/>
    </xf>
    <xf numFmtId="37" fontId="0" fillId="0" borderId="0" xfId="0" applyAlignment="1">
      <alignment horizontal="left"/>
    </xf>
    <xf numFmtId="37" fontId="0" fillId="0" borderId="0" xfId="0" applyFont="1" applyFill="1" applyAlignment="1" applyProtection="1">
      <alignment horizontal="centerContinuous"/>
    </xf>
    <xf numFmtId="37" fontId="12" fillId="0" borderId="0" xfId="0" applyFont="1" applyFill="1" applyAlignment="1" applyProtection="1">
      <alignment horizontal="centerContinuous"/>
      <protection locked="0"/>
    </xf>
    <xf numFmtId="37" fontId="24" fillId="0" borderId="0" xfId="0" applyFont="1" applyAlignment="1" applyProtection="1">
      <alignment horizontal="centerContinuous"/>
    </xf>
    <xf numFmtId="37" fontId="24" fillId="0" borderId="0" xfId="0" applyNumberFormat="1" applyFont="1" applyFill="1" applyProtection="1"/>
    <xf numFmtId="37" fontId="10" fillId="0" borderId="0" xfId="0" applyFont="1" applyFill="1" applyAlignment="1" applyProtection="1">
      <alignment horizontal="left"/>
    </xf>
    <xf numFmtId="37" fontId="0" fillId="0" borderId="0" xfId="0" applyFill="1" applyAlignment="1">
      <alignment horizontal="center"/>
    </xf>
    <xf numFmtId="43" fontId="27" fillId="0" borderId="0" xfId="1" applyFont="1"/>
    <xf numFmtId="43" fontId="27" fillId="0" borderId="0" xfId="1" applyFont="1" applyFill="1"/>
    <xf numFmtId="9" fontId="0" fillId="0" borderId="0" xfId="13" applyFont="1"/>
    <xf numFmtId="37" fontId="8" fillId="0" borderId="0" xfId="0" applyFont="1" applyAlignment="1" applyProtection="1">
      <alignment horizontal="left"/>
    </xf>
    <xf numFmtId="10" fontId="12" fillId="0" borderId="0" xfId="0" applyNumberFormat="1" applyFont="1" applyAlignment="1" applyProtection="1">
      <alignment horizontal="center"/>
    </xf>
    <xf numFmtId="185" fontId="3" fillId="0" borderId="0" xfId="1" applyNumberFormat="1" applyFont="1" applyProtection="1"/>
    <xf numFmtId="0" fontId="25" fillId="0" borderId="0" xfId="7"/>
    <xf numFmtId="9" fontId="3" fillId="0" borderId="0" xfId="13" applyFont="1" applyProtection="1"/>
    <xf numFmtId="37" fontId="3" fillId="0" borderId="5" xfId="0" applyFont="1" applyFill="1" applyBorder="1" applyAlignment="1" applyProtection="1">
      <alignment horizontal="center"/>
    </xf>
    <xf numFmtId="37" fontId="3" fillId="0" borderId="0" xfId="0" applyFont="1" applyAlignment="1" applyProtection="1">
      <alignment horizontal="centerContinuous"/>
      <protection locked="0"/>
    </xf>
    <xf numFmtId="37" fontId="8" fillId="0" borderId="0" xfId="0" applyNumberFormat="1" applyFont="1" applyProtection="1"/>
    <xf numFmtId="37" fontId="8" fillId="0" borderId="0" xfId="0" applyFont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2" xfId="0" applyFont="1" applyBorder="1"/>
    <xf numFmtId="37" fontId="8" fillId="0" borderId="0" xfId="0" applyFont="1" applyBorder="1"/>
    <xf numFmtId="37" fontId="8" fillId="0" borderId="2" xfId="0" applyNumberFormat="1" applyFont="1" applyBorder="1" applyProtection="1"/>
    <xf numFmtId="37" fontId="8" fillId="0" borderId="5" xfId="0" applyFont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37" fontId="8" fillId="0" borderId="0" xfId="0" applyFont="1" applyFill="1"/>
    <xf numFmtId="37" fontId="36" fillId="0" borderId="0" xfId="0" applyFont="1" applyAlignment="1" applyProtection="1">
      <alignment horizontal="left"/>
    </xf>
    <xf numFmtId="173" fontId="3" fillId="0" borderId="5" xfId="0" applyNumberFormat="1" applyFont="1" applyFill="1" applyBorder="1" applyProtection="1"/>
    <xf numFmtId="173" fontId="3" fillId="0" borderId="0" xfId="0" applyNumberFormat="1" applyFont="1" applyFill="1"/>
    <xf numFmtId="173" fontId="6" fillId="0" borderId="0" xfId="0" applyNumberFormat="1" applyFont="1" applyProtection="1"/>
    <xf numFmtId="37" fontId="12" fillId="0" borderId="0" xfId="0" applyFont="1" applyAlignment="1">
      <alignment horizontal="centerContinuous"/>
    </xf>
    <xf numFmtId="37" fontId="8" fillId="0" borderId="0" xfId="0" applyFont="1" applyFill="1" applyAlignment="1">
      <alignment horizontal="centerContinuous"/>
    </xf>
    <xf numFmtId="37" fontId="8" fillId="0" borderId="2" xfId="0" applyFont="1" applyBorder="1" applyAlignment="1" applyProtection="1">
      <alignment horizontal="left"/>
    </xf>
    <xf numFmtId="37" fontId="8" fillId="0" borderId="2" xfId="0" applyFont="1" applyFill="1" applyBorder="1" applyAlignment="1" applyProtection="1">
      <alignment horizontal="left"/>
      <protection locked="0"/>
    </xf>
    <xf numFmtId="37" fontId="8" fillId="0" borderId="0" xfId="0" applyFont="1" applyAlignment="1" applyProtection="1">
      <alignment horizontal="left"/>
      <protection locked="0"/>
    </xf>
    <xf numFmtId="37" fontId="8" fillId="0" borderId="0" xfId="0" applyFont="1" applyAlignment="1" applyProtection="1">
      <alignment horizontal="center"/>
      <protection locked="0"/>
    </xf>
    <xf numFmtId="37" fontId="8" fillId="0" borderId="2" xfId="0" applyFont="1" applyBorder="1" applyAlignment="1" applyProtection="1">
      <alignment horizontal="left"/>
      <protection locked="0"/>
    </xf>
    <xf numFmtId="17" fontId="8" fillId="0" borderId="22" xfId="0" applyNumberFormat="1" applyFont="1" applyFill="1" applyBorder="1" applyAlignment="1">
      <alignment horizontal="center"/>
    </xf>
    <xf numFmtId="37" fontId="8" fillId="0" borderId="0" xfId="0" applyFont="1" applyBorder="1" applyAlignment="1">
      <alignment horizontal="center"/>
    </xf>
    <xf numFmtId="37" fontId="8" fillId="0" borderId="0" xfId="0" applyFont="1" applyFill="1" applyAlignment="1" applyProtection="1">
      <alignment horizontal="center"/>
    </xf>
    <xf numFmtId="37" fontId="21" fillId="0" borderId="0" xfId="0" applyFont="1" applyFill="1"/>
    <xf numFmtId="183" fontId="21" fillId="0" borderId="0" xfId="0" applyNumberFormat="1" applyFont="1" applyAlignment="1" applyProtection="1">
      <alignment horizontal="left"/>
      <protection locked="0"/>
    </xf>
    <xf numFmtId="37" fontId="37" fillId="0" borderId="0" xfId="0" applyFont="1"/>
    <xf numFmtId="37" fontId="37" fillId="2" borderId="0" xfId="0" applyFont="1" applyFill="1"/>
    <xf numFmtId="5" fontId="37" fillId="0" borderId="10" xfId="0" applyNumberFormat="1" applyFont="1" applyBorder="1"/>
    <xf numFmtId="5" fontId="37" fillId="0" borderId="0" xfId="0" applyNumberFormat="1" applyFont="1" applyBorder="1"/>
    <xf numFmtId="37" fontId="37" fillId="0" borderId="0" xfId="0" applyFont="1" applyFill="1"/>
    <xf numFmtId="10" fontId="37" fillId="0" borderId="0" xfId="13" applyNumberFormat="1" applyFont="1"/>
    <xf numFmtId="37" fontId="37" fillId="0" borderId="0" xfId="0" applyFont="1" applyBorder="1"/>
    <xf numFmtId="37" fontId="37" fillId="0" borderId="0" xfId="0" applyFont="1" applyFill="1" applyBorder="1"/>
    <xf numFmtId="37" fontId="8" fillId="0" borderId="0" xfId="0" applyFont="1" applyProtection="1">
      <protection locked="0"/>
    </xf>
    <xf numFmtId="37" fontId="3" fillId="0" borderId="0" xfId="0" applyFont="1" applyBorder="1" applyAlignment="1">
      <alignment horizontal="center"/>
    </xf>
    <xf numFmtId="37" fontId="8" fillId="0" borderId="5" xfId="0" applyFont="1" applyBorder="1" applyAlignment="1">
      <alignment horizontal="center"/>
    </xf>
    <xf numFmtId="37" fontId="8" fillId="0" borderId="0" xfId="0" applyNumberFormat="1" applyFont="1" applyFill="1" applyProtection="1"/>
    <xf numFmtId="37" fontId="8" fillId="0" borderId="0" xfId="0" quotePrefix="1" applyFont="1" applyBorder="1" applyAlignment="1">
      <alignment horizontal="left"/>
    </xf>
    <xf numFmtId="10" fontId="8" fillId="0" borderId="0" xfId="13" applyNumberFormat="1" applyFont="1" applyBorder="1" applyAlignment="1">
      <alignment horizontal="left"/>
    </xf>
    <xf numFmtId="37" fontId="8" fillId="0" borderId="0" xfId="0" applyFont="1" applyAlignment="1">
      <alignment horizontal="left" indent="1"/>
    </xf>
    <xf numFmtId="10" fontId="8" fillId="0" borderId="0" xfId="0" applyNumberFormat="1" applyFont="1" applyProtection="1"/>
    <xf numFmtId="37" fontId="8" fillId="0" borderId="2" xfId="0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8" fillId="0" borderId="0" xfId="0" applyFont="1" applyFill="1" applyBorder="1"/>
    <xf numFmtId="37" fontId="8" fillId="0" borderId="5" xfId="0" applyNumberFormat="1" applyFont="1" applyFill="1" applyBorder="1" applyProtection="1"/>
    <xf numFmtId="37" fontId="8" fillId="0" borderId="0" xfId="0" applyFont="1" applyAlignment="1"/>
    <xf numFmtId="37" fontId="8" fillId="0" borderId="0" xfId="0" applyFont="1" applyFill="1" applyAlignment="1" applyProtection="1">
      <alignment horizontal="left"/>
    </xf>
    <xf numFmtId="180" fontId="8" fillId="0" borderId="0" xfId="0" applyNumberFormat="1" applyFont="1" applyAlignment="1">
      <alignment horizontal="center"/>
    </xf>
    <xf numFmtId="37" fontId="39" fillId="0" borderId="0" xfId="0" applyFont="1"/>
    <xf numFmtId="37" fontId="8" fillId="0" borderId="2" xfId="0" applyFont="1" applyFill="1" applyBorder="1"/>
    <xf numFmtId="37" fontId="8" fillId="0" borderId="5" xfId="0" applyFont="1" applyFill="1" applyBorder="1"/>
    <xf numFmtId="37" fontId="8" fillId="0" borderId="0" xfId="0" applyNumberFormat="1" applyFont="1" applyFill="1" applyAlignment="1" applyProtection="1">
      <alignment horizontal="center"/>
    </xf>
    <xf numFmtId="37" fontId="12" fillId="0" borderId="2" xfId="0" applyFont="1" applyBorder="1" applyAlignment="1" applyProtection="1">
      <alignment horizontal="left"/>
    </xf>
    <xf numFmtId="37" fontId="12" fillId="0" borderId="2" xfId="0" applyFont="1" applyBorder="1"/>
    <xf numFmtId="37" fontId="12" fillId="0" borderId="0" xfId="0" applyFont="1" applyAlignment="1" applyProtection="1">
      <alignment horizontal="center"/>
    </xf>
    <xf numFmtId="37" fontId="12" fillId="0" borderId="0" xfId="0" applyFont="1" applyBorder="1" applyAlignment="1" applyProtection="1">
      <alignment horizontal="center"/>
    </xf>
    <xf numFmtId="10" fontId="12" fillId="0" borderId="0" xfId="0" applyNumberFormat="1" applyFont="1" applyBorder="1" applyProtection="1"/>
    <xf numFmtId="10" fontId="12" fillId="0" borderId="0" xfId="0" applyNumberFormat="1" applyFont="1" applyProtection="1"/>
    <xf numFmtId="37" fontId="8" fillId="0" borderId="0" xfId="0" applyFont="1" applyAlignment="1" applyProtection="1">
      <alignment horizontal="left" indent="2"/>
    </xf>
    <xf numFmtId="37" fontId="8" fillId="0" borderId="0" xfId="0" applyFont="1" applyAlignment="1">
      <alignment horizontal="left" indent="2"/>
    </xf>
    <xf numFmtId="37" fontId="21" fillId="0" borderId="0" xfId="0" applyFont="1" applyAlignment="1">
      <alignment horizontal="center"/>
    </xf>
    <xf numFmtId="37" fontId="3" fillId="0" borderId="23" xfId="0" applyFont="1" applyBorder="1"/>
    <xf numFmtId="37" fontId="8" fillId="0" borderId="0" xfId="0" applyFont="1" applyAlignment="1" applyProtection="1">
      <alignment horizontal="left" indent="1"/>
    </xf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2" xfId="0" applyFont="1" applyBorder="1" applyAlignment="1" applyProtection="1">
      <alignment horizontal="left"/>
      <protection locked="0"/>
    </xf>
    <xf numFmtId="37" fontId="5" fillId="0" borderId="0" xfId="0" applyFont="1" applyProtection="1">
      <protection locked="0"/>
    </xf>
    <xf numFmtId="37" fontId="8" fillId="0" borderId="2" xfId="0" applyFont="1" applyBorder="1" applyAlignment="1" applyProtection="1">
      <alignment horizontal="center"/>
      <protection locked="0"/>
    </xf>
    <xf numFmtId="37" fontId="8" fillId="0" borderId="2" xfId="0" applyFont="1" applyBorder="1" applyAlignment="1">
      <alignment horizontal="center"/>
    </xf>
    <xf numFmtId="180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Protection="1">
      <protection locked="0"/>
    </xf>
    <xf numFmtId="37" fontId="8" fillId="0" borderId="0" xfId="0" applyNumberFormat="1" applyFont="1" applyAlignment="1" applyProtection="1">
      <alignment horizontal="center"/>
      <protection locked="0"/>
    </xf>
    <xf numFmtId="37" fontId="8" fillId="0" borderId="0" xfId="0" applyNumberFormat="1" applyFont="1" applyFill="1" applyProtection="1">
      <protection locked="0"/>
    </xf>
    <xf numFmtId="37" fontId="8" fillId="0" borderId="0" xfId="0" applyNumberFormat="1" applyFont="1"/>
    <xf numFmtId="37" fontId="8" fillId="0" borderId="0" xfId="0" applyFont="1" applyAlignment="1" applyProtection="1">
      <alignment horizontal="left" indent="1"/>
      <protection locked="0"/>
    </xf>
    <xf numFmtId="169" fontId="8" fillId="0" borderId="0" xfId="0" applyNumberFormat="1" applyFont="1" applyProtection="1"/>
    <xf numFmtId="37" fontId="8" fillId="0" borderId="0" xfId="0" applyFont="1" applyFill="1" applyAlignment="1" applyProtection="1">
      <alignment horizontal="left" indent="1"/>
      <protection locked="0"/>
    </xf>
    <xf numFmtId="37" fontId="8" fillId="0" borderId="0" xfId="0" applyNumberFormat="1" applyFont="1" applyFill="1" applyAlignment="1" applyProtection="1">
      <alignment horizontal="center"/>
      <protection locked="0"/>
    </xf>
    <xf numFmtId="37" fontId="8" fillId="0" borderId="2" xfId="0" applyNumberFormat="1" applyFont="1" applyBorder="1" applyProtection="1">
      <protection locked="0"/>
    </xf>
    <xf numFmtId="37" fontId="8" fillId="0" borderId="5" xfId="0" applyNumberFormat="1" applyFont="1" applyBorder="1" applyProtection="1">
      <protection locked="0"/>
    </xf>
    <xf numFmtId="37" fontId="8" fillId="0" borderId="0" xfId="0" quotePrefix="1" applyNumberFormat="1" applyFont="1" applyProtection="1"/>
    <xf numFmtId="37" fontId="40" fillId="0" borderId="0" xfId="0" quotePrefix="1" applyFont="1"/>
    <xf numFmtId="37" fontId="41" fillId="0" borderId="0" xfId="0" applyFont="1"/>
    <xf numFmtId="37" fontId="41" fillId="0" borderId="0" xfId="0" applyNumberFormat="1" applyFont="1" applyProtection="1"/>
    <xf numFmtId="180" fontId="41" fillId="0" borderId="0" xfId="0" applyNumberFormat="1" applyFont="1" applyAlignment="1" applyProtection="1">
      <alignment horizontal="center"/>
      <protection locked="0"/>
    </xf>
    <xf numFmtId="37" fontId="38" fillId="0" borderId="0" xfId="0" quotePrefix="1" applyFont="1"/>
    <xf numFmtId="10" fontId="41" fillId="0" borderId="0" xfId="0" applyNumberFormat="1" applyFont="1" applyProtection="1"/>
    <xf numFmtId="169" fontId="41" fillId="0" borderId="0" xfId="0" applyNumberFormat="1" applyFont="1" applyProtection="1"/>
    <xf numFmtId="37" fontId="12" fillId="0" borderId="0" xfId="0" applyFont="1" applyAlignment="1" applyProtection="1">
      <alignment horizontal="center"/>
      <protection locked="0"/>
    </xf>
    <xf numFmtId="37" fontId="12" fillId="0" borderId="0" xfId="0" applyFont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left"/>
      <protection locked="0"/>
    </xf>
    <xf numFmtId="37" fontId="12" fillId="0" borderId="2" xfId="0" applyFont="1" applyBorder="1" applyAlignment="1" applyProtection="1">
      <alignment horizontal="center"/>
      <protection locked="0"/>
    </xf>
    <xf numFmtId="37" fontId="12" fillId="0" borderId="0" xfId="0" applyFont="1" applyProtection="1">
      <protection locked="0"/>
    </xf>
    <xf numFmtId="37" fontId="13" fillId="0" borderId="0" xfId="0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indent="2"/>
      <protection locked="0"/>
    </xf>
    <xf numFmtId="37" fontId="12" fillId="0" borderId="0" xfId="0" applyFont="1" applyAlignment="1" applyProtection="1">
      <protection locked="0"/>
    </xf>
    <xf numFmtId="37" fontId="12" fillId="0" borderId="0" xfId="0" applyFont="1" applyAlignment="1"/>
    <xf numFmtId="37" fontId="12" fillId="0" borderId="0" xfId="0" applyFont="1" applyBorder="1" applyAlignment="1" applyProtection="1">
      <alignment horizontal="left" indent="2"/>
      <protection locked="0"/>
    </xf>
    <xf numFmtId="37" fontId="15" fillId="0" borderId="0" xfId="0" applyNumberFormat="1" applyFont="1" applyFill="1" applyProtection="1"/>
    <xf numFmtId="37" fontId="13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1"/>
      <protection locked="0"/>
    </xf>
    <xf numFmtId="37" fontId="12" fillId="0" borderId="0" xfId="0" applyFont="1" applyAlignment="1" applyProtection="1">
      <alignment horizontal="left" indent="2"/>
    </xf>
    <xf numFmtId="37" fontId="13" fillId="0" borderId="0" xfId="0" applyFont="1" applyBorder="1" applyAlignment="1" applyProtection="1">
      <alignment horizontal="left" indent="1"/>
      <protection locked="0"/>
    </xf>
    <xf numFmtId="37" fontId="12" fillId="0" borderId="0" xfId="0" applyFont="1" applyAlignment="1" applyProtection="1"/>
    <xf numFmtId="37" fontId="8" fillId="0" borderId="0" xfId="0" applyFont="1" applyAlignment="1" applyProtection="1">
      <alignment horizontal="left" indent="2"/>
      <protection locked="0"/>
    </xf>
    <xf numFmtId="37" fontId="8" fillId="0" borderId="0" xfId="0" applyFont="1" applyAlignment="1" applyProtection="1">
      <protection locked="0"/>
    </xf>
    <xf numFmtId="37" fontId="8" fillId="0" borderId="0" xfId="0" applyFont="1" applyBorder="1" applyAlignment="1" applyProtection="1">
      <alignment horizontal="left" indent="2"/>
      <protection locked="0"/>
    </xf>
    <xf numFmtId="37" fontId="5" fillId="0" borderId="0" xfId="0" applyFont="1" applyAlignment="1" applyProtection="1">
      <alignment horizontal="left" indent="1"/>
      <protection locked="0"/>
    </xf>
    <xf numFmtId="37" fontId="8" fillId="0" borderId="0" xfId="0" applyFont="1" applyFill="1" applyAlignment="1" applyProtection="1">
      <alignment horizontal="center"/>
      <protection locked="0"/>
    </xf>
    <xf numFmtId="37" fontId="8" fillId="0" borderId="0" xfId="0" applyFont="1" applyAlignment="1" applyProtection="1"/>
    <xf numFmtId="37" fontId="4" fillId="0" borderId="0" xfId="0" applyFont="1" applyFill="1" applyBorder="1" applyAlignment="1" applyProtection="1">
      <alignment horizontal="left"/>
    </xf>
    <xf numFmtId="37" fontId="0" fillId="0" borderId="0" xfId="0" applyFont="1" applyFill="1" applyAlignment="1" applyProtection="1">
      <alignment horizontal="centerContinuous"/>
      <protection locked="0"/>
    </xf>
    <xf numFmtId="37" fontId="14" fillId="0" borderId="0" xfId="0" applyFont="1" applyAlignment="1">
      <alignment horizontal="center"/>
    </xf>
    <xf numFmtId="177" fontId="8" fillId="0" borderId="0" xfId="1" applyNumberFormat="1" applyFont="1"/>
    <xf numFmtId="49" fontId="3" fillId="0" borderId="0" xfId="0" applyNumberFormat="1" applyFont="1" applyAlignment="1">
      <alignment horizontal="center"/>
    </xf>
    <xf numFmtId="37" fontId="14" fillId="0" borderId="5" xfId="0" applyFont="1" applyBorder="1" applyAlignment="1">
      <alignment horizontal="center"/>
    </xf>
    <xf numFmtId="10" fontId="3" fillId="0" borderId="0" xfId="0" applyNumberFormat="1" applyFont="1" applyBorder="1" applyProtection="1"/>
    <xf numFmtId="37" fontId="42" fillId="0" borderId="0" xfId="3" applyNumberFormat="1" applyFont="1" applyAlignment="1" applyProtection="1"/>
    <xf numFmtId="182" fontId="3" fillId="0" borderId="0" xfId="2" applyNumberFormat="1" applyFont="1"/>
    <xf numFmtId="182" fontId="3" fillId="0" borderId="0" xfId="2" applyNumberFormat="1" applyFont="1" applyFill="1" applyProtection="1"/>
    <xf numFmtId="182" fontId="8" fillId="0" borderId="0" xfId="2" applyNumberFormat="1" applyFont="1" applyFill="1" applyProtection="1"/>
    <xf numFmtId="182" fontId="3" fillId="0" borderId="6" xfId="2" applyNumberFormat="1" applyFont="1" applyBorder="1" applyProtection="1"/>
    <xf numFmtId="185" fontId="8" fillId="0" borderId="0" xfId="1" applyNumberFormat="1" applyFont="1" applyFill="1" applyProtection="1"/>
    <xf numFmtId="185" fontId="8" fillId="0" borderId="5" xfId="1" applyNumberFormat="1" applyFont="1" applyFill="1" applyBorder="1" applyProtection="1"/>
    <xf numFmtId="185" fontId="3" fillId="0" borderId="0" xfId="1" applyNumberFormat="1" applyFont="1"/>
    <xf numFmtId="0" fontId="8" fillId="0" borderId="0" xfId="0" applyNumberFormat="1" applyFont="1" applyAlignment="1">
      <alignment horizontal="center"/>
    </xf>
    <xf numFmtId="37" fontId="8" fillId="0" borderId="5" xfId="0" applyFont="1" applyFill="1" applyBorder="1" applyAlignment="1" applyProtection="1">
      <alignment horizontal="left"/>
    </xf>
    <xf numFmtId="37" fontId="8" fillId="0" borderId="23" xfId="0" applyFont="1" applyFill="1" applyBorder="1"/>
    <xf numFmtId="37" fontId="8" fillId="0" borderId="21" xfId="0" applyFont="1" applyFill="1" applyBorder="1"/>
    <xf numFmtId="37" fontId="0" fillId="0" borderId="0" xfId="0" applyAlignment="1">
      <alignment horizontal="left" indent="1"/>
    </xf>
    <xf numFmtId="37" fontId="0" fillId="0" borderId="5" xfId="0" applyBorder="1" applyAlignment="1">
      <alignment horizontal="center" wrapText="1"/>
    </xf>
    <xf numFmtId="37" fontId="0" fillId="0" borderId="0" xfId="0" applyBorder="1" applyAlignment="1">
      <alignment horizontal="center" wrapText="1"/>
    </xf>
    <xf numFmtId="10" fontId="8" fillId="0" borderId="0" xfId="13" applyNumberFormat="1" applyFont="1" applyFill="1" applyBorder="1"/>
    <xf numFmtId="37" fontId="12" fillId="0" borderId="0" xfId="0" applyFont="1" applyAlignment="1" applyProtection="1">
      <alignment horizontal="left" indent="1"/>
    </xf>
    <xf numFmtId="182" fontId="0" fillId="0" borderId="0" xfId="2" applyNumberFormat="1" applyFont="1" applyBorder="1"/>
    <xf numFmtId="182" fontId="0" fillId="0" borderId="0" xfId="2" applyNumberFormat="1" applyFont="1" applyFill="1" applyBorder="1"/>
    <xf numFmtId="182" fontId="0" fillId="0" borderId="6" xfId="2" applyNumberFormat="1" applyFont="1" applyBorder="1"/>
    <xf numFmtId="10" fontId="0" fillId="0" borderId="0" xfId="13" applyNumberFormat="1" applyFont="1" applyFill="1" applyAlignment="1">
      <alignment horizontal="center"/>
    </xf>
    <xf numFmtId="10" fontId="0" fillId="0" borderId="0" xfId="13" applyNumberFormat="1" applyFont="1" applyAlignment="1">
      <alignment horizontal="center"/>
    </xf>
    <xf numFmtId="182" fontId="3" fillId="0" borderId="0" xfId="2" applyNumberFormat="1" applyFont="1" applyBorder="1"/>
    <xf numFmtId="182" fontId="3" fillId="0" borderId="10" xfId="2" applyNumberFormat="1" applyFont="1" applyBorder="1"/>
    <xf numFmtId="182" fontId="3" fillId="0" borderId="0" xfId="2" applyNumberFormat="1" applyFont="1" applyFill="1" applyBorder="1"/>
    <xf numFmtId="182" fontId="3" fillId="0" borderId="10" xfId="2" applyNumberFormat="1" applyFont="1" applyFill="1" applyBorder="1"/>
    <xf numFmtId="182" fontId="3" fillId="0" borderId="6" xfId="2" applyNumberFormat="1" applyFont="1" applyBorder="1"/>
    <xf numFmtId="37" fontId="3" fillId="0" borderId="1" xfId="0" applyFont="1" applyBorder="1" applyAlignment="1" applyProtection="1">
      <alignment horizontal="center"/>
    </xf>
    <xf numFmtId="37" fontId="3" fillId="0" borderId="21" xfId="0" applyFont="1" applyBorder="1" applyAlignment="1" applyProtection="1">
      <alignment horizontal="center"/>
    </xf>
    <xf numFmtId="37" fontId="3" fillId="0" borderId="25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8" xfId="0" applyFont="1" applyBorder="1" applyAlignment="1">
      <alignment horizontal="center"/>
    </xf>
    <xf numFmtId="9" fontId="0" fillId="0" borderId="0" xfId="13" applyFont="1" applyFill="1" applyAlignment="1">
      <alignment horizontal="center"/>
    </xf>
    <xf numFmtId="9" fontId="0" fillId="0" borderId="0" xfId="13" applyFont="1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7" xfId="0" applyFont="1" applyBorder="1" applyAlignment="1" applyProtection="1">
      <alignment horizontal="center"/>
    </xf>
    <xf numFmtId="182" fontId="12" fillId="0" borderId="0" xfId="2" applyNumberFormat="1" applyFont="1" applyFill="1" applyProtection="1"/>
    <xf numFmtId="37" fontId="12" fillId="0" borderId="23" xfId="0" applyFont="1" applyBorder="1"/>
    <xf numFmtId="37" fontId="12" fillId="0" borderId="9" xfId="0" applyFont="1" applyBorder="1"/>
    <xf numFmtId="37" fontId="12" fillId="0" borderId="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center"/>
    </xf>
    <xf numFmtId="9" fontId="12" fillId="0" borderId="0" xfId="13" applyFont="1" applyAlignment="1" applyProtection="1">
      <alignment horizontal="center"/>
    </xf>
    <xf numFmtId="182" fontId="3" fillId="0" borderId="0" xfId="2" applyNumberFormat="1" applyFont="1" applyFill="1"/>
    <xf numFmtId="182" fontId="12" fillId="0" borderId="6" xfId="2" applyNumberFormat="1" applyFont="1" applyBorder="1" applyProtection="1"/>
    <xf numFmtId="186" fontId="0" fillId="0" borderId="5" xfId="0" applyNumberFormat="1" applyBorder="1" applyAlignment="1">
      <alignment horizontal="center"/>
    </xf>
    <xf numFmtId="43" fontId="12" fillId="0" borderId="0" xfId="1" applyFont="1" applyFill="1" applyProtection="1"/>
    <xf numFmtId="43" fontId="12" fillId="0" borderId="5" xfId="1" applyFont="1" applyFill="1" applyBorder="1" applyProtection="1"/>
    <xf numFmtId="182" fontId="12" fillId="0" borderId="0" xfId="2" applyNumberFormat="1" applyFont="1" applyProtection="1"/>
    <xf numFmtId="185" fontId="12" fillId="0" borderId="0" xfId="1" applyNumberFormat="1" applyFont="1" applyProtection="1"/>
    <xf numFmtId="185" fontId="12" fillId="0" borderId="0" xfId="1" applyNumberFormat="1" applyFont="1" applyFill="1" applyProtection="1"/>
    <xf numFmtId="185" fontId="12" fillId="0" borderId="5" xfId="1" applyNumberFormat="1" applyFont="1" applyFill="1" applyBorder="1" applyProtection="1"/>
    <xf numFmtId="185" fontId="12" fillId="0" borderId="5" xfId="1" applyNumberFormat="1" applyFont="1" applyBorder="1" applyProtection="1"/>
    <xf numFmtId="185" fontId="3" fillId="0" borderId="0" xfId="1" applyNumberFormat="1" applyFont="1" applyFill="1" applyProtection="1"/>
    <xf numFmtId="185" fontId="12" fillId="0" borderId="0" xfId="1" applyNumberFormat="1" applyFont="1" applyBorder="1" applyProtection="1"/>
    <xf numFmtId="9" fontId="12" fillId="0" borderId="0" xfId="13" applyFont="1" applyFill="1" applyAlignment="1" applyProtection="1">
      <alignment horizontal="center"/>
    </xf>
    <xf numFmtId="10" fontId="12" fillId="0" borderId="0" xfId="13" applyNumberFormat="1" applyFont="1" applyFill="1" applyAlignment="1" applyProtection="1">
      <alignment horizontal="center"/>
    </xf>
    <xf numFmtId="182" fontId="0" fillId="0" borderId="0" xfId="2" applyNumberFormat="1" applyFont="1" applyFill="1"/>
    <xf numFmtId="37" fontId="3" fillId="0" borderId="2" xfId="0" applyFont="1" applyFill="1" applyBorder="1" applyAlignment="1" applyProtection="1">
      <alignment horizontal="left"/>
      <protection locked="0"/>
    </xf>
    <xf numFmtId="183" fontId="3" fillId="0" borderId="0" xfId="0" applyNumberFormat="1" applyFont="1" applyFill="1" applyAlignment="1">
      <alignment horizontal="left"/>
    </xf>
    <xf numFmtId="17" fontId="3" fillId="0" borderId="22" xfId="0" applyNumberFormat="1" applyFont="1" applyFill="1" applyBorder="1" applyAlignment="1">
      <alignment horizontal="center"/>
    </xf>
    <xf numFmtId="185" fontId="8" fillId="0" borderId="0" xfId="1" applyNumberFormat="1" applyFont="1" applyFill="1" applyBorder="1" applyProtection="1"/>
    <xf numFmtId="0" fontId="21" fillId="0" borderId="0" xfId="0" applyNumberFormat="1" applyFont="1" applyFill="1" applyAlignment="1">
      <alignment horizontal="center"/>
    </xf>
    <xf numFmtId="185" fontId="21" fillId="0" borderId="0" xfId="1" applyNumberFormat="1" applyFont="1" applyFill="1" applyAlignment="1">
      <alignment horizontal="center"/>
    </xf>
    <xf numFmtId="37" fontId="37" fillId="0" borderId="0" xfId="0" applyFont="1" applyFill="1" applyAlignment="1">
      <alignment horizontal="left" indent="1"/>
    </xf>
    <xf numFmtId="0" fontId="21" fillId="0" borderId="0" xfId="0" applyNumberFormat="1" applyFont="1" applyFill="1" applyAlignment="1">
      <alignment horizontal="left"/>
    </xf>
    <xf numFmtId="185" fontId="21" fillId="0" borderId="0" xfId="1" applyNumberFormat="1" applyFont="1" applyFill="1" applyAlignment="1">
      <alignment horizontal="left"/>
    </xf>
    <xf numFmtId="37" fontId="3" fillId="0" borderId="2" xfId="0" applyFont="1" applyBorder="1" applyAlignment="1">
      <alignment horizontal="center"/>
    </xf>
    <xf numFmtId="37" fontId="3" fillId="0" borderId="0" xfId="0" applyFont="1" applyFill="1" applyBorder="1" applyAlignment="1">
      <alignment horizontal="centerContinuous"/>
    </xf>
    <xf numFmtId="180" fontId="3" fillId="0" borderId="0" xfId="0" applyNumberFormat="1" applyFont="1" applyProtection="1"/>
    <xf numFmtId="180" fontId="3" fillId="0" borderId="0" xfId="0" applyNumberFormat="1" applyFont="1"/>
    <xf numFmtId="180" fontId="3" fillId="0" borderId="0" xfId="0" quotePrefix="1" applyNumberFormat="1" applyFont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37" fontId="3" fillId="0" borderId="0" xfId="0" applyFont="1" applyAlignment="1">
      <alignment horizontal="right"/>
    </xf>
    <xf numFmtId="185" fontId="3" fillId="0" borderId="0" xfId="1" applyNumberFormat="1" applyFont="1" applyFill="1" applyBorder="1" applyProtection="1"/>
    <xf numFmtId="43" fontId="3" fillId="0" borderId="0" xfId="1" applyFont="1" applyFill="1" applyBorder="1" applyProtection="1"/>
    <xf numFmtId="185" fontId="3" fillId="0" borderId="0" xfId="1" applyNumberFormat="1" applyFont="1" applyBorder="1" applyProtection="1"/>
    <xf numFmtId="185" fontId="3" fillId="0" borderId="0" xfId="1" applyNumberFormat="1" applyFont="1" applyBorder="1"/>
    <xf numFmtId="185" fontId="3" fillId="0" borderId="0" xfId="1" applyNumberFormat="1" applyFont="1" applyFill="1" applyBorder="1"/>
    <xf numFmtId="185" fontId="3" fillId="0" borderId="0" xfId="1" applyNumberFormat="1" applyFont="1" applyFill="1" applyBorder="1" applyAlignment="1" applyProtection="1">
      <alignment horizontal="center"/>
    </xf>
    <xf numFmtId="185" fontId="3" fillId="0" borderId="0" xfId="1" applyNumberFormat="1" applyFont="1" applyFill="1" applyBorder="1" applyAlignment="1">
      <alignment horizontal="center"/>
    </xf>
    <xf numFmtId="37" fontId="0" fillId="0" borderId="0" xfId="0" applyAlignment="1">
      <alignment horizontal="left" indent="2"/>
    </xf>
    <xf numFmtId="37" fontId="14" fillId="0" borderId="5" xfId="0" applyFont="1" applyBorder="1"/>
    <xf numFmtId="10" fontId="37" fillId="0" borderId="5" xfId="13" applyNumberFormat="1" applyFont="1" applyFill="1" applyBorder="1"/>
    <xf numFmtId="37" fontId="37" fillId="0" borderId="0" xfId="0" applyFont="1" applyFill="1" applyAlignment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9" xfId="0" applyFont="1" applyBorder="1"/>
    <xf numFmtId="0" fontId="3" fillId="0" borderId="0" xfId="0" applyNumberFormat="1" applyFont="1" applyFill="1"/>
    <xf numFmtId="37" fontId="3" fillId="0" borderId="5" xfId="0" applyFont="1" applyFill="1" applyBorder="1" applyAlignment="1" applyProtection="1">
      <alignment horizontal="left"/>
    </xf>
    <xf numFmtId="37" fontId="3" fillId="0" borderId="23" xfId="0" applyFont="1" applyFill="1" applyBorder="1"/>
    <xf numFmtId="37" fontId="3" fillId="0" borderId="21" xfId="0" applyFont="1" applyFill="1" applyBorder="1"/>
    <xf numFmtId="186" fontId="3" fillId="0" borderId="22" xfId="0" applyNumberFormat="1" applyFont="1" applyFill="1" applyBorder="1" applyAlignment="1" applyProtection="1">
      <alignment horizontal="center"/>
      <protection locked="0"/>
    </xf>
    <xf numFmtId="182" fontId="4" fillId="0" borderId="0" xfId="2" applyNumberFormat="1" applyFont="1" applyFill="1" applyProtection="1"/>
    <xf numFmtId="37" fontId="14" fillId="0" borderId="0" xfId="0" applyFont="1" applyBorder="1"/>
    <xf numFmtId="185" fontId="8" fillId="0" borderId="0" xfId="1" applyNumberFormat="1" applyFont="1" applyFill="1" applyProtection="1">
      <protection locked="0"/>
    </xf>
    <xf numFmtId="185" fontId="12" fillId="0" borderId="0" xfId="1" applyNumberFormat="1" applyFont="1" applyFill="1"/>
    <xf numFmtId="10" fontId="3" fillId="0" borderId="0" xfId="13" applyNumberFormat="1" applyFont="1" applyAlignment="1" applyProtection="1">
      <alignment horizontal="center"/>
    </xf>
    <xf numFmtId="37" fontId="0" fillId="0" borderId="0" xfId="0" applyFont="1" applyBorder="1" applyAlignment="1" applyProtection="1">
      <alignment horizontal="center"/>
    </xf>
    <xf numFmtId="37" fontId="0" fillId="0" borderId="0" xfId="0" applyFont="1" applyFill="1" applyBorder="1" applyProtection="1"/>
    <xf numFmtId="37" fontId="12" fillId="0" borderId="0" xfId="0" applyFont="1" applyAlignment="1">
      <alignment horizontal="left" indent="1"/>
    </xf>
    <xf numFmtId="10" fontId="3" fillId="0" borderId="0" xfId="13" applyNumberFormat="1" applyFont="1" applyBorder="1" applyAlignment="1" applyProtection="1">
      <alignment horizontal="center"/>
    </xf>
    <xf numFmtId="37" fontId="0" fillId="0" borderId="5" xfId="0" applyFont="1" applyBorder="1" applyAlignment="1" applyProtection="1">
      <alignment horizontal="center"/>
    </xf>
    <xf numFmtId="37" fontId="0" fillId="0" borderId="0" xfId="0" applyFont="1" applyFill="1" applyBorder="1" applyAlignment="1">
      <alignment horizontal="left" indent="2"/>
    </xf>
    <xf numFmtId="185" fontId="8" fillId="0" borderId="0" xfId="1" applyNumberFormat="1" applyFont="1"/>
    <xf numFmtId="185" fontId="3" fillId="0" borderId="5" xfId="1" applyNumberFormat="1" applyFont="1" applyBorder="1" applyProtection="1"/>
    <xf numFmtId="5" fontId="12" fillId="0" borderId="0" xfId="0" applyNumberFormat="1" applyFont="1" applyFill="1" applyProtection="1"/>
    <xf numFmtId="10" fontId="12" fillId="0" borderId="0" xfId="13" applyNumberFormat="1" applyFont="1"/>
    <xf numFmtId="37" fontId="3" fillId="0" borderId="5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85" fontId="3" fillId="0" borderId="0" xfId="1" applyNumberFormat="1" applyFont="1" applyBorder="1" applyAlignment="1">
      <alignment horizontal="center"/>
    </xf>
    <xf numFmtId="9" fontId="3" fillId="0" borderId="0" xfId="13" applyFont="1" applyBorder="1" applyAlignment="1">
      <alignment horizontal="center"/>
    </xf>
    <xf numFmtId="10" fontId="3" fillId="0" borderId="0" xfId="13" applyNumberFormat="1" applyFont="1" applyBorder="1" applyAlignment="1">
      <alignment horizontal="center"/>
    </xf>
    <xf numFmtId="10" fontId="3" fillId="0" borderId="0" xfId="13" applyNumberFormat="1" applyFont="1" applyAlignment="1">
      <alignment horizontal="center"/>
    </xf>
    <xf numFmtId="37" fontId="14" fillId="0" borderId="0" xfId="0" applyFont="1" applyAlignment="1"/>
    <xf numFmtId="10" fontId="0" fillId="0" borderId="0" xfId="13" applyNumberFormat="1" applyFont="1" applyBorder="1" applyAlignment="1" applyProtection="1">
      <alignment horizontal="center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85" fontId="3" fillId="0" borderId="5" xfId="1" applyNumberFormat="1" applyFont="1" applyFill="1" applyBorder="1" applyProtection="1"/>
    <xf numFmtId="37" fontId="14" fillId="0" borderId="0" xfId="0" applyFont="1" applyFill="1" applyAlignment="1">
      <alignment horizontal="left" indent="1"/>
    </xf>
    <xf numFmtId="9" fontId="3" fillId="0" borderId="0" xfId="13" applyFont="1" applyFill="1" applyBorder="1" applyAlignment="1">
      <alignment horizontal="center"/>
    </xf>
    <xf numFmtId="10" fontId="3" fillId="0" borderId="0" xfId="13" applyNumberFormat="1" applyFont="1" applyFill="1" applyBorder="1" applyAlignment="1">
      <alignment horizontal="center"/>
    </xf>
    <xf numFmtId="10" fontId="0" fillId="0" borderId="0" xfId="13" applyNumberFormat="1" applyFont="1" applyFill="1"/>
    <xf numFmtId="173" fontId="12" fillId="0" borderId="0" xfId="13" applyNumberFormat="1" applyFont="1" applyFill="1"/>
    <xf numFmtId="188" fontId="12" fillId="0" borderId="0" xfId="13" applyNumberFormat="1" applyFont="1" applyFill="1"/>
    <xf numFmtId="37" fontId="0" fillId="0" borderId="5" xfId="0" applyNumberFormat="1" applyFont="1" applyFill="1" applyBorder="1" applyProtection="1"/>
    <xf numFmtId="9" fontId="0" fillId="0" borderId="0" xfId="13" applyFont="1" applyFill="1"/>
    <xf numFmtId="37" fontId="0" fillId="0" borderId="0" xfId="0" applyFont="1" applyFill="1" applyBorder="1" applyAlignment="1" applyProtection="1">
      <alignment horizontal="center"/>
    </xf>
    <xf numFmtId="185" fontId="3" fillId="0" borderId="0" xfId="1" applyNumberFormat="1" applyFont="1" applyFill="1"/>
    <xf numFmtId="185" fontId="3" fillId="0" borderId="2" xfId="1" applyNumberFormat="1" applyFont="1" applyFill="1" applyBorder="1" applyProtection="1"/>
    <xf numFmtId="182" fontId="3" fillId="0" borderId="0" xfId="2" applyNumberFormat="1" applyFont="1" applyBorder="1" applyProtection="1"/>
    <xf numFmtId="37" fontId="3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5" applyFont="1"/>
    <xf numFmtId="37" fontId="4" fillId="0" borderId="0" xfId="5" applyFont="1"/>
    <xf numFmtId="37" fontId="3" fillId="0" borderId="0" xfId="5" applyFont="1" applyAlignment="1" applyProtection="1">
      <alignment horizontal="left"/>
    </xf>
    <xf numFmtId="37" fontId="3" fillId="0" borderId="0" xfId="5" applyAlignment="1" applyProtection="1">
      <alignment horizontal="left"/>
    </xf>
    <xf numFmtId="37" fontId="3" fillId="0" borderId="0" xfId="5" applyFont="1" applyBorder="1"/>
    <xf numFmtId="37" fontId="3" fillId="0" borderId="3" xfId="5" applyFont="1" applyBorder="1" applyAlignment="1" applyProtection="1">
      <alignment horizontal="center"/>
    </xf>
    <xf numFmtId="37" fontId="3" fillId="0" borderId="3" xfId="5" applyFont="1" applyBorder="1"/>
    <xf numFmtId="37" fontId="3" fillId="0" borderId="2" xfId="5" applyFont="1" applyBorder="1" applyAlignment="1" applyProtection="1">
      <alignment horizontal="center"/>
    </xf>
    <xf numFmtId="37" fontId="3" fillId="0" borderId="0" xfId="5" applyFont="1" applyProtection="1"/>
    <xf numFmtId="37" fontId="3" fillId="0" borderId="0" xfId="5" applyFont="1" applyAlignment="1" applyProtection="1">
      <alignment horizontal="center"/>
    </xf>
    <xf numFmtId="37" fontId="6" fillId="0" borderId="0" xfId="5" applyFont="1" applyAlignment="1" applyProtection="1">
      <alignment horizontal="center"/>
    </xf>
    <xf numFmtId="37" fontId="3" fillId="0" borderId="3" xfId="5" applyFont="1" applyBorder="1" applyProtection="1"/>
    <xf numFmtId="37" fontId="3" fillId="0" borderId="0" xfId="5"/>
    <xf numFmtId="37" fontId="3" fillId="0" borderId="0" xfId="5" applyAlignment="1" applyProtection="1">
      <alignment horizontal="center"/>
    </xf>
    <xf numFmtId="179" fontId="3" fillId="0" borderId="0" xfId="5" applyNumberFormat="1" applyFont="1"/>
    <xf numFmtId="37" fontId="4" fillId="0" borderId="0" xfId="5" applyFont="1" applyAlignment="1" applyProtection="1">
      <alignment horizontal="right"/>
    </xf>
    <xf numFmtId="37" fontId="3" fillId="0" borderId="0" xfId="5" applyFont="1" applyBorder="1" applyAlignment="1" applyProtection="1">
      <alignment horizontal="center"/>
    </xf>
    <xf numFmtId="37" fontId="14" fillId="0" borderId="0" xfId="5" applyFont="1" applyBorder="1" applyAlignment="1" applyProtection="1">
      <alignment horizontal="left"/>
    </xf>
    <xf numFmtId="37" fontId="14" fillId="0" borderId="5" xfId="5" applyFont="1" applyBorder="1" applyAlignment="1" applyProtection="1">
      <alignment horizontal="left"/>
    </xf>
    <xf numFmtId="10" fontId="3" fillId="0" borderId="0" xfId="5" applyNumberFormat="1" applyFont="1"/>
    <xf numFmtId="185" fontId="12" fillId="0" borderId="0" xfId="1" applyNumberFormat="1" applyFont="1" applyFill="1" applyProtection="1">
      <protection locked="0"/>
    </xf>
    <xf numFmtId="185" fontId="12" fillId="0" borderId="0" xfId="1" applyNumberFormat="1" applyFont="1" applyFill="1" applyBorder="1" applyProtection="1"/>
    <xf numFmtId="44" fontId="0" fillId="0" borderId="0" xfId="2" applyFont="1" applyFill="1"/>
    <xf numFmtId="37" fontId="14" fillId="0" borderId="5" xfId="0" applyFont="1" applyFill="1" applyBorder="1" applyAlignment="1">
      <alignment horizontal="center"/>
    </xf>
    <xf numFmtId="37" fontId="8" fillId="0" borderId="0" xfId="0" applyFont="1" applyFill="1" applyAlignment="1">
      <alignment horizontal="center"/>
    </xf>
    <xf numFmtId="37" fontId="12" fillId="0" borderId="5" xfId="0" applyNumberFormat="1" applyFont="1" applyFill="1" applyBorder="1" applyProtection="1"/>
    <xf numFmtId="37" fontId="37" fillId="0" borderId="0" xfId="0" applyFont="1" applyAlignment="1">
      <alignment horizontal="right"/>
    </xf>
    <xf numFmtId="37" fontId="3" fillId="0" borderId="0" xfId="5" applyFont="1" applyBorder="1" applyProtection="1"/>
    <xf numFmtId="37" fontId="8" fillId="0" borderId="0" xfId="0" applyNumberFormat="1" applyFont="1" applyFill="1"/>
    <xf numFmtId="9" fontId="3" fillId="0" borderId="0" xfId="13" applyFont="1" applyFill="1" applyAlignment="1">
      <alignment horizontal="center"/>
    </xf>
    <xf numFmtId="10" fontId="3" fillId="0" borderId="0" xfId="13" applyNumberFormat="1" applyFont="1" applyFill="1" applyAlignment="1">
      <alignment horizontal="center"/>
    </xf>
    <xf numFmtId="182" fontId="3" fillId="0" borderId="6" xfId="2" applyNumberFormat="1" applyFont="1" applyFill="1" applyBorder="1"/>
    <xf numFmtId="182" fontId="3" fillId="0" borderId="0" xfId="2" applyNumberFormat="1" applyFont="1" applyProtection="1"/>
    <xf numFmtId="37" fontId="12" fillId="0" borderId="0" xfId="0" applyFont="1" applyBorder="1" applyAlignment="1" applyProtection="1">
      <alignment horizontal="left"/>
    </xf>
    <xf numFmtId="37" fontId="12" fillId="0" borderId="8" xfId="0" applyFont="1" applyBorder="1"/>
    <xf numFmtId="37" fontId="12" fillId="0" borderId="1" xfId="0" applyFont="1" applyBorder="1"/>
    <xf numFmtId="37" fontId="12" fillId="0" borderId="8" xfId="0" applyFont="1" applyBorder="1" applyAlignment="1" applyProtection="1">
      <alignment horizontal="center"/>
    </xf>
    <xf numFmtId="37" fontId="12" fillId="0" borderId="21" xfId="0" applyFont="1" applyBorder="1" applyAlignment="1" applyProtection="1">
      <alignment horizontal="center"/>
    </xf>
    <xf numFmtId="37" fontId="12" fillId="0" borderId="25" xfId="0" applyFont="1" applyBorder="1" applyAlignment="1" applyProtection="1">
      <alignment horizontal="left"/>
    </xf>
    <xf numFmtId="182" fontId="8" fillId="0" borderId="0" xfId="2" applyNumberFormat="1" applyFont="1" applyProtection="1"/>
    <xf numFmtId="182" fontId="8" fillId="0" borderId="6" xfId="2" applyNumberFormat="1" applyFont="1" applyBorder="1" applyProtection="1"/>
    <xf numFmtId="9" fontId="3" fillId="0" borderId="0" xfId="0" applyNumberFormat="1" applyFont="1" applyAlignment="1" applyProtection="1">
      <alignment horizontal="center"/>
    </xf>
    <xf numFmtId="9" fontId="3" fillId="0" borderId="0" xfId="13" applyFont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37" fontId="3" fillId="0" borderId="23" xfId="0" applyFont="1" applyBorder="1" applyAlignment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21" xfId="0" applyFont="1" applyBorder="1" applyAlignment="1">
      <alignment horizontal="center"/>
    </xf>
    <xf numFmtId="37" fontId="3" fillId="0" borderId="23" xfId="0" applyFont="1" applyBorder="1" applyAlignment="1" applyProtection="1">
      <alignment horizontal="center"/>
    </xf>
    <xf numFmtId="37" fontId="3" fillId="0" borderId="1" xfId="0" applyFont="1" applyFill="1" applyBorder="1" applyAlignment="1" applyProtection="1">
      <alignment horizontal="center"/>
    </xf>
    <xf numFmtId="37" fontId="3" fillId="0" borderId="25" xfId="0" applyFont="1" applyBorder="1" applyAlignment="1">
      <alignment horizontal="center"/>
    </xf>
    <xf numFmtId="178" fontId="3" fillId="0" borderId="0" xfId="1" applyNumberFormat="1" applyFont="1" applyFill="1" applyProtection="1"/>
    <xf numFmtId="37" fontId="3" fillId="0" borderId="0" xfId="0" applyFont="1" applyAlignment="1" applyProtection="1">
      <alignment horizontal="right"/>
    </xf>
    <xf numFmtId="37" fontId="3" fillId="0" borderId="2" xfId="0" applyFont="1" applyBorder="1" applyAlignment="1" applyProtection="1">
      <alignment horizontal="right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right"/>
      <protection locked="0"/>
    </xf>
    <xf numFmtId="182" fontId="12" fillId="0" borderId="5" xfId="2" applyNumberFormat="1" applyFont="1" applyFill="1" applyBorder="1" applyProtection="1"/>
    <xf numFmtId="182" fontId="12" fillId="0" borderId="0" xfId="2" applyNumberFormat="1" applyFont="1" applyFill="1" applyBorder="1" applyProtection="1"/>
    <xf numFmtId="182" fontId="12" fillId="0" borderId="0" xfId="2" applyNumberFormat="1" applyFont="1" applyFill="1" applyProtection="1">
      <protection locked="0"/>
    </xf>
    <xf numFmtId="182" fontId="15" fillId="0" borderId="0" xfId="2" applyNumberFormat="1" applyFont="1" applyFill="1" applyProtection="1"/>
    <xf numFmtId="37" fontId="12" fillId="0" borderId="0" xfId="0" applyFont="1" applyAlignment="1">
      <alignment horizontal="right"/>
    </xf>
    <xf numFmtId="37" fontId="12" fillId="0" borderId="0" xfId="0" applyFont="1" applyBorder="1" applyAlignment="1" applyProtection="1">
      <alignment horizontal="right"/>
      <protection locked="0"/>
    </xf>
    <xf numFmtId="37" fontId="12" fillId="0" borderId="5" xfId="0" applyFont="1" applyBorder="1" applyAlignment="1">
      <alignment horizontal="right"/>
    </xf>
    <xf numFmtId="37" fontId="8" fillId="0" borderId="5" xfId="0" applyFont="1" applyBorder="1" applyAlignment="1">
      <alignment horizontal="right"/>
    </xf>
    <xf numFmtId="182" fontId="3" fillId="0" borderId="0" xfId="2" applyNumberFormat="1" applyFont="1" applyFill="1" applyBorder="1" applyProtection="1"/>
    <xf numFmtId="182" fontId="3" fillId="0" borderId="5" xfId="2" applyNumberFormat="1" applyFont="1" applyFill="1" applyBorder="1" applyProtection="1"/>
    <xf numFmtId="182" fontId="3" fillId="0" borderId="0" xfId="2" applyNumberFormat="1" applyFont="1" applyFill="1" applyProtection="1">
      <protection locked="0"/>
    </xf>
    <xf numFmtId="37" fontId="8" fillId="0" borderId="0" xfId="0" applyFont="1" applyBorder="1" applyAlignment="1"/>
    <xf numFmtId="37" fontId="8" fillId="0" borderId="0" xfId="0" applyFont="1" applyBorder="1" applyAlignment="1" applyProtection="1"/>
    <xf numFmtId="37" fontId="8" fillId="0" borderId="0" xfId="0" applyFont="1" applyFill="1" applyAlignment="1">
      <alignment horizontal="right"/>
    </xf>
    <xf numFmtId="37" fontId="8" fillId="0" borderId="0" xfId="0" applyFont="1" applyFill="1" applyAlignment="1" applyProtection="1">
      <alignment horizontal="right"/>
      <protection locked="0"/>
    </xf>
    <xf numFmtId="37" fontId="8" fillId="0" borderId="2" xfId="0" applyFont="1" applyFill="1" applyBorder="1" applyAlignment="1" applyProtection="1">
      <alignment horizontal="right"/>
      <protection locked="0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  <protection locked="0"/>
    </xf>
    <xf numFmtId="37" fontId="8" fillId="0" borderId="0" xfId="0" applyFont="1" applyAlignment="1">
      <alignment horizontal="right"/>
    </xf>
    <xf numFmtId="182" fontId="0" fillId="0" borderId="6" xfId="2" applyNumberFormat="1" applyFont="1" applyFill="1" applyBorder="1"/>
    <xf numFmtId="185" fontId="8" fillId="0" borderId="0" xfId="1" applyNumberFormat="1" applyFont="1" applyFill="1"/>
    <xf numFmtId="0" fontId="3" fillId="0" borderId="0" xfId="0" applyNumberFormat="1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left"/>
    </xf>
    <xf numFmtId="9" fontId="3" fillId="0" borderId="0" xfId="0" applyNumberFormat="1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9" fontId="3" fillId="0" borderId="0" xfId="13" applyFont="1" applyBorder="1" applyAlignment="1" applyProtection="1">
      <alignment horizontal="center"/>
    </xf>
    <xf numFmtId="37" fontId="3" fillId="0" borderId="27" xfId="0" applyFont="1" applyBorder="1" applyAlignment="1">
      <alignment horizontal="center"/>
    </xf>
    <xf numFmtId="37" fontId="3" fillId="0" borderId="27" xfId="0" applyFont="1" applyBorder="1" applyAlignment="1" applyProtection="1">
      <alignment horizontal="center"/>
    </xf>
    <xf numFmtId="37" fontId="3" fillId="0" borderId="5" xfId="0" applyFont="1" applyFill="1" applyBorder="1" applyAlignment="1">
      <alignment horizontal="center"/>
    </xf>
    <xf numFmtId="182" fontId="8" fillId="0" borderId="10" xfId="2" applyNumberFormat="1" applyFont="1" applyBorder="1" applyProtection="1"/>
    <xf numFmtId="182" fontId="8" fillId="0" borderId="10" xfId="2" applyNumberFormat="1" applyFont="1" applyFill="1" applyBorder="1" applyProtection="1"/>
    <xf numFmtId="185" fontId="8" fillId="0" borderId="0" xfId="1" applyNumberFormat="1" applyFont="1" applyProtection="1"/>
    <xf numFmtId="185" fontId="8" fillId="0" borderId="2" xfId="1" applyNumberFormat="1" applyFont="1" applyFill="1" applyBorder="1" applyProtection="1"/>
    <xf numFmtId="185" fontId="8" fillId="0" borderId="5" xfId="1" applyNumberFormat="1" applyFont="1" applyBorder="1" applyProtection="1"/>
    <xf numFmtId="182" fontId="8" fillId="0" borderId="0" xfId="2" applyNumberFormat="1" applyFont="1" applyFill="1" applyProtection="1">
      <protection locked="0"/>
    </xf>
    <xf numFmtId="185" fontId="8" fillId="0" borderId="0" xfId="1" quotePrefix="1" applyNumberFormat="1" applyFont="1" applyFill="1" applyProtection="1"/>
    <xf numFmtId="185" fontId="8" fillId="0" borderId="0" xfId="1" quotePrefix="1" applyNumberFormat="1" applyFont="1" applyFill="1" applyProtection="1">
      <protection locked="0"/>
    </xf>
    <xf numFmtId="183" fontId="12" fillId="0" borderId="0" xfId="0" applyNumberFormat="1" applyFont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183" fontId="12" fillId="0" borderId="0" xfId="0" applyNumberFormat="1" applyFont="1" applyBorder="1" applyAlignment="1" applyProtection="1">
      <alignment horizontal="center"/>
      <protection locked="0"/>
    </xf>
    <xf numFmtId="183" fontId="12" fillId="0" borderId="0" xfId="0" applyNumberFormat="1" applyFont="1" applyAlignment="1" applyProtection="1">
      <alignment horizontal="center"/>
    </xf>
    <xf numFmtId="183" fontId="12" fillId="0" borderId="0" xfId="0" applyNumberFormat="1" applyFont="1" applyAlignment="1">
      <alignment horizontal="center"/>
    </xf>
    <xf numFmtId="37" fontId="12" fillId="0" borderId="0" xfId="0" quotePrefix="1" applyFont="1" applyAlignment="1">
      <alignment horizontal="center"/>
    </xf>
    <xf numFmtId="184" fontId="12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  <protection locked="0"/>
    </xf>
    <xf numFmtId="183" fontId="8" fillId="0" borderId="0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 applyProtection="1">
      <alignment horizontal="center"/>
    </xf>
    <xf numFmtId="183" fontId="8" fillId="0" borderId="0" xfId="0" applyNumberFormat="1" applyFont="1" applyAlignment="1">
      <alignment horizontal="center"/>
    </xf>
    <xf numFmtId="37" fontId="8" fillId="0" borderId="0" xfId="0" quotePrefix="1" applyFont="1" applyAlignment="1">
      <alignment horizontal="center"/>
    </xf>
    <xf numFmtId="183" fontId="8" fillId="0" borderId="0" xfId="0" quotePrefix="1" applyNumberFormat="1" applyFont="1" applyAlignment="1" applyProtection="1">
      <alignment horizontal="center"/>
      <protection locked="0"/>
    </xf>
    <xf numFmtId="184" fontId="8" fillId="0" borderId="0" xfId="0" applyNumberFormat="1" applyFont="1" applyAlignment="1" applyProtection="1">
      <alignment horizontal="center"/>
      <protection locked="0"/>
    </xf>
    <xf numFmtId="182" fontId="3" fillId="0" borderId="6" xfId="2" applyNumberFormat="1" applyFont="1" applyFill="1" applyBorder="1" applyProtection="1"/>
    <xf numFmtId="182" fontId="8" fillId="0" borderId="19" xfId="2" applyNumberFormat="1" applyFont="1" applyFill="1" applyBorder="1"/>
    <xf numFmtId="182" fontId="3" fillId="0" borderId="19" xfId="2" applyNumberFormat="1" applyFont="1" applyFill="1" applyBorder="1"/>
    <xf numFmtId="182" fontId="3" fillId="0" borderId="19" xfId="2" applyNumberFormat="1" applyFont="1" applyBorder="1"/>
    <xf numFmtId="37" fontId="3" fillId="0" borderId="0" xfId="0" applyFont="1" applyBorder="1" applyAlignment="1">
      <alignment horizontal="right"/>
    </xf>
    <xf numFmtId="37" fontId="12" fillId="0" borderId="5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182" fontId="3" fillId="0" borderId="0" xfId="2" applyNumberFormat="1" applyFont="1" applyAlignment="1" applyProtection="1">
      <alignment horizontal="right"/>
    </xf>
    <xf numFmtId="182" fontId="3" fillId="0" borderId="6" xfId="2" applyNumberFormat="1" applyFont="1" applyBorder="1" applyAlignment="1" applyProtection="1">
      <alignment horizontal="right"/>
    </xf>
    <xf numFmtId="182" fontId="14" fillId="0" borderId="6" xfId="2" applyNumberFormat="1" applyFont="1" applyBorder="1" applyAlignment="1" applyProtection="1">
      <alignment horizontal="right"/>
    </xf>
    <xf numFmtId="182" fontId="3" fillId="0" borderId="0" xfId="2" applyNumberFormat="1" applyFont="1" applyFill="1" applyAlignment="1">
      <alignment horizontal="right"/>
    </xf>
    <xf numFmtId="182" fontId="3" fillId="0" borderId="0" xfId="2" applyNumberFormat="1" applyFont="1" applyAlignment="1">
      <alignment horizontal="right"/>
    </xf>
    <xf numFmtId="37" fontId="12" fillId="0" borderId="0" xfId="5" applyFont="1" applyAlignment="1" applyProtection="1">
      <alignment horizontal="left"/>
    </xf>
    <xf numFmtId="37" fontId="3" fillId="0" borderId="0" xfId="5" applyFont="1" applyAlignment="1">
      <alignment horizontal="right"/>
    </xf>
    <xf numFmtId="37" fontId="3" fillId="0" borderId="0" xfId="5" applyFont="1" applyAlignment="1" applyProtection="1">
      <alignment horizontal="right"/>
    </xf>
    <xf numFmtId="37" fontId="3" fillId="0" borderId="0" xfId="5" applyAlignment="1" applyProtection="1">
      <alignment horizontal="right"/>
    </xf>
    <xf numFmtId="182" fontId="3" fillId="0" borderId="3" xfId="2" applyNumberFormat="1" applyFont="1" applyBorder="1" applyProtection="1"/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182" fontId="0" fillId="0" borderId="0" xfId="2" applyNumberFormat="1" applyFont="1" applyProtection="1"/>
    <xf numFmtId="182" fontId="3" fillId="0" borderId="28" xfId="2" applyNumberFormat="1" applyFont="1" applyBorder="1" applyProtection="1"/>
    <xf numFmtId="37" fontId="0" fillId="0" borderId="29" xfId="0" applyFont="1" applyBorder="1"/>
    <xf numFmtId="37" fontId="4" fillId="0" borderId="19" xfId="0" applyFont="1" applyBorder="1" applyAlignment="1" applyProtection="1">
      <alignment horizontal="center"/>
    </xf>
    <xf numFmtId="37" fontId="0" fillId="0" borderId="24" xfId="0" applyFont="1" applyBorder="1"/>
    <xf numFmtId="37" fontId="19" fillId="0" borderId="0" xfId="0" applyFont="1" applyAlignment="1">
      <alignment horizontal="right"/>
    </xf>
    <xf numFmtId="37" fontId="12" fillId="0" borderId="5" xfId="0" applyFont="1" applyBorder="1" applyAlignment="1" applyProtection="1">
      <alignment horizontal="left"/>
    </xf>
    <xf numFmtId="182" fontId="24" fillId="0" borderId="0" xfId="2" applyNumberFormat="1" applyFont="1" applyFill="1" applyProtection="1"/>
    <xf numFmtId="182" fontId="12" fillId="0" borderId="19" xfId="2" applyNumberFormat="1" applyFont="1" applyFill="1" applyBorder="1" applyProtection="1"/>
    <xf numFmtId="182" fontId="12" fillId="0" borderId="6" xfId="2" applyNumberFormat="1" applyFont="1" applyFill="1" applyBorder="1"/>
    <xf numFmtId="182" fontId="0" fillId="0" borderId="0" xfId="2" applyNumberFormat="1" applyFont="1" applyFill="1" applyProtection="1"/>
    <xf numFmtId="182" fontId="3" fillId="0" borderId="2" xfId="2" applyNumberFormat="1" applyFont="1" applyBorder="1" applyProtection="1"/>
    <xf numFmtId="182" fontId="12" fillId="0" borderId="2" xfId="2" applyNumberFormat="1" applyFont="1" applyBorder="1" applyProtection="1"/>
    <xf numFmtId="182" fontId="3" fillId="0" borderId="19" xfId="2" applyNumberFormat="1" applyFont="1" applyFill="1" applyBorder="1" applyProtection="1"/>
    <xf numFmtId="174" fontId="11" fillId="0" borderId="0" xfId="0" applyNumberFormat="1" applyFont="1" applyFill="1" applyProtection="1"/>
    <xf numFmtId="10" fontId="0" fillId="0" borderId="0" xfId="0" applyNumberFormat="1" applyFont="1" applyFill="1" applyProtection="1"/>
    <xf numFmtId="169" fontId="12" fillId="0" borderId="0" xfId="13" applyNumberFormat="1" applyFont="1"/>
    <xf numFmtId="10" fontId="8" fillId="0" borderId="0" xfId="13" applyNumberFormat="1" applyFont="1" applyBorder="1"/>
    <xf numFmtId="10" fontId="8" fillId="0" borderId="0" xfId="13" applyNumberFormat="1" applyFont="1" applyFill="1"/>
    <xf numFmtId="5" fontId="3" fillId="0" borderId="0" xfId="0" applyNumberFormat="1" applyFont="1" applyFill="1" applyProtection="1"/>
    <xf numFmtId="173" fontId="3" fillId="0" borderId="0" xfId="13" applyNumberFormat="1" applyFont="1" applyFill="1" applyProtection="1"/>
    <xf numFmtId="37" fontId="0" fillId="0" borderId="0" xfId="0" applyFont="1" applyFill="1" applyAlignment="1" applyProtection="1"/>
    <xf numFmtId="37" fontId="0" fillId="0" borderId="0" xfId="0" applyFont="1" applyFill="1" applyAlignment="1" applyProtection="1">
      <alignment horizontal="left"/>
    </xf>
    <xf numFmtId="185" fontId="3" fillId="0" borderId="0" xfId="0" applyNumberFormat="1" applyFont="1" applyFill="1" applyProtection="1"/>
    <xf numFmtId="185" fontId="3" fillId="0" borderId="5" xfId="0" applyNumberFormat="1" applyFont="1" applyFill="1" applyBorder="1" applyProtection="1"/>
    <xf numFmtId="5" fontId="3" fillId="0" borderId="7" xfId="0" applyNumberFormat="1" applyFont="1" applyFill="1" applyBorder="1" applyProtection="1"/>
    <xf numFmtId="37" fontId="3" fillId="0" borderId="27" xfId="0" applyFont="1" applyBorder="1"/>
    <xf numFmtId="37" fontId="3" fillId="0" borderId="30" xfId="0" applyFont="1" applyBorder="1" applyAlignment="1" applyProtection="1">
      <alignment horizontal="center"/>
    </xf>
    <xf numFmtId="37" fontId="3" fillId="0" borderId="31" xfId="0" applyFont="1" applyBorder="1" applyAlignment="1" applyProtection="1">
      <alignment horizontal="center"/>
    </xf>
    <xf numFmtId="37" fontId="3" fillId="0" borderId="31" xfId="0" applyFont="1" applyBorder="1" applyAlignment="1">
      <alignment horizontal="center"/>
    </xf>
    <xf numFmtId="37" fontId="43" fillId="0" borderId="0" xfId="0" applyFont="1"/>
    <xf numFmtId="37" fontId="44" fillId="0" borderId="0" xfId="0" applyFont="1"/>
    <xf numFmtId="14" fontId="14" fillId="0" borderId="8" xfId="0" applyNumberFormat="1" applyFont="1" applyFill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right"/>
    </xf>
    <xf numFmtId="37" fontId="45" fillId="0" borderId="0" xfId="0" applyFont="1"/>
    <xf numFmtId="37" fontId="8" fillId="0" borderId="0" xfId="0" applyFont="1" applyBorder="1" applyAlignment="1">
      <alignment horizontal="right"/>
    </xf>
    <xf numFmtId="37" fontId="8" fillId="0" borderId="0" xfId="0" applyFont="1" applyBorder="1" applyAlignment="1" applyProtection="1">
      <alignment horizontal="center"/>
      <protection locked="0"/>
    </xf>
    <xf numFmtId="37" fontId="36" fillId="0" borderId="0" xfId="0" applyFont="1" applyFill="1" applyAlignment="1" applyProtection="1">
      <alignment horizontal="left"/>
    </xf>
    <xf numFmtId="37" fontId="0" fillId="0" borderId="0" xfId="0" applyAlignment="1">
      <alignment horizontal="center"/>
    </xf>
    <xf numFmtId="37" fontId="14" fillId="0" borderId="0" xfId="0" applyFont="1" applyFill="1" applyAlignment="1">
      <alignment horizontal="center"/>
    </xf>
    <xf numFmtId="37" fontId="0" fillId="0" borderId="5" xfId="0" applyFont="1" applyBorder="1" applyAlignment="1">
      <alignment horizontal="center"/>
    </xf>
    <xf numFmtId="37" fontId="14" fillId="0" borderId="0" xfId="0" applyFont="1" applyBorder="1" applyAlignment="1"/>
    <xf numFmtId="37" fontId="0" fillId="0" borderId="5" xfId="0" applyBorder="1" applyAlignment="1" applyProtection="1">
      <alignment horizontal="right"/>
    </xf>
    <xf numFmtId="37" fontId="46" fillId="0" borderId="0" xfId="0" applyFont="1"/>
    <xf numFmtId="37" fontId="3" fillId="0" borderId="0" xfId="0" applyNumberFormat="1" applyFont="1" applyFill="1" applyBorder="1" applyAlignment="1" applyProtection="1">
      <alignment horizontal="right"/>
    </xf>
    <xf numFmtId="185" fontId="3" fillId="0" borderId="0" xfId="1" applyNumberFormat="1" applyFont="1" applyFill="1" applyBorder="1" applyAlignment="1" applyProtection="1">
      <alignment horizontal="right"/>
    </xf>
    <xf numFmtId="185" fontId="3" fillId="0" borderId="0" xfId="1" applyNumberFormat="1" applyFont="1" applyFill="1" applyAlignment="1">
      <alignment horizontal="right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186" fontId="0" fillId="0" borderId="5" xfId="0" applyNumberFormat="1" applyFill="1" applyBorder="1" applyAlignment="1">
      <alignment horizontal="center"/>
    </xf>
    <xf numFmtId="37" fontId="8" fillId="0" borderId="0" xfId="0" applyFont="1" applyFill="1" applyAlignment="1" applyProtection="1">
      <alignment horizontal="left" wrapText="1"/>
    </xf>
    <xf numFmtId="37" fontId="3" fillId="0" borderId="0" xfId="0" applyFont="1" applyFill="1" applyAlignment="1" applyProtection="1">
      <alignment horizontal="left" wrapText="1"/>
    </xf>
    <xf numFmtId="9" fontId="0" fillId="0" borderId="0" xfId="13" applyFont="1" applyFill="1" applyBorder="1" applyAlignment="1">
      <alignment horizontal="center"/>
    </xf>
    <xf numFmtId="185" fontId="0" fillId="0" borderId="0" xfId="1" applyNumberFormat="1" applyFont="1" applyFill="1"/>
    <xf numFmtId="43" fontId="0" fillId="0" borderId="0" xfId="1" applyFont="1" applyFill="1"/>
    <xf numFmtId="37" fontId="0" fillId="0" borderId="7" xfId="0" applyFill="1" applyBorder="1"/>
    <xf numFmtId="37" fontId="5" fillId="0" borderId="0" xfId="0" applyFont="1" applyFill="1" applyAlignment="1" applyProtection="1">
      <alignment horizontal="left"/>
    </xf>
    <xf numFmtId="187" fontId="0" fillId="0" borderId="0" xfId="1" applyNumberFormat="1" applyFont="1" applyFill="1"/>
    <xf numFmtId="187" fontId="3" fillId="0" borderId="0" xfId="1" applyNumberFormat="1" applyFont="1" applyFill="1"/>
    <xf numFmtId="43" fontId="3" fillId="0" borderId="0" xfId="1" applyFont="1" applyFill="1"/>
    <xf numFmtId="9" fontId="3" fillId="0" borderId="0" xfId="1" applyNumberFormat="1" applyFont="1" applyFill="1" applyAlignment="1">
      <alignment horizontal="center"/>
    </xf>
    <xf numFmtId="183" fontId="44" fillId="0" borderId="0" xfId="0" applyNumberFormat="1" applyFont="1" applyAlignment="1" applyProtection="1">
      <alignment horizontal="left"/>
      <protection locked="0"/>
    </xf>
    <xf numFmtId="0" fontId="44" fillId="0" borderId="0" xfId="0" applyNumberFormat="1" applyFont="1" applyAlignment="1">
      <alignment horizontal="center"/>
    </xf>
    <xf numFmtId="185" fontId="43" fillId="0" borderId="0" xfId="1" applyNumberFormat="1" applyFont="1" applyFill="1"/>
    <xf numFmtId="185" fontId="0" fillId="0" borderId="0" xfId="1" applyNumberFormat="1" applyFont="1" applyFill="1" applyProtection="1"/>
    <xf numFmtId="185" fontId="0" fillId="0" borderId="5" xfId="1" applyNumberFormat="1" applyFont="1" applyFill="1" applyBorder="1" applyProtection="1"/>
    <xf numFmtId="185" fontId="8" fillId="0" borderId="0" xfId="1" applyNumberFormat="1" applyFont="1" applyFill="1" applyAlignment="1">
      <alignment horizontal="right"/>
    </xf>
    <xf numFmtId="37" fontId="37" fillId="0" borderId="0" xfId="0" applyFont="1" applyFill="1" applyBorder="1" applyAlignment="1">
      <alignment horizontal="right"/>
    </xf>
    <xf numFmtId="37" fontId="0" fillId="0" borderId="0" xfId="0" applyFill="1" applyAlignment="1" applyProtection="1">
      <alignment horizontal="left"/>
    </xf>
    <xf numFmtId="37" fontId="48" fillId="0" borderId="0" xfId="0" applyFont="1"/>
    <xf numFmtId="180" fontId="0" fillId="0" borderId="0" xfId="0" applyNumberFormat="1" applyFont="1" applyFill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37" fontId="0" fillId="0" borderId="0" xfId="0" applyNumberFormat="1" applyFont="1" applyFill="1"/>
    <xf numFmtId="37" fontId="0" fillId="0" borderId="7" xfId="0" applyNumberFormat="1" applyFont="1" applyFill="1" applyBorder="1"/>
    <xf numFmtId="37" fontId="0" fillId="0" borderId="19" xfId="0" applyNumberFormat="1" applyFont="1" applyFill="1" applyBorder="1"/>
    <xf numFmtId="37" fontId="0" fillId="0" borderId="10" xfId="0" applyNumberFormat="1" applyFont="1" applyFill="1" applyBorder="1"/>
    <xf numFmtId="180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/>
    <xf numFmtId="37" fontId="0" fillId="0" borderId="0" xfId="0" quotePrefix="1"/>
    <xf numFmtId="10" fontId="43" fillId="0" borderId="0" xfId="13" applyNumberFormat="1" applyFont="1"/>
    <xf numFmtId="37" fontId="0" fillId="0" borderId="5" xfId="0" applyNumberFormat="1" applyFont="1" applyFill="1" applyBorder="1"/>
    <xf numFmtId="37" fontId="0" fillId="0" borderId="2" xfId="0" applyNumberFormat="1" applyFont="1" applyFill="1" applyBorder="1" applyProtection="1">
      <protection locked="0"/>
    </xf>
    <xf numFmtId="37" fontId="0" fillId="0" borderId="0" xfId="0" quotePrefix="1" applyFont="1" applyAlignment="1">
      <alignment horizontal="center"/>
    </xf>
    <xf numFmtId="37" fontId="0" fillId="0" borderId="7" xfId="0" applyFont="1" applyBorder="1"/>
    <xf numFmtId="37" fontId="51" fillId="0" borderId="0" xfId="0" applyFont="1"/>
    <xf numFmtId="37" fontId="0" fillId="0" borderId="2" xfId="0" applyFont="1" applyFill="1" applyBorder="1" applyAlignment="1" applyProtection="1">
      <alignment horizontal="center"/>
    </xf>
    <xf numFmtId="169" fontId="28" fillId="0" borderId="0" xfId="13" applyNumberFormat="1" applyFont="1" applyFill="1"/>
    <xf numFmtId="5" fontId="37" fillId="0" borderId="10" xfId="0" applyNumberFormat="1" applyFont="1" applyFill="1" applyBorder="1"/>
    <xf numFmtId="5" fontId="37" fillId="0" borderId="0" xfId="0" applyNumberFormat="1" applyFont="1" applyFill="1" applyBorder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13" applyNumberFormat="1" applyFont="1" applyFill="1" applyAlignment="1"/>
    <xf numFmtId="37" fontId="13" fillId="0" borderId="0" xfId="0" applyFont="1" applyFill="1"/>
    <xf numFmtId="37" fontId="0" fillId="0" borderId="0" xfId="0" applyAlignment="1">
      <alignment horizontal="center"/>
    </xf>
    <xf numFmtId="10" fontId="0" fillId="0" borderId="0" xfId="0" applyNumberFormat="1" applyFont="1" applyFill="1" applyAlignment="1" applyProtection="1">
      <alignment horizontal="center"/>
    </xf>
    <xf numFmtId="37" fontId="0" fillId="0" borderId="0" xfId="0" quotePrefix="1" applyFont="1" applyFill="1"/>
    <xf numFmtId="37" fontId="43" fillId="0" borderId="0" xfId="0" applyNumberFormat="1" applyFont="1" applyProtection="1"/>
    <xf numFmtId="10" fontId="43" fillId="0" borderId="0" xfId="13" applyNumberFormat="1" applyFont="1" applyFill="1" applyAlignment="1">
      <alignment horizontal="center"/>
    </xf>
    <xf numFmtId="37" fontId="4" fillId="0" borderId="5" xfId="0" applyFont="1" applyBorder="1"/>
    <xf numFmtId="182" fontId="0" fillId="0" borderId="0" xfId="13" applyNumberFormat="1" applyFont="1" applyBorder="1" applyAlignment="1" applyProtection="1">
      <alignment horizontal="center"/>
    </xf>
    <xf numFmtId="182" fontId="0" fillId="0" borderId="7" xfId="13" applyNumberFormat="1" applyFont="1" applyBorder="1" applyAlignment="1" applyProtection="1">
      <alignment horizontal="center"/>
    </xf>
    <xf numFmtId="37" fontId="13" fillId="0" borderId="0" xfId="0" applyFont="1" applyAlignment="1" applyProtection="1">
      <alignment horizontal="left"/>
    </xf>
    <xf numFmtId="37" fontId="52" fillId="0" borderId="0" xfId="0" applyFont="1"/>
    <xf numFmtId="37" fontId="52" fillId="0" borderId="0" xfId="0" applyNumberFormat="1" applyFont="1" applyProtection="1"/>
    <xf numFmtId="37" fontId="52" fillId="0" borderId="0" xfId="0" applyNumberFormat="1" applyFont="1" applyFill="1" applyProtection="1"/>
    <xf numFmtId="185" fontId="52" fillId="0" borderId="0" xfId="1" applyNumberFormat="1" applyFont="1" applyFill="1" applyProtection="1"/>
    <xf numFmtId="37" fontId="0" fillId="0" borderId="0" xfId="0" applyAlignment="1">
      <alignment horizontal="center"/>
    </xf>
    <xf numFmtId="37" fontId="43" fillId="0" borderId="0" xfId="0" applyFont="1" applyFill="1"/>
    <xf numFmtId="37" fontId="54" fillId="0" borderId="0" xfId="0" applyFont="1" applyAlignment="1">
      <alignment horizontal="right"/>
    </xf>
    <xf numFmtId="37" fontId="54" fillId="0" borderId="0" xfId="0" applyFont="1"/>
    <xf numFmtId="37" fontId="0" fillId="0" borderId="0" xfId="0" applyFont="1" applyBorder="1" applyAlignment="1" applyProtection="1">
      <alignment horizontal="left" indent="1"/>
      <protection locked="0"/>
    </xf>
    <xf numFmtId="182" fontId="3" fillId="0" borderId="7" xfId="2" applyNumberFormat="1" applyFont="1" applyFill="1" applyBorder="1" applyProtection="1"/>
    <xf numFmtId="182" fontId="12" fillId="0" borderId="6" xfId="2" applyNumberFormat="1" applyFont="1" applyFill="1" applyBorder="1" applyProtection="1"/>
    <xf numFmtId="37" fontId="0" fillId="0" borderId="0" xfId="0" applyFill="1" applyAlignment="1">
      <alignment horizontal="center"/>
    </xf>
    <xf numFmtId="37" fontId="8" fillId="0" borderId="0" xfId="0" applyFont="1" applyAlignment="1" applyProtection="1">
      <alignment horizontal="right"/>
    </xf>
    <xf numFmtId="37" fontId="8" fillId="0" borderId="2" xfId="0" applyFont="1" applyBorder="1" applyAlignment="1" applyProtection="1">
      <alignment horizontal="right"/>
    </xf>
    <xf numFmtId="37" fontId="12" fillId="0" borderId="0" xfId="0" applyFont="1" applyAlignment="1" applyProtection="1">
      <alignment horizontal="centerContinuous"/>
    </xf>
    <xf numFmtId="169" fontId="43" fillId="0" borderId="0" xfId="0" applyNumberFormat="1" applyFont="1" applyProtection="1"/>
    <xf numFmtId="37" fontId="43" fillId="0" borderId="0" xfId="0" applyNumberFormat="1" applyFont="1" applyProtection="1">
      <protection locked="0"/>
    </xf>
    <xf numFmtId="10" fontId="43" fillId="0" borderId="0" xfId="0" applyNumberFormat="1" applyFont="1" applyProtection="1"/>
    <xf numFmtId="37" fontId="0" fillId="0" borderId="0" xfId="0" applyNumberFormat="1" applyFont="1" applyFill="1" applyBorder="1" applyProtection="1"/>
    <xf numFmtId="37" fontId="0" fillId="0" borderId="0" xfId="0" applyNumberFormat="1" applyFont="1" applyFill="1" applyAlignment="1" applyProtection="1">
      <alignment horizontal="right"/>
    </xf>
    <xf numFmtId="39" fontId="0" fillId="0" borderId="0" xfId="0" applyNumberFormat="1" applyFont="1" applyFill="1" applyProtection="1"/>
    <xf numFmtId="9" fontId="0" fillId="0" borderId="0" xfId="13" applyFont="1" applyFill="1" applyProtection="1"/>
    <xf numFmtId="173" fontId="0" fillId="0" borderId="0" xfId="0" applyNumberFormat="1" applyFont="1" applyFill="1" applyProtection="1"/>
    <xf numFmtId="173" fontId="0" fillId="0" borderId="0" xfId="0" applyNumberFormat="1" applyFont="1" applyFill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/>
    </xf>
    <xf numFmtId="37" fontId="46" fillId="0" borderId="0" xfId="0" applyFont="1" applyFill="1"/>
    <xf numFmtId="37" fontId="43" fillId="0" borderId="0" xfId="0" applyFont="1" applyAlignment="1"/>
    <xf numFmtId="39" fontId="43" fillId="0" borderId="0" xfId="0" applyNumberFormat="1" applyFont="1"/>
    <xf numFmtId="175" fontId="3" fillId="0" borderId="0" xfId="0" applyNumberFormat="1" applyFont="1" applyAlignment="1"/>
    <xf numFmtId="37" fontId="12" fillId="0" borderId="0" xfId="0" applyFont="1" applyFill="1" applyAlignment="1" applyProtection="1">
      <alignment horizontal="left"/>
    </xf>
    <xf numFmtId="37" fontId="12" fillId="0" borderId="0" xfId="0" applyFont="1" applyAlignment="1" applyProtection="1">
      <alignment horizontal="right"/>
    </xf>
    <xf numFmtId="37" fontId="12" fillId="0" borderId="0" xfId="0" applyFont="1" applyBorder="1" applyAlignment="1" applyProtection="1">
      <alignment horizontal="right"/>
    </xf>
    <xf numFmtId="37" fontId="12" fillId="0" borderId="5" xfId="0" applyFont="1" applyBorder="1"/>
    <xf numFmtId="37" fontId="4" fillId="0" borderId="0" xfId="0" applyFont="1" applyFill="1" applyAlignment="1"/>
    <xf numFmtId="37" fontId="3" fillId="0" borderId="0" xfId="0" applyFont="1" applyFill="1" applyAlignment="1" applyProtection="1"/>
    <xf numFmtId="180" fontId="8" fillId="0" borderId="0" xfId="0" applyNumberFormat="1" applyFont="1"/>
    <xf numFmtId="182" fontId="0" fillId="0" borderId="7" xfId="2" applyNumberFormat="1" applyFont="1" applyFill="1" applyBorder="1" applyProtection="1"/>
    <xf numFmtId="37" fontId="3" fillId="0" borderId="0" xfId="0" quotePrefix="1" applyFont="1" applyFill="1"/>
    <xf numFmtId="182" fontId="0" fillId="0" borderId="6" xfId="2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 applyProtection="1">
      <alignment horizontal="center"/>
      <protection locked="0"/>
    </xf>
    <xf numFmtId="37" fontId="12" fillId="0" borderId="0" xfId="0" applyFont="1" applyFill="1" applyAlignment="1" applyProtection="1">
      <alignment horizontal="left" indent="2"/>
      <protection locked="0"/>
    </xf>
    <xf numFmtId="37" fontId="0" fillId="0" borderId="0" xfId="0" applyAlignment="1">
      <alignment horizontal="center"/>
    </xf>
    <xf numFmtId="182" fontId="3" fillId="0" borderId="0" xfId="2" applyNumberFormat="1" applyFont="1" applyFill="1" applyAlignment="1">
      <alignment horizontal="center"/>
    </xf>
    <xf numFmtId="185" fontId="3" fillId="0" borderId="0" xfId="1" applyNumberFormat="1" applyFont="1" applyFill="1" applyAlignment="1">
      <alignment horizontal="center"/>
    </xf>
    <xf numFmtId="3" fontId="0" fillId="0" borderId="0" xfId="0" quotePrefix="1" applyNumberFormat="1" applyFill="1" applyAlignment="1">
      <alignment horizontal="left"/>
    </xf>
    <xf numFmtId="3" fontId="0" fillId="0" borderId="0" xfId="0" quotePrefix="1" applyNumberFormat="1" applyFill="1" applyAlignment="1">
      <alignment horizontal="right"/>
    </xf>
    <xf numFmtId="10" fontId="0" fillId="0" borderId="0" xfId="13" quotePrefix="1" applyNumberFormat="1" applyFont="1" applyFill="1" applyAlignment="1">
      <alignment horizontal="right"/>
    </xf>
    <xf numFmtId="3" fontId="0" fillId="0" borderId="0" xfId="0" quotePrefix="1" applyNumberFormat="1" applyFill="1"/>
    <xf numFmtId="37" fontId="43" fillId="0" borderId="0" xfId="0" applyFont="1" applyFill="1" applyBorder="1" applyAlignment="1">
      <alignment horizontal="center"/>
    </xf>
    <xf numFmtId="10" fontId="43" fillId="5" borderId="0" xfId="0" applyNumberFormat="1" applyFont="1" applyFill="1" applyAlignment="1" applyProtection="1">
      <alignment horizontal="center"/>
    </xf>
    <xf numFmtId="37" fontId="37" fillId="4" borderId="0" xfId="0" applyFont="1" applyFill="1"/>
    <xf numFmtId="37" fontId="0" fillId="4" borderId="0" xfId="0" applyFill="1"/>
    <xf numFmtId="37" fontId="43" fillId="0" borderId="0" xfId="0" applyFont="1" applyBorder="1"/>
    <xf numFmtId="37" fontId="3" fillId="0" borderId="0" xfId="0" applyFont="1" applyAlignment="1" applyProtection="1">
      <alignment horizontal="center"/>
    </xf>
    <xf numFmtId="10" fontId="43" fillId="4" borderId="0" xfId="13" applyNumberFormat="1" applyFont="1" applyFill="1" applyAlignment="1">
      <alignment horizontal="center"/>
    </xf>
    <xf numFmtId="182" fontId="0" fillId="0" borderId="7" xfId="2" applyNumberFormat="1" applyFont="1" applyFill="1" applyBorder="1"/>
    <xf numFmtId="182" fontId="3" fillId="0" borderId="7" xfId="2" applyNumberFormat="1" applyFont="1" applyFill="1" applyBorder="1"/>
    <xf numFmtId="37" fontId="56" fillId="0" borderId="0" xfId="0" applyFont="1"/>
    <xf numFmtId="37" fontId="52" fillId="0" borderId="0" xfId="0" applyFont="1" applyAlignment="1" applyProtection="1">
      <alignment horizontal="center"/>
    </xf>
    <xf numFmtId="37" fontId="52" fillId="0" borderId="0" xfId="0" applyFont="1" applyFill="1"/>
    <xf numFmtId="182" fontId="52" fillId="0" borderId="0" xfId="2" applyNumberFormat="1" applyFont="1" applyBorder="1" applyProtection="1"/>
    <xf numFmtId="182" fontId="12" fillId="0" borderId="7" xfId="2" applyNumberFormat="1" applyFont="1" applyFill="1" applyBorder="1" applyProtection="1"/>
    <xf numFmtId="183" fontId="21" fillId="0" borderId="0" xfId="0" applyNumberFormat="1" applyFont="1" applyFill="1" applyAlignment="1">
      <alignment horizontal="left"/>
    </xf>
    <xf numFmtId="37" fontId="45" fillId="0" borderId="0" xfId="0" applyFont="1" applyFill="1"/>
    <xf numFmtId="37" fontId="43" fillId="0" borderId="0" xfId="0" quotePrefix="1" applyFont="1" applyFill="1"/>
    <xf numFmtId="37" fontId="12" fillId="0" borderId="7" xfId="0" applyNumberFormat="1" applyFont="1" applyFill="1" applyBorder="1" applyProtection="1"/>
    <xf numFmtId="37" fontId="52" fillId="0" borderId="0" xfId="0" applyFont="1" applyAlignment="1" applyProtection="1">
      <alignment horizontal="left"/>
    </xf>
    <xf numFmtId="37" fontId="57" fillId="0" borderId="0" xfId="0" applyFont="1"/>
    <xf numFmtId="37" fontId="57" fillId="0" borderId="0" xfId="0" quotePrefix="1" applyFont="1" applyAlignment="1">
      <alignment horizontal="center"/>
    </xf>
    <xf numFmtId="37" fontId="57" fillId="0" borderId="0" xfId="0" applyFont="1" applyAlignment="1" applyProtection="1">
      <alignment horizontal="center"/>
    </xf>
    <xf numFmtId="165" fontId="57" fillId="0" borderId="0" xfId="0" applyNumberFormat="1" applyFont="1" applyProtection="1"/>
    <xf numFmtId="10" fontId="57" fillId="0" borderId="0" xfId="0" applyNumberFormat="1" applyFont="1" applyFill="1" applyProtection="1"/>
    <xf numFmtId="37" fontId="58" fillId="0" borderId="0" xfId="0" applyNumberFormat="1" applyFont="1" applyBorder="1" applyProtection="1"/>
    <xf numFmtId="170" fontId="53" fillId="0" borderId="0" xfId="0" applyNumberFormat="1" applyFont="1" applyFill="1" applyProtection="1"/>
    <xf numFmtId="170" fontId="8" fillId="0" borderId="0" xfId="0" applyNumberFormat="1" applyFont="1" applyProtection="1"/>
    <xf numFmtId="37" fontId="5" fillId="0" borderId="0" xfId="0" applyFont="1" applyAlignment="1">
      <alignment horizontal="center"/>
    </xf>
    <xf numFmtId="37" fontId="52" fillId="0" borderId="0" xfId="0" applyFont="1" applyAlignment="1">
      <alignment horizontal="center"/>
    </xf>
    <xf numFmtId="37" fontId="57" fillId="0" borderId="0" xfId="0" applyFont="1" applyAlignment="1">
      <alignment horizontal="center"/>
    </xf>
    <xf numFmtId="37" fontId="57" fillId="0" borderId="0" xfId="0" applyFont="1" applyAlignment="1">
      <alignment horizontal="left"/>
    </xf>
    <xf numFmtId="185" fontId="57" fillId="0" borderId="0" xfId="1" applyNumberFormat="1" applyFont="1" applyFill="1" applyProtection="1"/>
    <xf numFmtId="37" fontId="57" fillId="0" borderId="0" xfId="0" applyFont="1" applyFill="1"/>
    <xf numFmtId="37" fontId="57" fillId="0" borderId="0" xfId="0" applyNumberFormat="1" applyFont="1" applyFill="1" applyProtection="1"/>
    <xf numFmtId="185" fontId="57" fillId="0" borderId="0" xfId="1" applyNumberFormat="1" applyFont="1" applyFill="1"/>
    <xf numFmtId="185" fontId="57" fillId="0" borderId="0" xfId="1" applyNumberFormat="1" applyFont="1"/>
    <xf numFmtId="185" fontId="57" fillId="0" borderId="0" xfId="1" applyNumberFormat="1" applyFont="1" applyProtection="1"/>
    <xf numFmtId="37" fontId="57" fillId="0" borderId="0" xfId="0" applyNumberFormat="1" applyFont="1" applyProtection="1"/>
    <xf numFmtId="10" fontId="57" fillId="0" borderId="0" xfId="0" applyNumberFormat="1" applyFont="1" applyBorder="1" applyProtection="1"/>
    <xf numFmtId="37" fontId="4" fillId="0" borderId="0" xfId="0" applyFont="1" applyFill="1" applyAlignment="1">
      <alignment horizontal="center"/>
    </xf>
    <xf numFmtId="3" fontId="43" fillId="0" borderId="0" xfId="0" applyNumberFormat="1" applyFont="1"/>
    <xf numFmtId="37" fontId="59" fillId="0" borderId="0" xfId="0" applyFont="1" applyFill="1"/>
    <xf numFmtId="37" fontId="0" fillId="5" borderId="0" xfId="0" applyFill="1" applyAlignment="1">
      <alignment horizontal="left" indent="1"/>
    </xf>
    <xf numFmtId="173" fontId="57" fillId="0" borderId="0" xfId="13" applyNumberFormat="1" applyFont="1" applyProtection="1"/>
    <xf numFmtId="37" fontId="43" fillId="0" borderId="0" xfId="0" applyFont="1" applyFill="1" applyBorder="1"/>
    <xf numFmtId="10" fontId="0" fillId="4" borderId="0" xfId="13" applyNumberFormat="1" applyFont="1" applyFill="1" applyAlignment="1">
      <alignment horizontal="center"/>
    </xf>
    <xf numFmtId="37" fontId="3" fillId="0" borderId="0" xfId="0" applyFont="1" applyAlignment="1">
      <alignment horizontal="center"/>
    </xf>
    <xf numFmtId="37" fontId="8" fillId="0" borderId="7" xfId="0" applyFont="1" applyBorder="1" applyAlignment="1" applyProtection="1">
      <alignment horizontal="center"/>
    </xf>
    <xf numFmtId="37" fontId="0" fillId="0" borderId="0" xfId="0" applyFont="1" applyFill="1" applyAlignment="1">
      <alignment horizontal="center"/>
    </xf>
    <xf numFmtId="37" fontId="52" fillId="0" borderId="0" xfId="0" applyFont="1" applyAlignment="1">
      <alignment horizontal="right"/>
    </xf>
    <xf numFmtId="37" fontId="52" fillId="0" borderId="0" xfId="0" quotePrefix="1" applyNumberFormat="1" applyFont="1" applyProtection="1"/>
    <xf numFmtId="37" fontId="3" fillId="6" borderId="0" xfId="0" applyFont="1" applyFill="1"/>
    <xf numFmtId="37" fontId="3" fillId="6" borderId="0" xfId="0" applyFont="1" applyFill="1" applyBorder="1"/>
    <xf numFmtId="37" fontId="3" fillId="6" borderId="0" xfId="0" applyNumberFormat="1" applyFont="1" applyFill="1" applyProtection="1"/>
    <xf numFmtId="37" fontId="3" fillId="6" borderId="0" xfId="0" applyNumberFormat="1" applyFont="1" applyFill="1" applyBorder="1" applyProtection="1"/>
    <xf numFmtId="10" fontId="3" fillId="6" borderId="0" xfId="0" applyNumberFormat="1" applyFont="1" applyFill="1" applyBorder="1" applyProtection="1"/>
    <xf numFmtId="10" fontId="3" fillId="6" borderId="0" xfId="13" applyNumberFormat="1" applyFont="1" applyFill="1" applyBorder="1"/>
    <xf numFmtId="166" fontId="3" fillId="6" borderId="0" xfId="0" applyNumberFormat="1" applyFont="1" applyFill="1" applyBorder="1" applyProtection="1"/>
    <xf numFmtId="182" fontId="4" fillId="6" borderId="0" xfId="2" applyNumberFormat="1" applyFont="1" applyFill="1" applyProtection="1"/>
    <xf numFmtId="37" fontId="8" fillId="6" borderId="0" xfId="0" applyFont="1" applyFill="1" applyBorder="1"/>
    <xf numFmtId="37" fontId="3" fillId="5" borderId="0" xfId="5" applyFont="1" applyFill="1" applyAlignment="1" applyProtection="1">
      <alignment horizontal="left"/>
    </xf>
    <xf numFmtId="182" fontId="3" fillId="5" borderId="0" xfId="2" applyNumberFormat="1" applyFont="1" applyFill="1" applyProtection="1"/>
    <xf numFmtId="37" fontId="3" fillId="5" borderId="0" xfId="5" applyFont="1" applyFill="1" applyProtection="1"/>
    <xf numFmtId="37" fontId="3" fillId="5" borderId="0" xfId="5" applyFill="1" applyAlignment="1" applyProtection="1">
      <alignment horizontal="left"/>
    </xf>
    <xf numFmtId="37" fontId="3" fillId="5" borderId="0" xfId="5" applyFill="1" applyProtection="1"/>
    <xf numFmtId="37" fontId="3" fillId="5" borderId="0" xfId="5" applyFont="1" applyFill="1"/>
    <xf numFmtId="37" fontId="3" fillId="5" borderId="0" xfId="5" applyFill="1"/>
    <xf numFmtId="37" fontId="0" fillId="5" borderId="0" xfId="0" applyFont="1" applyFill="1" applyAlignment="1" applyProtection="1">
      <alignment horizontal="left"/>
    </xf>
    <xf numFmtId="182" fontId="0" fillId="5" borderId="0" xfId="2" applyNumberFormat="1" applyFont="1" applyFill="1" applyProtection="1"/>
    <xf numFmtId="37" fontId="0" fillId="5" borderId="0" xfId="0" applyFont="1" applyFill="1" applyProtection="1"/>
    <xf numFmtId="37" fontId="0" fillId="0" borderId="0" xfId="0" applyFont="1" applyFill="1" applyAlignment="1" applyProtection="1">
      <alignment horizontal="left"/>
      <protection locked="0"/>
    </xf>
    <xf numFmtId="37" fontId="3" fillId="0" borderId="0" xfId="0" applyFont="1" applyAlignment="1" applyProtection="1">
      <alignment horizontal="center"/>
    </xf>
    <xf numFmtId="185" fontId="37" fillId="0" borderId="10" xfId="0" applyNumberFormat="1" applyFont="1" applyBorder="1"/>
    <xf numFmtId="37" fontId="0" fillId="0" borderId="0" xfId="0" applyAlignment="1">
      <alignment horizontal="center"/>
    </xf>
    <xf numFmtId="0" fontId="25" fillId="0" borderId="0" xfId="0" applyNumberFormat="1" applyFont="1" applyFill="1" applyBorder="1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0" fillId="0" borderId="0" xfId="0"/>
    <xf numFmtId="37" fontId="46" fillId="0" borderId="0" xfId="0" applyFont="1"/>
    <xf numFmtId="37" fontId="0" fillId="0" borderId="0" xfId="0" applyAlignment="1">
      <alignment horizontal="center"/>
    </xf>
    <xf numFmtId="37" fontId="46" fillId="0" borderId="0" xfId="0" applyFont="1" applyFill="1" applyBorder="1" applyAlignment="1">
      <alignment horizontal="centerContinuous"/>
    </xf>
    <xf numFmtId="37" fontId="61" fillId="0" borderId="0" xfId="0" applyFont="1"/>
    <xf numFmtId="37" fontId="46" fillId="0" borderId="0" xfId="0" applyFont="1" applyBorder="1"/>
    <xf numFmtId="37" fontId="0" fillId="5" borderId="0" xfId="5" applyFont="1" applyFill="1" applyProtection="1"/>
    <xf numFmtId="37" fontId="46" fillId="0" borderId="0" xfId="0" applyNumberFormat="1" applyFont="1" applyProtection="1"/>
    <xf numFmtId="190" fontId="3" fillId="0" borderId="0" xfId="0" applyNumberFormat="1" applyFont="1"/>
    <xf numFmtId="37" fontId="0" fillId="0" borderId="0" xfId="0" applyFont="1" applyFill="1" applyBorder="1"/>
    <xf numFmtId="37" fontId="3" fillId="0" borderId="0" xfId="0" applyFont="1" applyAlignment="1" applyProtection="1">
      <alignment horizontal="center"/>
    </xf>
    <xf numFmtId="37" fontId="0" fillId="0" borderId="32" xfId="0" applyBorder="1"/>
    <xf numFmtId="37" fontId="3" fillId="0" borderId="32" xfId="0" applyFont="1" applyBorder="1" applyAlignment="1">
      <alignment horizontal="center"/>
    </xf>
    <xf numFmtId="37" fontId="3" fillId="0" borderId="32" xfId="0" applyFont="1" applyBorder="1"/>
    <xf numFmtId="37" fontId="0" fillId="0" borderId="0" xfId="0" applyFill="1" applyBorder="1"/>
    <xf numFmtId="37" fontId="12" fillId="0" borderId="0" xfId="0" applyFont="1" applyFill="1" applyAlignment="1" applyProtection="1">
      <alignment horizontal="left" indent="1"/>
    </xf>
    <xf numFmtId="37" fontId="61" fillId="0" borderId="0" xfId="0" applyNumberFormat="1" applyFont="1" applyFill="1" applyBorder="1" applyProtection="1">
      <protection locked="0"/>
    </xf>
    <xf numFmtId="37" fontId="3" fillId="0" borderId="0" xfId="0" applyFont="1" applyAlignment="1" applyProtection="1">
      <alignment horizontal="center"/>
    </xf>
    <xf numFmtId="37" fontId="3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3" fillId="0" borderId="32" xfId="0" applyFont="1" applyBorder="1" applyAlignment="1" applyProtection="1">
      <alignment horizontal="center"/>
    </xf>
    <xf numFmtId="37" fontId="3" fillId="0" borderId="32" xfId="0" applyFont="1" applyFill="1" applyBorder="1"/>
    <xf numFmtId="10" fontId="63" fillId="0" borderId="0" xfId="13" applyNumberFormat="1" applyFont="1" applyAlignment="1" applyProtection="1">
      <alignment horizontal="center"/>
    </xf>
    <xf numFmtId="37" fontId="63" fillId="0" borderId="0" xfId="0" applyFont="1"/>
    <xf numFmtId="37" fontId="3" fillId="0" borderId="19" xfId="0" applyFont="1" applyBorder="1"/>
    <xf numFmtId="10" fontId="63" fillId="0" borderId="0" xfId="13" applyNumberFormat="1" applyFont="1" applyFill="1" applyAlignment="1" applyProtection="1">
      <alignment horizontal="center"/>
    </xf>
    <xf numFmtId="37" fontId="63" fillId="0" borderId="0" xfId="0" applyFont="1" applyFill="1"/>
    <xf numFmtId="37" fontId="14" fillId="0" borderId="32" xfId="0" applyFont="1" applyBorder="1"/>
    <xf numFmtId="37" fontId="14" fillId="0" borderId="6" xfId="0" applyFont="1" applyBorder="1"/>
    <xf numFmtId="37" fontId="14" fillId="0" borderId="19" xfId="0" applyFont="1" applyBorder="1"/>
    <xf numFmtId="37" fontId="14" fillId="0" borderId="0" xfId="0" applyFont="1" applyFill="1" applyBorder="1"/>
    <xf numFmtId="37" fontId="14" fillId="0" borderId="10" xfId="0" applyFont="1" applyBorder="1"/>
    <xf numFmtId="37" fontId="65" fillId="0" borderId="0" xfId="0" applyFont="1"/>
    <xf numFmtId="10" fontId="3" fillId="0" borderId="0" xfId="13" applyNumberFormat="1" applyFont="1" applyFill="1"/>
    <xf numFmtId="37" fontId="14" fillId="0" borderId="7" xfId="0" applyFont="1" applyBorder="1"/>
    <xf numFmtId="37" fontId="3" fillId="0" borderId="7" xfId="0" applyFont="1" applyFill="1" applyBorder="1"/>
    <xf numFmtId="37" fontId="14" fillId="0" borderId="0" xfId="0" applyFont="1" applyBorder="1" applyAlignment="1">
      <alignment horizontal="left"/>
    </xf>
    <xf numFmtId="37" fontId="63" fillId="0" borderId="0" xfId="0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43" fillId="0" borderId="0" xfId="0" applyFont="1" applyFill="1" applyAlignment="1">
      <alignment horizontal="center"/>
    </xf>
    <xf numFmtId="37" fontId="25" fillId="0" borderId="0" xfId="0" applyFont="1" applyFill="1" applyBorder="1" applyAlignment="1">
      <alignment horizontal="left"/>
    </xf>
    <xf numFmtId="37" fontId="56" fillId="0" borderId="0" xfId="0" applyFont="1" applyFill="1"/>
    <xf numFmtId="37" fontId="8" fillId="0" borderId="0" xfId="0" applyFont="1" applyFill="1" applyAlignment="1" applyProtection="1">
      <alignment horizontal="left"/>
      <protection locked="0"/>
    </xf>
    <xf numFmtId="37" fontId="8" fillId="0" borderId="19" xfId="0" applyFont="1" applyFill="1" applyBorder="1" applyAlignment="1" applyProtection="1">
      <alignment horizontal="center"/>
      <protection locked="0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174" fontId="11" fillId="0" borderId="2" xfId="0" applyNumberFormat="1" applyFont="1" applyFill="1" applyBorder="1" applyProtection="1"/>
    <xf numFmtId="37" fontId="0" fillId="0" borderId="0" xfId="0" applyFill="1" applyAlignment="1">
      <alignment horizontal="center"/>
    </xf>
    <xf numFmtId="37" fontId="52" fillId="0" borderId="0" xfId="0" applyNumberFormat="1" applyFont="1" applyBorder="1" applyProtection="1"/>
    <xf numFmtId="37" fontId="67" fillId="0" borderId="0" xfId="0" applyFont="1" applyAlignment="1" applyProtection="1">
      <alignment horizontal="left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0" fillId="0" borderId="0" xfId="0" applyAlignment="1">
      <alignment horizontal="center"/>
    </xf>
    <xf numFmtId="37" fontId="14" fillId="0" borderId="0" xfId="0" applyFont="1" applyFill="1" applyBorder="1" applyAlignment="1"/>
    <xf numFmtId="182" fontId="12" fillId="0" borderId="7" xfId="0" applyNumberFormat="1" applyFont="1" applyFill="1" applyBorder="1" applyProtection="1"/>
    <xf numFmtId="186" fontId="0" fillId="0" borderId="0" xfId="0" quotePrefix="1" applyNumberFormat="1"/>
    <xf numFmtId="43" fontId="3" fillId="0" borderId="0" xfId="1" applyFont="1" applyFill="1" applyProtection="1"/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  <protection locked="0"/>
    </xf>
    <xf numFmtId="37" fontId="12" fillId="0" borderId="0" xfId="0" applyFont="1" applyFill="1" applyAlignment="1">
      <alignment horizontal="center"/>
    </xf>
    <xf numFmtId="37" fontId="0" fillId="0" borderId="0" xfId="0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0" xfId="0" applyFont="1" applyFill="1" applyAlignment="1">
      <alignment horizontal="center"/>
    </xf>
    <xf numFmtId="37" fontId="44" fillId="0" borderId="0" xfId="0" applyFont="1" applyFill="1" applyAlignment="1">
      <alignment horizontal="left"/>
    </xf>
    <xf numFmtId="37" fontId="8" fillId="0" borderId="23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7" xfId="0" applyFont="1" applyFill="1" applyBorder="1" applyAlignment="1" applyProtection="1">
      <alignment horizontal="center"/>
      <protection locked="0"/>
    </xf>
    <xf numFmtId="37" fontId="8" fillId="0" borderId="21" xfId="0" applyFont="1" applyFill="1" applyBorder="1" applyAlignment="1">
      <alignment horizontal="center"/>
    </xf>
    <xf numFmtId="37" fontId="8" fillId="0" borderId="5" xfId="0" applyFont="1" applyFill="1" applyBorder="1" applyAlignment="1">
      <alignment horizontal="center"/>
    </xf>
    <xf numFmtId="37" fontId="8" fillId="0" borderId="5" xfId="0" applyFont="1" applyFill="1" applyBorder="1" applyAlignment="1" applyProtection="1">
      <alignment horizontal="center"/>
      <protection locked="0"/>
    </xf>
    <xf numFmtId="37" fontId="8" fillId="0" borderId="22" xfId="0" applyFont="1" applyFill="1" applyBorder="1" applyAlignment="1">
      <alignment horizontal="center"/>
    </xf>
    <xf numFmtId="37" fontId="21" fillId="0" borderId="0" xfId="0" applyFont="1" applyFill="1" applyAlignment="1">
      <alignment horizontal="center"/>
    </xf>
    <xf numFmtId="37" fontId="21" fillId="0" borderId="0" xfId="0" quotePrefix="1" applyFont="1" applyFill="1"/>
    <xf numFmtId="37" fontId="5" fillId="0" borderId="0" xfId="0" applyFont="1" applyFill="1" applyAlignment="1">
      <alignment horizontal="centerContinuous"/>
    </xf>
    <xf numFmtId="37" fontId="55" fillId="0" borderId="0" xfId="0" applyFont="1" applyFill="1"/>
    <xf numFmtId="37" fontId="43" fillId="0" borderId="0" xfId="0" applyFont="1" applyFill="1" applyAlignment="1">
      <alignment horizontal="left"/>
    </xf>
    <xf numFmtId="37" fontId="8" fillId="0" borderId="2" xfId="0" applyFont="1" applyFill="1" applyBorder="1" applyAlignment="1" applyProtection="1">
      <alignment horizontal="left"/>
    </xf>
    <xf numFmtId="37" fontId="8" fillId="0" borderId="24" xfId="0" applyFont="1" applyFill="1" applyBorder="1" applyAlignment="1" applyProtection="1">
      <alignment horizontal="center"/>
      <protection locked="0"/>
    </xf>
    <xf numFmtId="185" fontId="21" fillId="0" borderId="0" xfId="0" applyNumberFormat="1" applyFont="1" applyFill="1"/>
    <xf numFmtId="0" fontId="27" fillId="0" borderId="0" xfId="6" applyFont="1" applyFill="1"/>
    <xf numFmtId="43" fontId="37" fillId="0" borderId="0" xfId="1" applyFont="1" applyFill="1"/>
    <xf numFmtId="37" fontId="37" fillId="0" borderId="0" xfId="0" applyFont="1" applyFill="1" applyAlignment="1">
      <alignment horizontal="center"/>
    </xf>
    <xf numFmtId="185" fontId="37" fillId="0" borderId="0" xfId="1" applyNumberFormat="1" applyFont="1" applyFill="1"/>
    <xf numFmtId="10" fontId="37" fillId="0" borderId="0" xfId="13" applyNumberFormat="1" applyFont="1" applyFill="1"/>
    <xf numFmtId="37" fontId="8" fillId="0" borderId="0" xfId="0" applyFont="1" applyFill="1" applyBorder="1" applyAlignment="1">
      <alignment horizontal="center"/>
    </xf>
    <xf numFmtId="5" fontId="28" fillId="0" borderId="0" xfId="1" applyNumberFormat="1" applyFont="1" applyFill="1" applyBorder="1"/>
    <xf numFmtId="183" fontId="21" fillId="0" borderId="0" xfId="0" applyNumberFormat="1" applyFont="1" applyFill="1" applyAlignment="1" applyProtection="1">
      <alignment horizontal="left"/>
      <protection locked="0"/>
    </xf>
    <xf numFmtId="0" fontId="21" fillId="0" borderId="0" xfId="0" quotePrefix="1" applyNumberFormat="1" applyFont="1" applyFill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0" fillId="0" borderId="0" xfId="0" applyNumberFormat="1" applyFill="1"/>
    <xf numFmtId="39" fontId="3" fillId="0" borderId="0" xfId="0" applyNumberFormat="1" applyFont="1" applyFill="1"/>
    <xf numFmtId="39" fontId="43" fillId="0" borderId="0" xfId="0" applyNumberFormat="1" applyFont="1" applyFill="1"/>
    <xf numFmtId="37" fontId="3" fillId="0" borderId="23" xfId="0" applyFont="1" applyFill="1" applyBorder="1" applyAlignment="1">
      <alignment horizontal="center"/>
    </xf>
    <xf numFmtId="37" fontId="3" fillId="0" borderId="7" xfId="0" applyFont="1" applyFill="1" applyBorder="1" applyAlignment="1">
      <alignment horizontal="center"/>
    </xf>
    <xf numFmtId="37" fontId="3" fillId="0" borderId="7" xfId="0" applyFont="1" applyFill="1" applyBorder="1" applyAlignment="1" applyProtection="1">
      <alignment horizontal="center"/>
      <protection locked="0"/>
    </xf>
    <xf numFmtId="37" fontId="0" fillId="0" borderId="7" xfId="0" applyFill="1" applyBorder="1" applyAlignment="1">
      <alignment horizontal="center"/>
    </xf>
    <xf numFmtId="37" fontId="3" fillId="0" borderId="26" xfId="0" applyFont="1" applyFill="1" applyBorder="1" applyAlignment="1">
      <alignment horizontal="center"/>
    </xf>
    <xf numFmtId="37" fontId="3" fillId="0" borderId="21" xfId="0" applyFont="1" applyFill="1" applyBorder="1" applyAlignment="1">
      <alignment horizontal="center"/>
    </xf>
    <xf numFmtId="37" fontId="3" fillId="0" borderId="5" xfId="0" applyFont="1" applyFill="1" applyBorder="1" applyAlignment="1" applyProtection="1">
      <alignment horizontal="center"/>
      <protection locked="0"/>
    </xf>
    <xf numFmtId="37" fontId="3" fillId="0" borderId="22" xfId="0" applyFont="1" applyFill="1" applyBorder="1" applyAlignment="1">
      <alignment horizontal="center"/>
    </xf>
    <xf numFmtId="37" fontId="47" fillId="0" borderId="0" xfId="0" applyFont="1" applyFill="1"/>
    <xf numFmtId="180" fontId="0" fillId="0" borderId="0" xfId="0" applyNumberFormat="1" applyFill="1"/>
    <xf numFmtId="183" fontId="3" fillId="0" borderId="0" xfId="0" applyNumberFormat="1" applyFont="1" applyFill="1" applyAlignment="1" applyProtection="1">
      <alignment horizontal="left"/>
      <protection locked="0"/>
    </xf>
    <xf numFmtId="5" fontId="3" fillId="0" borderId="10" xfId="0" applyNumberFormat="1" applyFont="1" applyFill="1" applyBorder="1"/>
    <xf numFmtId="5" fontId="3" fillId="0" borderId="0" xfId="0" applyNumberFormat="1" applyFont="1" applyFill="1" applyBorder="1"/>
    <xf numFmtId="37" fontId="0" fillId="0" borderId="0" xfId="0" applyFill="1" applyAlignment="1">
      <alignment horizontal="right"/>
    </xf>
    <xf numFmtId="37" fontId="44" fillId="0" borderId="0" xfId="0" applyFont="1" applyFill="1"/>
    <xf numFmtId="37" fontId="3" fillId="0" borderId="7" xfId="0" applyFont="1" applyFill="1" applyBorder="1" applyAlignment="1" applyProtection="1">
      <alignment horizontal="left"/>
      <protection locked="0"/>
    </xf>
    <xf numFmtId="37" fontId="3" fillId="0" borderId="24" xfId="0" applyFont="1" applyFill="1" applyBorder="1" applyAlignment="1" applyProtection="1">
      <alignment horizontal="center"/>
      <protection locked="0"/>
    </xf>
    <xf numFmtId="37" fontId="3" fillId="0" borderId="5" xfId="0" applyFont="1" applyFill="1" applyBorder="1" applyAlignment="1" applyProtection="1">
      <alignment horizontal="left"/>
      <protection locked="0"/>
    </xf>
    <xf numFmtId="10" fontId="3" fillId="0" borderId="5" xfId="13" applyNumberFormat="1" applyFont="1" applyFill="1" applyBorder="1"/>
    <xf numFmtId="170" fontId="3" fillId="0" borderId="0" xfId="13" applyNumberFormat="1" applyFont="1" applyFill="1"/>
    <xf numFmtId="174" fontId="3" fillId="0" borderId="0" xfId="13" applyNumberFormat="1" applyFont="1" applyFill="1"/>
    <xf numFmtId="0" fontId="3" fillId="0" borderId="0" xfId="0" quotePrefix="1" applyNumberFormat="1" applyFont="1" applyFill="1" applyAlignment="1">
      <alignment horizontal="center"/>
    </xf>
    <xf numFmtId="10" fontId="3" fillId="0" borderId="0" xfId="13" applyNumberFormat="1" applyFont="1" applyFill="1" applyBorder="1"/>
    <xf numFmtId="182" fontId="8" fillId="0" borderId="0" xfId="2" applyNumberFormat="1" applyFont="1" applyFill="1"/>
    <xf numFmtId="9" fontId="8" fillId="0" borderId="0" xfId="13" applyFont="1" applyFill="1"/>
    <xf numFmtId="170" fontId="8" fillId="0" borderId="0" xfId="13" applyNumberFormat="1" applyFont="1" applyFill="1"/>
    <xf numFmtId="37" fontId="3" fillId="0" borderId="0" xfId="0" applyFont="1" applyFill="1" applyAlignment="1" applyProtection="1">
      <alignment horizontal="left"/>
      <protection locked="0"/>
    </xf>
    <xf numFmtId="37" fontId="3" fillId="0" borderId="2" xfId="0" applyFont="1" applyFill="1" applyBorder="1" applyAlignment="1" applyProtection="1">
      <protection locked="0"/>
    </xf>
    <xf numFmtId="9" fontId="3" fillId="0" borderId="0" xfId="13" applyFont="1" applyFill="1"/>
    <xf numFmtId="9" fontId="43" fillId="0" borderId="0" xfId="13" applyFont="1" applyFill="1"/>
    <xf numFmtId="170" fontId="43" fillId="0" borderId="0" xfId="13" applyNumberFormat="1" applyFont="1" applyFill="1"/>
    <xf numFmtId="185" fontId="3" fillId="0" borderId="19" xfId="1" applyNumberFormat="1" applyFont="1" applyFill="1" applyBorder="1"/>
    <xf numFmtId="40" fontId="32" fillId="0" borderId="0" xfId="8" applyFont="1" applyFill="1" applyBorder="1" applyAlignment="1">
      <alignment horizontal="left"/>
    </xf>
    <xf numFmtId="37" fontId="4" fillId="0" borderId="0" xfId="0" applyFont="1" applyFill="1"/>
    <xf numFmtId="37" fontId="0" fillId="0" borderId="0" xfId="0" applyFont="1" applyFill="1" applyAlignment="1" applyProtection="1">
      <alignment horizontal="right"/>
    </xf>
    <xf numFmtId="37" fontId="0" fillId="0" borderId="5" xfId="0" applyFill="1" applyBorder="1"/>
    <xf numFmtId="37" fontId="0" fillId="0" borderId="0" xfId="0" applyFill="1" applyAlignment="1" applyProtection="1">
      <alignment horizontal="right"/>
    </xf>
    <xf numFmtId="37" fontId="0" fillId="0" borderId="3" xfId="0" applyFont="1" applyFill="1" applyBorder="1"/>
    <xf numFmtId="37" fontId="0" fillId="0" borderId="29" xfId="0" applyFont="1" applyFill="1" applyBorder="1"/>
    <xf numFmtId="37" fontId="4" fillId="0" borderId="19" xfId="0" applyFont="1" applyFill="1" applyBorder="1" applyAlignment="1" applyProtection="1">
      <alignment horizontal="center"/>
    </xf>
    <xf numFmtId="37" fontId="0" fillId="0" borderId="24" xfId="0" applyFont="1" applyFill="1" applyBorder="1"/>
    <xf numFmtId="37" fontId="0" fillId="0" borderId="5" xfId="0" applyFill="1" applyBorder="1" applyAlignment="1">
      <alignment horizontal="center"/>
    </xf>
    <xf numFmtId="37" fontId="0" fillId="0" borderId="2" xfId="0" applyFont="1" applyFill="1" applyBorder="1"/>
    <xf numFmtId="37" fontId="14" fillId="0" borderId="0" xfId="0" applyFont="1" applyFill="1" applyBorder="1" applyAlignment="1" applyProtection="1">
      <alignment horizontal="left"/>
    </xf>
    <xf numFmtId="37" fontId="23" fillId="0" borderId="0" xfId="0" applyFont="1" applyFill="1" applyBorder="1" applyProtection="1"/>
    <xf numFmtId="37" fontId="0" fillId="0" borderId="0" xfId="0" applyFont="1" applyFill="1" applyBorder="1" applyAlignment="1">
      <alignment horizontal="center"/>
    </xf>
    <xf numFmtId="37" fontId="0" fillId="0" borderId="0" xfId="0" applyFont="1" applyFill="1" applyBorder="1" applyAlignment="1">
      <alignment horizontal="left" indent="1"/>
    </xf>
    <xf numFmtId="37" fontId="62" fillId="0" borderId="0" xfId="0" applyFont="1" applyFill="1"/>
    <xf numFmtId="9" fontId="0" fillId="0" borderId="0" xfId="13" applyFont="1" applyFill="1" applyBorder="1" applyAlignment="1" applyProtection="1">
      <alignment horizontal="center"/>
    </xf>
    <xf numFmtId="185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10" fontId="0" fillId="0" borderId="0" xfId="13" applyNumberFormat="1" applyFont="1" applyFill="1" applyBorder="1" applyAlignment="1">
      <alignment horizontal="center"/>
    </xf>
    <xf numFmtId="37" fontId="14" fillId="0" borderId="0" xfId="0" applyFont="1" applyFill="1"/>
    <xf numFmtId="37" fontId="0" fillId="0" borderId="0" xfId="0" applyFont="1" applyFill="1" applyAlignment="1">
      <alignment horizontal="centerContinuous"/>
    </xf>
    <xf numFmtId="167" fontId="0" fillId="0" borderId="0" xfId="0" applyNumberFormat="1" applyFont="1" applyFill="1" applyAlignment="1" applyProtection="1">
      <alignment horizontal="centerContinuous"/>
    </xf>
    <xf numFmtId="168" fontId="0" fillId="0" borderId="0" xfId="0" applyNumberFormat="1" applyFont="1" applyFill="1" applyAlignment="1" applyProtection="1">
      <alignment horizontal="centerContinuous"/>
    </xf>
    <xf numFmtId="37" fontId="5" fillId="0" borderId="0" xfId="0" applyFont="1" applyFill="1" applyAlignment="1" applyProtection="1">
      <alignment horizontal="center"/>
      <protection locked="0"/>
    </xf>
    <xf numFmtId="37" fontId="0" fillId="0" borderId="2" xfId="0" applyFont="1" applyFill="1" applyBorder="1" applyAlignment="1" applyProtection="1">
      <alignment horizontal="left"/>
      <protection locked="0"/>
    </xf>
    <xf numFmtId="37" fontId="5" fillId="0" borderId="0" xfId="0" applyFont="1" applyFill="1" applyAlignment="1" applyProtection="1">
      <alignment horizontal="left"/>
      <protection locked="0"/>
    </xf>
    <xf numFmtId="169" fontId="0" fillId="0" borderId="0" xfId="0" applyNumberFormat="1" applyFont="1" applyFill="1" applyProtection="1"/>
    <xf numFmtId="37" fontId="0" fillId="0" borderId="0" xfId="0" applyFont="1" applyFill="1" applyAlignment="1">
      <alignment horizontal="right"/>
    </xf>
    <xf numFmtId="37" fontId="0" fillId="0" borderId="2" xfId="0" applyFont="1" applyFill="1" applyBorder="1" applyAlignment="1" applyProtection="1">
      <alignment horizontal="left"/>
    </xf>
    <xf numFmtId="37" fontId="0" fillId="0" borderId="5" xfId="0" applyFont="1" applyFill="1" applyBorder="1" applyAlignment="1" applyProtection="1">
      <alignment horizontal="right"/>
    </xf>
    <xf numFmtId="180" fontId="0" fillId="0" borderId="2" xfId="0" applyNumberFormat="1" applyFont="1" applyFill="1" applyBorder="1" applyAlignment="1" applyProtection="1">
      <alignment horizontal="center"/>
      <protection locked="0"/>
    </xf>
    <xf numFmtId="37" fontId="0" fillId="0" borderId="0" xfId="0" applyFont="1" applyFill="1" applyProtection="1"/>
    <xf numFmtId="37" fontId="35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5" xfId="0" applyFont="1" applyFill="1" applyBorder="1"/>
    <xf numFmtId="37" fontId="0" fillId="0" borderId="5" xfId="0" applyFont="1" applyFill="1" applyBorder="1" applyAlignment="1">
      <alignment horizontal="right"/>
    </xf>
    <xf numFmtId="37" fontId="0" fillId="0" borderId="20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Continuous"/>
    </xf>
    <xf numFmtId="189" fontId="0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189" fontId="0" fillId="0" borderId="5" xfId="0" applyNumberFormat="1" applyFont="1" applyFill="1" applyBorder="1"/>
    <xf numFmtId="180" fontId="0" fillId="0" borderId="2" xfId="0" applyNumberFormat="1" applyFont="1" applyFill="1" applyBorder="1"/>
    <xf numFmtId="49" fontId="0" fillId="0" borderId="2" xfId="0" applyNumberFormat="1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left"/>
    </xf>
    <xf numFmtId="37" fontId="12" fillId="0" borderId="5" xfId="0" applyFont="1" applyFill="1" applyBorder="1"/>
    <xf numFmtId="37" fontId="12" fillId="0" borderId="5" xfId="0" applyFont="1" applyFill="1" applyBorder="1" applyAlignment="1" applyProtection="1">
      <alignment horizontal="center"/>
    </xf>
    <xf numFmtId="37" fontId="13" fillId="0" borderId="5" xfId="0" applyFont="1" applyFill="1" applyBorder="1"/>
    <xf numFmtId="37" fontId="12" fillId="0" borderId="2" xfId="0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/>
    <xf numFmtId="14" fontId="12" fillId="0" borderId="5" xfId="0" applyNumberFormat="1" applyFont="1" applyFill="1" applyBorder="1" applyAlignment="1">
      <alignment horizontal="center"/>
    </xf>
    <xf numFmtId="189" fontId="12" fillId="0" borderId="5" xfId="0" applyNumberFormat="1" applyFont="1" applyFill="1" applyBorder="1"/>
    <xf numFmtId="49" fontId="12" fillId="0" borderId="2" xfId="0" applyNumberFormat="1" applyFont="1" applyFill="1" applyBorder="1" applyAlignment="1" applyProtection="1">
      <alignment horizontal="center"/>
    </xf>
    <xf numFmtId="37" fontId="3" fillId="0" borderId="0" xfId="0" applyFont="1" applyFill="1" applyAlignment="1" applyProtection="1">
      <alignment horizontal="right"/>
    </xf>
    <xf numFmtId="169" fontId="12" fillId="0" borderId="0" xfId="0" applyNumberFormat="1" applyFont="1" applyFill="1" applyProtection="1"/>
    <xf numFmtId="37" fontId="46" fillId="0" borderId="0" xfId="0" applyNumberFormat="1" applyFont="1" applyFill="1" applyProtection="1"/>
    <xf numFmtId="10" fontId="14" fillId="0" borderId="6" xfId="13" applyNumberFormat="1" applyFont="1" applyFill="1" applyBorder="1"/>
    <xf numFmtId="37" fontId="0" fillId="0" borderId="2" xfId="0" applyFont="1" applyFill="1" applyBorder="1" applyAlignment="1" applyProtection="1">
      <alignment horizontal="right"/>
    </xf>
    <xf numFmtId="37" fontId="0" fillId="0" borderId="0" xfId="0" applyFont="1" applyFill="1" applyBorder="1" applyAlignment="1" applyProtection="1">
      <alignment horizontal="right"/>
    </xf>
    <xf numFmtId="10" fontId="68" fillId="0" borderId="0" xfId="13" applyNumberFormat="1" applyFont="1" applyFill="1"/>
    <xf numFmtId="5" fontId="0" fillId="0" borderId="0" xfId="0" applyNumberFormat="1" applyFont="1" applyFill="1" applyProtection="1"/>
    <xf numFmtId="7" fontId="0" fillId="0" borderId="10" xfId="0" applyNumberFormat="1" applyFont="1" applyFill="1" applyBorder="1" applyProtection="1"/>
    <xf numFmtId="37" fontId="0" fillId="0" borderId="10" xfId="0" applyFont="1" applyFill="1" applyBorder="1"/>
    <xf numFmtId="37" fontId="5" fillId="0" borderId="0" xfId="0" applyFont="1" applyFill="1"/>
    <xf numFmtId="49" fontId="4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4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37" fontId="0" fillId="0" borderId="14" xfId="0" applyFont="1" applyFill="1" applyBorder="1"/>
    <xf numFmtId="37" fontId="0" fillId="0" borderId="15" xfId="0" applyFont="1" applyFill="1" applyBorder="1" applyAlignment="1" applyProtection="1">
      <alignment horizontal="center"/>
    </xf>
    <xf numFmtId="37" fontId="0" fillId="0" borderId="16" xfId="0" applyFont="1" applyFill="1" applyBorder="1" applyAlignment="1" applyProtection="1">
      <alignment horizontal="center"/>
    </xf>
    <xf numFmtId="37" fontId="0" fillId="0" borderId="17" xfId="0" applyFont="1" applyFill="1" applyBorder="1"/>
    <xf numFmtId="37" fontId="0" fillId="0" borderId="17" xfId="0" applyFont="1" applyFill="1" applyBorder="1" applyAlignment="1" applyProtection="1">
      <alignment horizontal="center"/>
    </xf>
    <xf numFmtId="37" fontId="0" fillId="0" borderId="18" xfId="0" applyFont="1" applyFill="1" applyBorder="1" applyAlignment="1" applyProtection="1">
      <alignment horizontal="center"/>
    </xf>
    <xf numFmtId="10" fontId="0" fillId="0" borderId="0" xfId="13" applyNumberFormat="1" applyFont="1" applyFill="1" applyProtection="1"/>
    <xf numFmtId="10" fontId="0" fillId="0" borderId="5" xfId="0" applyNumberFormat="1" applyFont="1" applyFill="1" applyBorder="1" applyProtection="1"/>
    <xf numFmtId="10" fontId="0" fillId="0" borderId="5" xfId="13" applyNumberFormat="1" applyFont="1" applyFill="1" applyBorder="1" applyProtection="1"/>
    <xf numFmtId="10" fontId="0" fillId="0" borderId="0" xfId="0" applyNumberFormat="1" applyFont="1" applyFill="1"/>
    <xf numFmtId="10" fontId="0" fillId="0" borderId="2" xfId="0" applyNumberFormat="1" applyFont="1" applyFill="1" applyBorder="1" applyProtection="1"/>
    <xf numFmtId="10" fontId="0" fillId="0" borderId="2" xfId="13" applyNumberFormat="1" applyFont="1" applyFill="1" applyBorder="1" applyProtection="1"/>
    <xf numFmtId="37" fontId="0" fillId="0" borderId="6" xfId="0" applyNumberFormat="1" applyFont="1" applyFill="1" applyBorder="1" applyProtection="1"/>
    <xf numFmtId="10" fontId="0" fillId="0" borderId="6" xfId="0" applyNumberFormat="1" applyFont="1" applyFill="1" applyBorder="1" applyProtection="1"/>
    <xf numFmtId="170" fontId="0" fillId="0" borderId="0" xfId="13" applyNumberFormat="1" applyFont="1" applyFill="1" applyProtection="1"/>
    <xf numFmtId="10" fontId="12" fillId="0" borderId="0" xfId="0" applyNumberFormat="1" applyFont="1" applyFill="1" applyProtection="1"/>
    <xf numFmtId="9" fontId="0" fillId="0" borderId="0" xfId="0" applyNumberFormat="1" applyFont="1" applyFill="1"/>
    <xf numFmtId="182" fontId="0" fillId="0" borderId="10" xfId="2" applyNumberFormat="1" applyFont="1" applyFill="1" applyBorder="1"/>
    <xf numFmtId="10" fontId="0" fillId="0" borderId="6" xfId="13" applyNumberFormat="1" applyFont="1" applyFill="1" applyBorder="1"/>
    <xf numFmtId="37" fontId="49" fillId="0" borderId="0" xfId="0" applyFont="1" applyFill="1"/>
    <xf numFmtId="167" fontId="3" fillId="0" borderId="0" xfId="0" applyNumberFormat="1" applyFont="1" applyFill="1" applyProtection="1"/>
    <xf numFmtId="168" fontId="3" fillId="0" borderId="0" xfId="0" applyNumberFormat="1" applyFont="1" applyFill="1" applyProtection="1"/>
    <xf numFmtId="37" fontId="3" fillId="0" borderId="5" xfId="0" applyFont="1" applyFill="1" applyBorder="1" applyAlignment="1" applyProtection="1">
      <alignment horizontal="right"/>
    </xf>
    <xf numFmtId="37" fontId="0" fillId="0" borderId="7" xfId="0" applyNumberFormat="1" applyFont="1" applyFill="1" applyBorder="1" applyProtection="1"/>
    <xf numFmtId="37" fontId="0" fillId="0" borderId="2" xfId="0" applyFont="1" applyFill="1" applyBorder="1" applyProtection="1"/>
    <xf numFmtId="37" fontId="0" fillId="0" borderId="5" xfId="0" applyNumberFormat="1" applyFont="1" applyFill="1" applyBorder="1" applyProtection="1">
      <protection locked="0"/>
    </xf>
    <xf numFmtId="37" fontId="0" fillId="0" borderId="2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Alignment="1" applyProtection="1">
      <alignment horizontal="right"/>
    </xf>
    <xf numFmtId="175" fontId="0" fillId="0" borderId="0" xfId="0" applyNumberFormat="1" applyFont="1" applyFill="1" applyProtection="1"/>
    <xf numFmtId="37" fontId="3" fillId="0" borderId="0" xfId="0" applyFont="1" applyFill="1" applyAlignment="1">
      <alignment horizontal="left" indent="1"/>
    </xf>
    <xf numFmtId="165" fontId="3" fillId="0" borderId="2" xfId="0" applyNumberFormat="1" applyFont="1" applyFill="1" applyBorder="1" applyProtection="1"/>
    <xf numFmtId="37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Protection="1"/>
    <xf numFmtId="37" fontId="0" fillId="0" borderId="0" xfId="0" applyFill="1" applyBorder="1" applyAlignment="1">
      <alignment horizontal="center"/>
    </xf>
    <xf numFmtId="37" fontId="3" fillId="0" borderId="0" xfId="0" applyFont="1" applyFill="1" applyBorder="1" applyAlignment="1" applyProtection="1">
      <alignment horizontal="left"/>
    </xf>
    <xf numFmtId="37" fontId="3" fillId="0" borderId="0" xfId="0" applyFont="1" applyFill="1" applyBorder="1" applyAlignment="1" applyProtection="1">
      <alignment horizontal="right"/>
    </xf>
    <xf numFmtId="37" fontId="3" fillId="0" borderId="23" xfId="0" applyFont="1" applyFill="1" applyBorder="1" applyAlignment="1" applyProtection="1">
      <alignment horizontal="left"/>
    </xf>
    <xf numFmtId="37" fontId="3" fillId="0" borderId="7" xfId="0" applyFont="1" applyFill="1" applyBorder="1" applyAlignment="1" applyProtection="1">
      <alignment horizontal="center"/>
    </xf>
    <xf numFmtId="37" fontId="3" fillId="0" borderId="9" xfId="0" applyFont="1" applyFill="1" applyBorder="1" applyAlignment="1" applyProtection="1">
      <alignment horizontal="left"/>
    </xf>
    <xf numFmtId="37" fontId="0" fillId="0" borderId="9" xfId="0" applyFill="1" applyBorder="1"/>
    <xf numFmtId="37" fontId="3" fillId="0" borderId="8" xfId="0" applyFont="1" applyFill="1" applyBorder="1" applyAlignment="1" applyProtection="1">
      <alignment horizontal="left"/>
    </xf>
    <xf numFmtId="37" fontId="3" fillId="0" borderId="1" xfId="0" applyFont="1" applyFill="1" applyBorder="1" applyAlignment="1" applyProtection="1">
      <alignment horizontal="left"/>
    </xf>
    <xf numFmtId="37" fontId="3" fillId="0" borderId="8" xfId="0" applyFont="1" applyFill="1" applyBorder="1"/>
    <xf numFmtId="37" fontId="14" fillId="0" borderId="8" xfId="0" applyFont="1" applyFill="1" applyBorder="1" applyAlignment="1" applyProtection="1">
      <alignment horizontal="center"/>
    </xf>
    <xf numFmtId="37" fontId="3" fillId="0" borderId="21" xfId="0" applyFont="1" applyFill="1" applyBorder="1" applyAlignment="1" applyProtection="1">
      <alignment horizontal="center"/>
    </xf>
    <xf numFmtId="37" fontId="3" fillId="0" borderId="25" xfId="0" applyFont="1" applyFill="1" applyBorder="1" applyAlignment="1" applyProtection="1">
      <alignment horizontal="center"/>
    </xf>
    <xf numFmtId="0" fontId="0" fillId="0" borderId="0" xfId="0" applyNumberFormat="1" applyFill="1"/>
    <xf numFmtId="44" fontId="3" fillId="0" borderId="0" xfId="2" applyFont="1" applyFill="1"/>
    <xf numFmtId="43" fontId="3" fillId="0" borderId="0" xfId="1" applyFont="1" applyFill="1" applyAlignment="1" applyProtection="1">
      <alignment horizontal="left"/>
    </xf>
    <xf numFmtId="182" fontId="3" fillId="0" borderId="0" xfId="13" applyNumberFormat="1" applyFont="1" applyFill="1" applyAlignment="1">
      <alignment horizontal="center"/>
    </xf>
    <xf numFmtId="185" fontId="3" fillId="0" borderId="5" xfId="1" applyNumberFormat="1" applyFont="1" applyFill="1" applyBorder="1"/>
    <xf numFmtId="43" fontId="14" fillId="0" borderId="0" xfId="1" applyFont="1" applyFill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/>
    </xf>
    <xf numFmtId="185" fontId="0" fillId="0" borderId="5" xfId="1" applyNumberFormat="1" applyFont="1" applyFill="1" applyBorder="1"/>
    <xf numFmtId="0" fontId="8" fillId="0" borderId="0" xfId="1" applyNumberFormat="1" applyFont="1" applyFill="1" applyAlignment="1" applyProtection="1">
      <alignment horizontal="right"/>
    </xf>
    <xf numFmtId="43" fontId="8" fillId="0" borderId="0" xfId="1" applyFont="1" applyFill="1" applyAlignment="1" applyProtection="1">
      <alignment horizontal="left"/>
    </xf>
    <xf numFmtId="37" fontId="0" fillId="0" borderId="6" xfId="0" applyFill="1" applyBorder="1"/>
    <xf numFmtId="37" fontId="3" fillId="0" borderId="9" xfId="0" applyFont="1" applyFill="1" applyBorder="1"/>
    <xf numFmtId="37" fontId="3" fillId="0" borderId="1" xfId="0" applyFont="1" applyFill="1" applyBorder="1"/>
    <xf numFmtId="182" fontId="0" fillId="0" borderId="0" xfId="13" applyNumberFormat="1" applyFont="1" applyFill="1" applyAlignment="1">
      <alignment horizontal="center"/>
    </xf>
    <xf numFmtId="185" fontId="0" fillId="0" borderId="0" xfId="1" applyNumberFormat="1" applyFont="1" applyFill="1" applyBorder="1"/>
    <xf numFmtId="37" fontId="0" fillId="0" borderId="0" xfId="0" applyFill="1" applyAlignment="1">
      <alignment horizontal="left"/>
    </xf>
    <xf numFmtId="37" fontId="14" fillId="0" borderId="8" xfId="0" applyFont="1" applyFill="1" applyBorder="1" applyAlignment="1">
      <alignment horizontal="center"/>
    </xf>
    <xf numFmtId="37" fontId="14" fillId="0" borderId="21" xfId="0" applyFont="1" applyFill="1" applyBorder="1" applyAlignment="1" applyProtection="1">
      <alignment horizontal="center"/>
    </xf>
    <xf numFmtId="185" fontId="3" fillId="0" borderId="7" xfId="1" applyNumberFormat="1" applyFont="1" applyFill="1" applyBorder="1"/>
    <xf numFmtId="0" fontId="3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>
      <alignment horizontal="center"/>
    </xf>
    <xf numFmtId="187" fontId="3" fillId="0" borderId="0" xfId="1" applyNumberFormat="1" applyFont="1" applyFill="1" applyBorder="1"/>
    <xf numFmtId="185" fontId="0" fillId="0" borderId="7" xfId="1" applyNumberFormat="1" applyFont="1" applyFill="1" applyBorder="1"/>
    <xf numFmtId="37" fontId="0" fillId="0" borderId="19" xfId="0" applyFill="1" applyBorder="1"/>
    <xf numFmtId="37" fontId="3" fillId="0" borderId="2" xfId="0" applyFont="1" applyFill="1" applyBorder="1" applyAlignment="1">
      <alignment horizontal="center"/>
    </xf>
    <xf numFmtId="14" fontId="3" fillId="0" borderId="5" xfId="0" applyNumberFormat="1" applyFont="1" applyFill="1" applyBorder="1" applyAlignment="1" applyProtection="1">
      <alignment horizontal="center"/>
    </xf>
    <xf numFmtId="10" fontId="0" fillId="0" borderId="0" xfId="13" quotePrefix="1" applyNumberFormat="1" applyFont="1" applyFill="1" applyAlignment="1">
      <alignment horizontal="center"/>
    </xf>
    <xf numFmtId="182" fontId="3" fillId="0" borderId="0" xfId="2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37" fontId="12" fillId="0" borderId="0" xfId="0" applyFont="1" applyFill="1" applyAlignment="1" applyProtection="1">
      <alignment horizontal="left" indent="2"/>
    </xf>
    <xf numFmtId="182" fontId="0" fillId="0" borderId="0" xfId="2" applyNumberFormat="1" applyFont="1" applyFill="1" applyAlignment="1">
      <alignment horizontal="right"/>
    </xf>
    <xf numFmtId="182" fontId="3" fillId="0" borderId="0" xfId="2" applyNumberFormat="1" applyFont="1" applyFill="1" applyBorder="1" applyAlignment="1">
      <alignment horizontal="right"/>
    </xf>
    <xf numFmtId="180" fontId="3" fillId="0" borderId="0" xfId="0" quotePrefix="1" applyNumberFormat="1" applyFont="1" applyFill="1" applyAlignment="1" applyProtection="1">
      <alignment horizontal="center"/>
    </xf>
    <xf numFmtId="190" fontId="3" fillId="0" borderId="0" xfId="0" applyNumberFormat="1" applyFont="1" applyFill="1"/>
    <xf numFmtId="10" fontId="3" fillId="0" borderId="0" xfId="0" applyNumberFormat="1" applyFont="1" applyFill="1"/>
    <xf numFmtId="167" fontId="12" fillId="0" borderId="0" xfId="0" applyNumberFormat="1" applyFont="1" applyAlignment="1" applyProtection="1">
      <alignment horizontal="centerContinuous"/>
    </xf>
    <xf numFmtId="168" fontId="12" fillId="0" borderId="0" xfId="0" applyNumberFormat="1" applyFont="1" applyAlignment="1" applyProtection="1">
      <alignment horizontal="centerContinuous"/>
    </xf>
    <xf numFmtId="37" fontId="12" fillId="0" borderId="0" xfId="0" applyFont="1" applyBorder="1" applyAlignment="1">
      <alignment horizontal="right"/>
    </xf>
    <xf numFmtId="37" fontId="12" fillId="0" borderId="2" xfId="0" applyFont="1" applyFill="1" applyBorder="1" applyAlignment="1">
      <alignment horizontal="right"/>
    </xf>
    <xf numFmtId="37" fontId="12" fillId="0" borderId="3" xfId="0" applyFont="1" applyBorder="1" applyAlignment="1" applyProtection="1">
      <alignment horizontal="center"/>
    </xf>
    <xf numFmtId="37" fontId="12" fillId="0" borderId="3" xfId="0" applyFont="1" applyBorder="1"/>
    <xf numFmtId="37" fontId="12" fillId="0" borderId="3" xfId="0" applyFont="1" applyBorder="1" applyProtection="1">
      <protection locked="0"/>
    </xf>
    <xf numFmtId="37" fontId="12" fillId="0" borderId="3" xfId="0" applyFont="1" applyFill="1" applyBorder="1" applyAlignment="1" applyProtection="1">
      <alignment horizontal="center"/>
    </xf>
    <xf numFmtId="37" fontId="12" fillId="0" borderId="3" xfId="0" applyFont="1" applyFill="1" applyBorder="1" applyProtection="1">
      <protection locked="0"/>
    </xf>
    <xf numFmtId="37" fontId="12" fillId="0" borderId="2" xfId="0" applyFont="1" applyBorder="1" applyAlignment="1" applyProtection="1">
      <alignment horizontal="center"/>
    </xf>
    <xf numFmtId="37" fontId="12" fillId="0" borderId="3" xfId="0" applyFont="1" applyFill="1" applyBorder="1"/>
    <xf numFmtId="0" fontId="12" fillId="0" borderId="0" xfId="0" applyNumberFormat="1" applyFont="1" applyAlignment="1" applyProtection="1">
      <alignment horizontal="left"/>
      <protection locked="0"/>
    </xf>
    <xf numFmtId="37" fontId="12" fillId="0" borderId="0" xfId="0" applyNumberFormat="1" applyFont="1" applyFill="1" applyProtection="1"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37" fontId="12" fillId="0" borderId="0" xfId="0" applyFont="1" applyFill="1" applyAlignment="1" applyProtection="1">
      <alignment horizontal="left"/>
      <protection locked="0"/>
    </xf>
    <xf numFmtId="0" fontId="12" fillId="0" borderId="0" xfId="0" quotePrefix="1" applyNumberFormat="1" applyFont="1" applyAlignment="1" applyProtection="1">
      <alignment horizontal="left"/>
      <protection locked="0"/>
    </xf>
    <xf numFmtId="37" fontId="12" fillId="0" borderId="0" xfId="0" applyFont="1" applyFill="1" applyProtection="1">
      <protection locked="0"/>
    </xf>
    <xf numFmtId="172" fontId="12" fillId="0" borderId="0" xfId="0" applyNumberFormat="1" applyFont="1" applyFill="1" applyProtection="1"/>
    <xf numFmtId="172" fontId="12" fillId="0" borderId="0" xfId="0" applyNumberFormat="1" applyFont="1" applyFill="1" applyProtection="1">
      <protection locked="0"/>
    </xf>
    <xf numFmtId="37" fontId="12" fillId="0" borderId="2" xfId="0" applyNumberFormat="1" applyFont="1" applyFill="1" applyBorder="1" applyProtection="1">
      <protection locked="0"/>
    </xf>
    <xf numFmtId="37" fontId="15" fillId="0" borderId="0" xfId="0" applyNumberFormat="1" applyFont="1" applyFill="1" applyProtection="1">
      <protection locked="0"/>
    </xf>
    <xf numFmtId="10" fontId="12" fillId="0" borderId="0" xfId="0" applyNumberFormat="1" applyFont="1" applyFill="1" applyProtection="1">
      <protection locked="0"/>
    </xf>
    <xf numFmtId="37" fontId="15" fillId="0" borderId="0" xfId="0" applyFont="1" applyFill="1"/>
    <xf numFmtId="37" fontId="12" fillId="0" borderId="0" xfId="0" applyNumberFormat="1" applyFont="1" applyProtection="1">
      <protection locked="0"/>
    </xf>
    <xf numFmtId="37" fontId="15" fillId="0" borderId="0" xfId="0" applyNumberFormat="1" applyFont="1" applyProtection="1"/>
    <xf numFmtId="172" fontId="12" fillId="0" borderId="0" xfId="0" applyNumberFormat="1" applyFont="1" applyProtection="1">
      <protection locked="0"/>
    </xf>
    <xf numFmtId="37" fontId="4" fillId="0" borderId="0" xfId="0" applyFont="1" applyFill="1" applyAlignment="1" applyProtection="1">
      <alignment horizontal="center"/>
    </xf>
    <xf numFmtId="37" fontId="14" fillId="0" borderId="5" xfId="0" applyFont="1" applyFill="1" applyBorder="1" applyAlignment="1" applyProtection="1">
      <alignment horizontal="left"/>
    </xf>
    <xf numFmtId="37" fontId="6" fillId="0" borderId="0" xfId="0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1"/>
    </xf>
    <xf numFmtId="9" fontId="0" fillId="0" borderId="0" xfId="13" quotePrefix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/>
    </xf>
    <xf numFmtId="37" fontId="12" fillId="0" borderId="0" xfId="0" applyFont="1" applyFill="1" applyBorder="1" applyAlignment="1" applyProtection="1">
      <alignment horizontal="left" indent="2"/>
    </xf>
    <xf numFmtId="10" fontId="3" fillId="0" borderId="0" xfId="13" applyNumberFormat="1" applyFont="1" applyFill="1" applyAlignment="1" applyProtection="1">
      <alignment horizontal="center"/>
    </xf>
    <xf numFmtId="37" fontId="0" fillId="0" borderId="0" xfId="0" applyFont="1" applyFill="1" applyAlignment="1" applyProtection="1">
      <alignment horizontal="left" indent="2"/>
    </xf>
    <xf numFmtId="37" fontId="0" fillId="0" borderId="0" xfId="0" applyFill="1" applyAlignment="1" applyProtection="1">
      <alignment horizontal="center"/>
    </xf>
    <xf numFmtId="37" fontId="4" fillId="0" borderId="0" xfId="0" applyFont="1" applyFill="1" applyBorder="1" applyAlignment="1" applyProtection="1">
      <alignment horizontal="center"/>
    </xf>
    <xf numFmtId="37" fontId="14" fillId="0" borderId="0" xfId="0" applyFont="1" applyFill="1" applyAlignment="1" applyProtection="1">
      <alignment horizontal="left" indent="1"/>
    </xf>
    <xf numFmtId="37" fontId="12" fillId="0" borderId="0" xfId="0" applyFont="1" applyFill="1" applyAlignment="1" applyProtection="1">
      <alignment horizontal="left" indent="3"/>
    </xf>
    <xf numFmtId="37" fontId="12" fillId="0" borderId="0" xfId="0" applyFont="1" applyFill="1" applyAlignment="1">
      <alignment horizontal="left" indent="1"/>
    </xf>
    <xf numFmtId="37" fontId="9" fillId="0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182" fontId="0" fillId="0" borderId="0" xfId="2" applyNumberFormat="1" applyFont="1" applyFill="1" applyBorder="1" applyAlignment="1" applyProtection="1">
      <alignment horizontal="center"/>
    </xf>
    <xf numFmtId="185" fontId="0" fillId="0" borderId="5" xfId="1" applyNumberFormat="1" applyFont="1" applyFill="1" applyBorder="1" applyAlignment="1" applyProtection="1">
      <alignment horizontal="center"/>
    </xf>
    <xf numFmtId="182" fontId="0" fillId="0" borderId="7" xfId="2" applyNumberFormat="1" applyFont="1" applyFill="1" applyBorder="1" applyAlignment="1" applyProtection="1">
      <alignment horizontal="center"/>
    </xf>
    <xf numFmtId="185" fontId="0" fillId="0" borderId="0" xfId="1" applyNumberFormat="1" applyFont="1" applyFill="1" applyBorder="1" applyAlignment="1">
      <alignment horizontal="center"/>
    </xf>
    <xf numFmtId="10" fontId="3" fillId="0" borderId="0" xfId="13" applyNumberFormat="1" applyFont="1" applyFill="1" applyBorder="1" applyAlignment="1" applyProtection="1">
      <alignment horizontal="center"/>
    </xf>
    <xf numFmtId="182" fontId="3" fillId="0" borderId="0" xfId="2" applyNumberFormat="1" applyFont="1" applyFill="1" applyBorder="1" applyAlignment="1" applyProtection="1">
      <alignment horizontal="center"/>
    </xf>
    <xf numFmtId="185" fontId="3" fillId="0" borderId="5" xfId="1" applyNumberFormat="1" applyFont="1" applyFill="1" applyBorder="1" applyAlignment="1" applyProtection="1">
      <alignment horizontal="center"/>
    </xf>
    <xf numFmtId="10" fontId="0" fillId="0" borderId="0" xfId="13" applyNumberFormat="1" applyFont="1" applyFill="1" applyBorder="1" applyAlignment="1" applyProtection="1">
      <alignment horizontal="center"/>
    </xf>
    <xf numFmtId="10" fontId="6" fillId="0" borderId="0" xfId="0" applyNumberFormat="1" applyFont="1" applyFill="1" applyBorder="1" applyProtection="1"/>
    <xf numFmtId="10" fontId="0" fillId="0" borderId="0" xfId="0" applyNumberFormat="1" applyFont="1" applyFill="1" applyBorder="1"/>
    <xf numFmtId="185" fontId="0" fillId="0" borderId="5" xfId="1" applyNumberFormat="1" applyFont="1" applyFill="1" applyBorder="1" applyAlignment="1">
      <alignment horizontal="center"/>
    </xf>
    <xf numFmtId="10" fontId="0" fillId="0" borderId="0" xfId="0" applyNumberFormat="1" applyFill="1"/>
    <xf numFmtId="43" fontId="0" fillId="0" borderId="5" xfId="1" applyFont="1" applyFill="1" applyBorder="1"/>
    <xf numFmtId="37" fontId="0" fillId="0" borderId="4" xfId="0" applyFont="1" applyFill="1" applyBorder="1"/>
    <xf numFmtId="37" fontId="4" fillId="0" borderId="4" xfId="0" applyFont="1" applyFill="1" applyBorder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8" fillId="0" borderId="0" xfId="0" applyFont="1" applyFill="1"/>
    <xf numFmtId="37" fontId="12" fillId="0" borderId="0" xfId="0" applyFont="1" applyFill="1" applyAlignment="1"/>
    <xf numFmtId="37" fontId="14" fillId="0" borderId="0" xfId="0" applyFont="1" applyFill="1" applyAlignment="1"/>
    <xf numFmtId="185" fontId="3" fillId="0" borderId="5" xfId="1" applyNumberFormat="1" applyFont="1" applyFill="1" applyBorder="1" applyAlignment="1">
      <alignment horizontal="center"/>
    </xf>
    <xf numFmtId="37" fontId="12" fillId="0" borderId="5" xfId="0" applyFont="1" applyBorder="1" applyAlignment="1" applyProtection="1">
      <alignment horizontal="right"/>
    </xf>
    <xf numFmtId="37" fontId="12" fillId="0" borderId="5" xfId="0" applyFont="1" applyBorder="1" applyAlignment="1">
      <alignment horizontal="center"/>
    </xf>
    <xf numFmtId="37" fontId="69" fillId="0" borderId="0" xfId="0" applyFont="1"/>
    <xf numFmtId="37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3" fontId="12" fillId="0" borderId="0" xfId="0" applyNumberFormat="1" applyFont="1" applyAlignment="1">
      <alignment horizontal="right"/>
    </xf>
    <xf numFmtId="3" fontId="12" fillId="0" borderId="7" xfId="0" applyNumberFormat="1" applyFont="1" applyBorder="1"/>
    <xf numFmtId="10" fontId="12" fillId="0" borderId="0" xfId="13" applyNumberFormat="1" applyFont="1" applyAlignment="1">
      <alignment horizontal="right"/>
    </xf>
    <xf numFmtId="3" fontId="12" fillId="0" borderId="10" xfId="0" applyNumberFormat="1" applyFont="1" applyBorder="1"/>
    <xf numFmtId="37" fontId="0" fillId="0" borderId="0" xfId="0" applyAlignment="1">
      <alignment horizontal="center"/>
    </xf>
    <xf numFmtId="37" fontId="0" fillId="0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37" fontId="14" fillId="0" borderId="0" xfId="0" applyFont="1" applyFill="1" applyAlignment="1">
      <alignment horizontal="center"/>
    </xf>
    <xf numFmtId="37" fontId="4" fillId="0" borderId="0" xfId="0" applyFont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14" fillId="0" borderId="0" xfId="0" applyFont="1" applyFill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37" fontId="12" fillId="0" borderId="23" xfId="0" applyFont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12" fillId="0" borderId="9" xfId="0" applyFont="1" applyBorder="1" applyAlignment="1">
      <alignment horizontal="center"/>
    </xf>
    <xf numFmtId="37" fontId="12" fillId="0" borderId="23" xfId="0" applyFont="1" applyBorder="1" applyAlignment="1" applyProtection="1">
      <alignment horizontal="center"/>
    </xf>
    <xf numFmtId="37" fontId="12" fillId="0" borderId="7" xfId="0" applyFont="1" applyBorder="1" applyAlignment="1" applyProtection="1">
      <alignment horizontal="center"/>
    </xf>
    <xf numFmtId="37" fontId="12" fillId="0" borderId="9" xfId="0" applyFont="1" applyBorder="1" applyAlignment="1" applyProtection="1">
      <alignment horizontal="center"/>
    </xf>
    <xf numFmtId="37" fontId="12" fillId="0" borderId="0" xfId="0" applyFont="1" applyFill="1" applyAlignment="1" applyProtection="1">
      <alignment horizontal="center"/>
    </xf>
    <xf numFmtId="37" fontId="3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2" fillId="0" borderId="0" xfId="0" applyFont="1" applyFill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center"/>
      <protection locked="0"/>
    </xf>
    <xf numFmtId="37" fontId="14" fillId="0" borderId="0" xfId="0" applyFont="1" applyAlignment="1">
      <alignment horizontal="center"/>
    </xf>
    <xf numFmtId="37" fontId="14" fillId="0" borderId="0" xfId="5" applyFont="1" applyFill="1" applyAlignment="1">
      <alignment horizontal="center"/>
    </xf>
    <xf numFmtId="37" fontId="4" fillId="0" borderId="0" xfId="0" applyFont="1" applyFill="1" applyAlignment="1">
      <alignment horizontal="center"/>
    </xf>
    <xf numFmtId="37" fontId="4" fillId="0" borderId="29" xfId="0" applyFont="1" applyFill="1" applyBorder="1" applyAlignment="1" applyProtection="1">
      <alignment horizontal="center"/>
    </xf>
    <xf numFmtId="37" fontId="4" fillId="0" borderId="19" xfId="0" applyFont="1" applyFill="1" applyBorder="1" applyAlignment="1" applyProtection="1">
      <alignment horizontal="center"/>
    </xf>
    <xf numFmtId="37" fontId="4" fillId="0" borderId="24" xfId="0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5" fillId="0" borderId="0" xfId="0" applyFont="1" applyFill="1" applyAlignment="1" applyProtection="1">
      <alignment horizontal="center"/>
    </xf>
    <xf numFmtId="37" fontId="12" fillId="0" borderId="5" xfId="0" applyFont="1" applyFill="1" applyBorder="1" applyAlignment="1" applyProtection="1">
      <alignment horizontal="center"/>
    </xf>
    <xf numFmtId="37" fontId="12" fillId="0" borderId="0" xfId="0" applyFont="1" applyFill="1" applyAlignment="1">
      <alignment horizontal="center"/>
    </xf>
  </cellXfs>
  <cellStyles count="32">
    <cellStyle name="Comma" xfId="1" builtinId="3"/>
    <cellStyle name="Comma [0] 2" xfId="19"/>
    <cellStyle name="Comma 2" xfId="18"/>
    <cellStyle name="Comma 3" xfId="22"/>
    <cellStyle name="Comma 4" xfId="25"/>
    <cellStyle name="Currency" xfId="2" builtinId="4"/>
    <cellStyle name="Currency [0] 2" xfId="17"/>
    <cellStyle name="Currency 2" xfId="16"/>
    <cellStyle name="Currency 3" xfId="21"/>
    <cellStyle name="Currency 4" xfId="26"/>
    <cellStyle name="Hyperlink" xfId="3" builtinId="8"/>
    <cellStyle name="Normal" xfId="0" builtinId="0"/>
    <cellStyle name="Normal - Style1" xfId="4"/>
    <cellStyle name="Normal 2" xfId="14"/>
    <cellStyle name="Normal 2 2" xfId="28"/>
    <cellStyle name="Normal 3" xfId="20"/>
    <cellStyle name="Normal 3 2" xfId="30"/>
    <cellStyle name="Normal 4" xfId="23"/>
    <cellStyle name="Normal 5" xfId="24"/>
    <cellStyle name="Normal 6" xfId="29"/>
    <cellStyle name="Normal_Book1 (2) (3)" xfId="5"/>
    <cellStyle name="Normal_C.2.2 B" xfId="6"/>
    <cellStyle name="Normal_F.1" xfId="7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  <cellStyle name="Percent 2" xfId="15"/>
    <cellStyle name="Percent 3" xfId="27"/>
    <cellStyle name="Percent 7" xfId="31"/>
  </cellStyles>
  <dxfs count="0"/>
  <tableStyles count="0" defaultTableStyle="TableStyleMedium2" defaultPivotStyle="PivotStyleLight16"/>
  <colors>
    <mruColors>
      <color rgb="FFCCFFCC"/>
      <color rgb="FFFFFFCC"/>
      <color rgb="FF0000FF"/>
      <color rgb="FFFF99FF"/>
      <color rgb="FF66FFFF"/>
      <color rgb="FFCC99FF"/>
      <color rgb="FFCCFFFF"/>
      <color rgb="FF99CC00"/>
      <color rgb="FFFF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0"/>
  <sheetViews>
    <sheetView workbookViewId="0">
      <selection activeCell="C23" sqref="C23"/>
    </sheetView>
  </sheetViews>
  <sheetFormatPr defaultRowHeight="15"/>
  <cols>
    <col min="1" max="1" width="12.33203125" customWidth="1"/>
    <col min="2" max="2" width="40.33203125" customWidth="1"/>
    <col min="3" max="3" width="17.21875" customWidth="1"/>
    <col min="7" max="7" width="11" bestFit="1" customWidth="1"/>
  </cols>
  <sheetData>
    <row r="1" spans="1:3">
      <c r="A1" s="1157" t="s">
        <v>350</v>
      </c>
      <c r="B1" s="1157"/>
      <c r="C1" s="1157"/>
    </row>
    <row r="2" spans="1:3">
      <c r="A2" s="1158" t="s">
        <v>1685</v>
      </c>
      <c r="B2" s="1158"/>
      <c r="C2" s="1158"/>
    </row>
    <row r="3" spans="1:3">
      <c r="A3" s="1159" t="s">
        <v>1532</v>
      </c>
      <c r="B3" s="1159"/>
      <c r="C3" s="1159"/>
    </row>
    <row r="4" spans="1:3">
      <c r="A4" s="1159" t="s">
        <v>1531</v>
      </c>
      <c r="B4" s="1159"/>
      <c r="C4" s="1159"/>
    </row>
    <row r="5" spans="1:3">
      <c r="A5" s="302"/>
      <c r="B5" s="302"/>
      <c r="C5" s="302"/>
    </row>
    <row r="6" spans="1:3">
      <c r="A6" s="302"/>
      <c r="B6" s="302"/>
      <c r="C6" s="302"/>
    </row>
    <row r="8" spans="1:3">
      <c r="A8" s="58" t="s">
        <v>59</v>
      </c>
      <c r="B8" s="58" t="s">
        <v>993</v>
      </c>
      <c r="C8" s="58" t="s">
        <v>692</v>
      </c>
    </row>
    <row r="10" spans="1:3">
      <c r="A10" s="53" t="s">
        <v>171</v>
      </c>
      <c r="B10" s="305" t="s">
        <v>820</v>
      </c>
      <c r="C10" s="171" t="s">
        <v>1431</v>
      </c>
    </row>
    <row r="11" spans="1:3">
      <c r="A11" s="53" t="s">
        <v>821</v>
      </c>
      <c r="B11" s="305" t="s">
        <v>272</v>
      </c>
      <c r="C11" s="171" t="s">
        <v>1432</v>
      </c>
    </row>
    <row r="12" spans="1:3">
      <c r="A12" s="53" t="s">
        <v>822</v>
      </c>
      <c r="B12" s="305" t="s">
        <v>823</v>
      </c>
      <c r="C12" s="171" t="s">
        <v>1433</v>
      </c>
    </row>
    <row r="13" spans="1:3">
      <c r="A13" s="53" t="s">
        <v>824</v>
      </c>
      <c r="B13" s="305" t="s">
        <v>825</v>
      </c>
      <c r="C13" s="171" t="s">
        <v>1434</v>
      </c>
    </row>
    <row r="14" spans="1:3">
      <c r="A14" s="53" t="s">
        <v>835</v>
      </c>
      <c r="B14" s="305" t="s">
        <v>468</v>
      </c>
      <c r="C14" s="171" t="s">
        <v>1435</v>
      </c>
    </row>
    <row r="15" spans="1:3">
      <c r="A15" s="53" t="s">
        <v>826</v>
      </c>
      <c r="B15" s="305" t="s">
        <v>827</v>
      </c>
      <c r="C15" s="171" t="s">
        <v>1436</v>
      </c>
    </row>
    <row r="16" spans="1:3">
      <c r="A16" s="53" t="s">
        <v>828</v>
      </c>
      <c r="B16" s="305" t="s">
        <v>829</v>
      </c>
      <c r="C16" s="171" t="s">
        <v>1437</v>
      </c>
    </row>
    <row r="17" spans="1:3">
      <c r="A17" s="53" t="s">
        <v>379</v>
      </c>
      <c r="B17" s="305" t="s">
        <v>127</v>
      </c>
      <c r="C17" s="171" t="s">
        <v>1438</v>
      </c>
    </row>
    <row r="18" spans="1:3">
      <c r="A18" s="53" t="s">
        <v>830</v>
      </c>
      <c r="B18" s="305" t="s">
        <v>831</v>
      </c>
      <c r="C18" s="171" t="s">
        <v>1439</v>
      </c>
    </row>
    <row r="19" spans="1:3">
      <c r="A19" s="53" t="s">
        <v>832</v>
      </c>
      <c r="B19" s="305" t="s">
        <v>833</v>
      </c>
      <c r="C19" s="171" t="s">
        <v>1440</v>
      </c>
    </row>
    <row r="20" spans="1:3">
      <c r="A20" s="53" t="s">
        <v>834</v>
      </c>
      <c r="B20" s="305" t="s">
        <v>25</v>
      </c>
      <c r="C20" s="171" t="s">
        <v>1441</v>
      </c>
    </row>
  </sheetData>
  <mergeCells count="4">
    <mergeCell ref="A1:C1"/>
    <mergeCell ref="A2:C2"/>
    <mergeCell ref="A3:C3"/>
    <mergeCell ref="A4:C4"/>
  </mergeCells>
  <phoneticPr fontId="22" type="noConversion"/>
  <hyperlinks>
    <hyperlink ref="B10" location="'Cover A'!A1" display="Summary"/>
    <hyperlink ref="B11" location="'Cover B'!A1" display="Rate Base"/>
    <hyperlink ref="B12" location="'Cover C'!A1" display="Operating Income (Revenues &amp; Expenses)"/>
    <hyperlink ref="B13" location="'Cover D'!A1" display="Adjustments to Operating Income by Account"/>
    <hyperlink ref="B14" location="'Cover E'!A1" display="Income Tax Calculation"/>
    <hyperlink ref="B15" location="'Cover F'!A1" display="Rule F Compliance Adjustments"/>
    <hyperlink ref="B16" location="G.1!A1" display="Payroll Analysis"/>
    <hyperlink ref="B17" location="H.1!A1" display="Gross Revenue Conversion Factor"/>
    <hyperlink ref="B18" location="I.1!A1" display="Comparative Income Statements"/>
    <hyperlink ref="B19" location="'J-1 Base'!A1" display="Cost of Capital"/>
    <hyperlink ref="B20" location="K!A1" display="Comparative Financial Data"/>
  </hyperlinks>
  <pageMargins left="0.91" right="0.75" top="1" bottom="1" header="0.5" footer="0.5"/>
  <pageSetup scale="92" orientation="portrait" r:id="rId1"/>
  <headerFooter alignWithMargins="0">
    <oddHeader>&amp;R&amp;9CASE NO. 2017-00349
ATTACHMENT 1
TO STAFF DR NO. 2-37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62"/>
  <sheetViews>
    <sheetView view="pageBreakPreview" zoomScale="60" zoomScaleNormal="70" workbookViewId="0">
      <pane ySplit="12" topLeftCell="A22" activePane="bottomLeft" state="frozen"/>
      <selection activeCell="F59" sqref="F59:F60"/>
      <selection pane="bottomLeft" sqref="A1:XFD1048576"/>
    </sheetView>
  </sheetViews>
  <sheetFormatPr defaultRowHeight="15"/>
  <cols>
    <col min="1" max="1" width="4.5546875" style="80" customWidth="1"/>
    <col min="2" max="2" width="9.33203125" style="80" customWidth="1"/>
    <col min="3" max="3" width="33.88671875" style="80" customWidth="1"/>
    <col min="4" max="4" width="13.77734375" style="80" customWidth="1"/>
    <col min="5" max="5" width="10.33203125" style="80" customWidth="1"/>
    <col min="6" max="6" width="14.2187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55468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1127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81"/>
      <c r="G6" s="865"/>
      <c r="K6" s="81"/>
      <c r="N6" s="1065" t="s">
        <v>1445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1038" t="s">
        <v>1018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M8" s="1037"/>
      <c r="N8" s="1038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1066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7" ht="15.75">
      <c r="B14" s="951" t="s">
        <v>6</v>
      </c>
      <c r="J14" s="812"/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47">
        <v>0</v>
      </c>
      <c r="F16" s="347">
        <f>D16-E16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47">
        <f>K16*L16*M16</f>
        <v>8329.7199999999993</v>
      </c>
    </row>
    <row r="17" spans="1:14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431">
        <v>0</v>
      </c>
      <c r="F17" s="431">
        <f>D17-E17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515"/>
      <c r="C18" s="88"/>
      <c r="D18" s="1068"/>
      <c r="E18" s="1068"/>
      <c r="F18" s="1068"/>
      <c r="G18" s="467"/>
      <c r="H18" s="467"/>
      <c r="I18" s="1068"/>
      <c r="K18" s="1068"/>
      <c r="N18" s="1068"/>
    </row>
    <row r="19" spans="1:14">
      <c r="A19" s="863">
        <f t="shared" si="1"/>
        <v>5</v>
      </c>
      <c r="B19" s="709"/>
      <c r="C19" s="88" t="s">
        <v>1407</v>
      </c>
      <c r="D19" s="347">
        <f>SUM(D16:D18)</f>
        <v>128182.41</v>
      </c>
      <c r="E19" s="347">
        <f>SUM(E16:E18)</f>
        <v>0</v>
      </c>
      <c r="F19" s="347">
        <f>SUM(F16:F18)</f>
        <v>128182.41</v>
      </c>
      <c r="G19" s="467"/>
      <c r="H19" s="467"/>
      <c r="I19" s="347">
        <f>SUM(I16:I18)</f>
        <v>128182.41</v>
      </c>
      <c r="K19" s="347">
        <f>SUM(K16:K18)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709"/>
      <c r="C20" s="81"/>
      <c r="D20" s="431"/>
      <c r="E20" s="431"/>
      <c r="F20" s="431"/>
      <c r="G20" s="467"/>
      <c r="H20" s="467"/>
      <c r="I20" s="431"/>
      <c r="K20" s="431"/>
      <c r="N20" s="431"/>
    </row>
    <row r="21" spans="1:14">
      <c r="A21" s="863">
        <f t="shared" si="1"/>
        <v>7</v>
      </c>
      <c r="B21" s="709"/>
      <c r="C21" s="622" t="s">
        <v>155</v>
      </c>
      <c r="D21" s="431"/>
      <c r="E21" s="431"/>
      <c r="F21" s="431"/>
      <c r="G21" s="467"/>
      <c r="H21" s="467"/>
      <c r="I21" s="431"/>
      <c r="K21" s="431"/>
      <c r="N21" s="431"/>
    </row>
    <row r="22" spans="1:14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47">
        <v>0</v>
      </c>
      <c r="F22" s="347">
        <f t="shared" ref="F22:F24" si="2">D22-E22</f>
        <v>0</v>
      </c>
      <c r="G22" s="467">
        <f t="shared" ref="G22:H24" si="3">$G$16</f>
        <v>1</v>
      </c>
      <c r="H22" s="467">
        <f t="shared" si="3"/>
        <v>1</v>
      </c>
      <c r="I22" s="347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47">
        <f t="shared" ref="N22:N24" si="6">K22*L22*M22</f>
        <v>0</v>
      </c>
    </row>
    <row r="23" spans="1:14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515">
        <v>33400</v>
      </c>
      <c r="C24" s="88" t="s">
        <v>1129</v>
      </c>
      <c r="D24" s="347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515"/>
      <c r="C25" s="81"/>
      <c r="D25" s="1068"/>
      <c r="E25" s="431"/>
      <c r="F25" s="431"/>
      <c r="G25" s="467"/>
      <c r="H25" s="467"/>
      <c r="I25" s="431"/>
      <c r="K25" s="1068"/>
      <c r="N25" s="431"/>
    </row>
    <row r="26" spans="1:14">
      <c r="A26" s="863">
        <f t="shared" si="1"/>
        <v>12</v>
      </c>
      <c r="B26" s="515"/>
      <c r="C26" s="81" t="s">
        <v>1406</v>
      </c>
      <c r="D26" s="347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47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515"/>
      <c r="C27" s="88"/>
      <c r="D27" s="431"/>
      <c r="E27" s="431"/>
      <c r="F27" s="431"/>
      <c r="G27" s="467"/>
      <c r="H27" s="467"/>
      <c r="I27" s="431"/>
      <c r="K27" s="431"/>
      <c r="N27" s="431"/>
    </row>
    <row r="28" spans="1:14">
      <c r="A28" s="863">
        <f t="shared" si="1"/>
        <v>14</v>
      </c>
      <c r="B28" s="515"/>
      <c r="C28" s="622" t="s">
        <v>280</v>
      </c>
      <c r="D28" s="431"/>
      <c r="E28" s="431"/>
      <c r="F28" s="431"/>
      <c r="G28" s="467"/>
      <c r="H28" s="467"/>
      <c r="I28" s="431"/>
      <c r="K28" s="431"/>
      <c r="N28" s="431"/>
    </row>
    <row r="29" spans="1:14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47">
        <v>0</v>
      </c>
      <c r="F29" s="347">
        <f t="shared" ref="F29:F45" si="7">D29-E29</f>
        <v>0</v>
      </c>
      <c r="G29" s="467">
        <f t="shared" ref="G29:H45" si="8">$G$16</f>
        <v>1</v>
      </c>
      <c r="H29" s="467">
        <f t="shared" si="8"/>
        <v>1</v>
      </c>
      <c r="I29" s="347">
        <f t="shared" ref="I29:I45" si="9">F29*G29*H29</f>
        <v>0</v>
      </c>
      <c r="K29" s="347">
        <v>0</v>
      </c>
      <c r="L29" s="467">
        <f t="shared" ref="L29:M45" si="10">$G$16</f>
        <v>1</v>
      </c>
      <c r="M29" s="467">
        <f t="shared" si="10"/>
        <v>1</v>
      </c>
      <c r="N29" s="347">
        <f t="shared" ref="N29:N45" si="11">K29*L29*M29</f>
        <v>0</v>
      </c>
    </row>
    <row r="30" spans="1:14">
      <c r="A30" s="863">
        <f t="shared" si="1"/>
        <v>16</v>
      </c>
      <c r="B30" s="515">
        <v>35020</v>
      </c>
      <c r="C30" s="88" t="s">
        <v>799</v>
      </c>
      <c r="D30" s="347">
        <v>4427.651974999997</v>
      </c>
      <c r="E30" s="431">
        <v>0</v>
      </c>
      <c r="F30" s="431">
        <f t="shared" si="7"/>
        <v>4427.651974999997</v>
      </c>
      <c r="G30" s="467">
        <f t="shared" si="8"/>
        <v>1</v>
      </c>
      <c r="H30" s="467">
        <f t="shared" si="8"/>
        <v>1</v>
      </c>
      <c r="I30" s="431">
        <f t="shared" si="9"/>
        <v>4427.651974999997</v>
      </c>
      <c r="K30" s="347">
        <v>4421.7924548076899</v>
      </c>
      <c r="L30" s="467">
        <f t="shared" si="10"/>
        <v>1</v>
      </c>
      <c r="M30" s="467">
        <f t="shared" si="10"/>
        <v>1</v>
      </c>
      <c r="N30" s="431">
        <f t="shared" si="11"/>
        <v>4421.7924548076899</v>
      </c>
    </row>
    <row r="31" spans="1:14">
      <c r="A31" s="863">
        <f t="shared" si="1"/>
        <v>17</v>
      </c>
      <c r="B31" s="515">
        <v>35100</v>
      </c>
      <c r="C31" s="88" t="s">
        <v>977</v>
      </c>
      <c r="D31" s="347">
        <v>5765.9301864999998</v>
      </c>
      <c r="E31" s="431">
        <v>0</v>
      </c>
      <c r="F31" s="431">
        <f t="shared" si="7"/>
        <v>5765.9301864999998</v>
      </c>
      <c r="G31" s="467">
        <f t="shared" si="8"/>
        <v>1</v>
      </c>
      <c r="H31" s="467">
        <f t="shared" si="8"/>
        <v>1</v>
      </c>
      <c r="I31" s="431">
        <f t="shared" si="9"/>
        <v>5765.9301864999998</v>
      </c>
      <c r="K31" s="347">
        <v>5616.3354348269249</v>
      </c>
      <c r="L31" s="467">
        <f t="shared" si="10"/>
        <v>1</v>
      </c>
      <c r="M31" s="467">
        <f t="shared" si="10"/>
        <v>1</v>
      </c>
      <c r="N31" s="431">
        <f t="shared" si="11"/>
        <v>5616.3354348269249</v>
      </c>
    </row>
    <row r="32" spans="1:14">
      <c r="A32" s="863">
        <f t="shared" si="1"/>
        <v>18</v>
      </c>
      <c r="B32" s="515">
        <v>35102</v>
      </c>
      <c r="C32" s="88" t="s">
        <v>281</v>
      </c>
      <c r="D32" s="347">
        <v>110372.64618999996</v>
      </c>
      <c r="E32" s="431">
        <v>0</v>
      </c>
      <c r="F32" s="431">
        <f t="shared" si="7"/>
        <v>110372.64618999996</v>
      </c>
      <c r="G32" s="467">
        <f t="shared" si="8"/>
        <v>1</v>
      </c>
      <c r="H32" s="467">
        <f t="shared" si="8"/>
        <v>1</v>
      </c>
      <c r="I32" s="431">
        <f t="shared" si="9"/>
        <v>110372.64618999996</v>
      </c>
      <c r="K32" s="347">
        <v>109407.09089730766</v>
      </c>
      <c r="L32" s="467">
        <f t="shared" si="10"/>
        <v>1</v>
      </c>
      <c r="M32" s="467">
        <f t="shared" si="10"/>
        <v>1</v>
      </c>
      <c r="N32" s="431">
        <f t="shared" si="11"/>
        <v>109407.09089730766</v>
      </c>
    </row>
    <row r="33" spans="1:14">
      <c r="A33" s="863">
        <f t="shared" si="1"/>
        <v>19</v>
      </c>
      <c r="B33" s="515">
        <v>35103</v>
      </c>
      <c r="C33" s="88" t="s">
        <v>591</v>
      </c>
      <c r="D33" s="347">
        <v>20112.946548000007</v>
      </c>
      <c r="E33" s="431">
        <v>0</v>
      </c>
      <c r="F33" s="431">
        <f t="shared" si="7"/>
        <v>20112.946548000007</v>
      </c>
      <c r="G33" s="467">
        <f t="shared" si="8"/>
        <v>1</v>
      </c>
      <c r="H33" s="467">
        <f t="shared" si="8"/>
        <v>1</v>
      </c>
      <c r="I33" s="431">
        <f t="shared" si="9"/>
        <v>20112.946548000007</v>
      </c>
      <c r="K33" s="347">
        <v>20006.509070615393</v>
      </c>
      <c r="L33" s="467">
        <f t="shared" si="10"/>
        <v>1</v>
      </c>
      <c r="M33" s="467">
        <f t="shared" si="10"/>
        <v>1</v>
      </c>
      <c r="N33" s="431">
        <f t="shared" si="11"/>
        <v>20006.509070615393</v>
      </c>
    </row>
    <row r="34" spans="1:14">
      <c r="A34" s="863">
        <f t="shared" si="1"/>
        <v>20</v>
      </c>
      <c r="B34" s="515">
        <v>35104</v>
      </c>
      <c r="C34" s="88" t="s">
        <v>592</v>
      </c>
      <c r="D34" s="347">
        <v>97024.036445000005</v>
      </c>
      <c r="E34" s="431">
        <v>0</v>
      </c>
      <c r="F34" s="431">
        <f t="shared" si="7"/>
        <v>97024.036445000005</v>
      </c>
      <c r="G34" s="467">
        <f t="shared" si="8"/>
        <v>1</v>
      </c>
      <c r="H34" s="467">
        <f t="shared" si="8"/>
        <v>1</v>
      </c>
      <c r="I34" s="431">
        <f t="shared" si="9"/>
        <v>97024.036445000005</v>
      </c>
      <c r="K34" s="347">
        <v>96130.66981211539</v>
      </c>
      <c r="L34" s="467">
        <f t="shared" si="10"/>
        <v>1</v>
      </c>
      <c r="M34" s="467">
        <f t="shared" si="10"/>
        <v>1</v>
      </c>
      <c r="N34" s="431">
        <f t="shared" si="11"/>
        <v>96130.66981211539</v>
      </c>
    </row>
    <row r="35" spans="1:14">
      <c r="A35" s="863">
        <f t="shared" si="1"/>
        <v>21</v>
      </c>
      <c r="B35" s="515">
        <v>35200</v>
      </c>
      <c r="C35" s="88" t="s">
        <v>446</v>
      </c>
      <c r="D35" s="347">
        <v>1059935.652521</v>
      </c>
      <c r="E35" s="431">
        <v>0</v>
      </c>
      <c r="F35" s="431">
        <f t="shared" si="7"/>
        <v>1059935.652521</v>
      </c>
      <c r="G35" s="467">
        <f t="shared" si="8"/>
        <v>1</v>
      </c>
      <c r="H35" s="467">
        <f t="shared" si="8"/>
        <v>1</v>
      </c>
      <c r="I35" s="431">
        <f t="shared" si="9"/>
        <v>1059935.652521</v>
      </c>
      <c r="K35" s="347">
        <v>1022096.0791402691</v>
      </c>
      <c r="L35" s="467">
        <f t="shared" si="10"/>
        <v>1</v>
      </c>
      <c r="M35" s="467">
        <f t="shared" si="10"/>
        <v>1</v>
      </c>
      <c r="N35" s="431">
        <f t="shared" si="11"/>
        <v>1022096.0791402691</v>
      </c>
    </row>
    <row r="36" spans="1:14">
      <c r="A36" s="863">
        <f t="shared" si="1"/>
        <v>22</v>
      </c>
      <c r="B36" s="515">
        <v>35201</v>
      </c>
      <c r="C36" s="88" t="s">
        <v>593</v>
      </c>
      <c r="D36" s="347">
        <v>1374503.0289769997</v>
      </c>
      <c r="E36" s="431">
        <v>0</v>
      </c>
      <c r="F36" s="431">
        <f t="shared" si="7"/>
        <v>1374503.0289769997</v>
      </c>
      <c r="G36" s="467">
        <f t="shared" si="8"/>
        <v>1</v>
      </c>
      <c r="H36" s="467">
        <f t="shared" si="8"/>
        <v>1</v>
      </c>
      <c r="I36" s="431">
        <f t="shared" si="9"/>
        <v>1374503.0289769997</v>
      </c>
      <c r="K36" s="347">
        <v>1361668.0316476533</v>
      </c>
      <c r="L36" s="467">
        <f t="shared" si="10"/>
        <v>1</v>
      </c>
      <c r="M36" s="467">
        <f t="shared" si="10"/>
        <v>1</v>
      </c>
      <c r="N36" s="431">
        <f t="shared" si="11"/>
        <v>1361668.0316476533</v>
      </c>
    </row>
    <row r="37" spans="1:14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431">
        <v>0</v>
      </c>
      <c r="F37" s="431">
        <f t="shared" si="7"/>
        <v>458146.14000000007</v>
      </c>
      <c r="G37" s="467">
        <f t="shared" si="8"/>
        <v>1</v>
      </c>
      <c r="H37" s="467">
        <f t="shared" si="8"/>
        <v>1</v>
      </c>
      <c r="I37" s="431">
        <f t="shared" si="9"/>
        <v>458146.14000000007</v>
      </c>
      <c r="K37" s="347">
        <v>457625.5661538461</v>
      </c>
      <c r="L37" s="467">
        <f t="shared" si="10"/>
        <v>1</v>
      </c>
      <c r="M37" s="467">
        <f t="shared" si="10"/>
        <v>1</v>
      </c>
      <c r="N37" s="431">
        <f t="shared" si="11"/>
        <v>457625.5661538461</v>
      </c>
    </row>
    <row r="38" spans="1:14">
      <c r="A38" s="863">
        <f t="shared" si="1"/>
        <v>24</v>
      </c>
      <c r="B38" s="515">
        <v>35203</v>
      </c>
      <c r="C38" s="88" t="s">
        <v>347</v>
      </c>
      <c r="D38" s="347">
        <v>708765.77664000029</v>
      </c>
      <c r="E38" s="431">
        <v>0</v>
      </c>
      <c r="F38" s="431">
        <f t="shared" si="7"/>
        <v>708765.77664000029</v>
      </c>
      <c r="G38" s="467">
        <f t="shared" si="8"/>
        <v>1</v>
      </c>
      <c r="H38" s="467">
        <f t="shared" si="8"/>
        <v>1</v>
      </c>
      <c r="I38" s="431">
        <f t="shared" si="9"/>
        <v>708765.77664000029</v>
      </c>
      <c r="K38" s="347">
        <v>693512.27909538476</v>
      </c>
      <c r="L38" s="467">
        <f t="shared" si="10"/>
        <v>1</v>
      </c>
      <c r="M38" s="467">
        <f t="shared" si="10"/>
        <v>1</v>
      </c>
      <c r="N38" s="431">
        <f t="shared" si="11"/>
        <v>693512.27909538476</v>
      </c>
    </row>
    <row r="39" spans="1:14">
      <c r="A39" s="863">
        <f t="shared" si="1"/>
        <v>25</v>
      </c>
      <c r="B39" s="515">
        <v>35210</v>
      </c>
      <c r="C39" s="88" t="s">
        <v>595</v>
      </c>
      <c r="D39" s="347">
        <v>167003.92765750005</v>
      </c>
      <c r="E39" s="431">
        <v>0</v>
      </c>
      <c r="F39" s="431">
        <f t="shared" si="7"/>
        <v>167003.92765750005</v>
      </c>
      <c r="G39" s="467">
        <f t="shared" si="8"/>
        <v>1</v>
      </c>
      <c r="H39" s="467">
        <f t="shared" si="8"/>
        <v>1</v>
      </c>
      <c r="I39" s="431">
        <f t="shared" si="9"/>
        <v>167003.92765750005</v>
      </c>
      <c r="K39" s="347">
        <v>166691.50206163464</v>
      </c>
      <c r="L39" s="467">
        <f t="shared" si="10"/>
        <v>1</v>
      </c>
      <c r="M39" s="467">
        <f t="shared" si="10"/>
        <v>1</v>
      </c>
      <c r="N39" s="431">
        <f t="shared" si="11"/>
        <v>166691.50206163464</v>
      </c>
    </row>
    <row r="40" spans="1:14">
      <c r="A40" s="863">
        <f t="shared" si="1"/>
        <v>26</v>
      </c>
      <c r="B40" s="515">
        <v>35211</v>
      </c>
      <c r="C40" s="88" t="s">
        <v>596</v>
      </c>
      <c r="D40" s="347">
        <v>43114.562788000017</v>
      </c>
      <c r="E40" s="431">
        <v>0</v>
      </c>
      <c r="F40" s="431">
        <f t="shared" si="7"/>
        <v>43114.562788000017</v>
      </c>
      <c r="G40" s="467">
        <f t="shared" si="8"/>
        <v>1</v>
      </c>
      <c r="H40" s="467">
        <f t="shared" si="8"/>
        <v>1</v>
      </c>
      <c r="I40" s="431">
        <f t="shared" si="9"/>
        <v>43114.562788000017</v>
      </c>
      <c r="K40" s="347">
        <v>42874.260750615394</v>
      </c>
      <c r="L40" s="467">
        <f t="shared" si="10"/>
        <v>1</v>
      </c>
      <c r="M40" s="467">
        <f t="shared" si="10"/>
        <v>1</v>
      </c>
      <c r="N40" s="431">
        <f t="shared" si="11"/>
        <v>42874.260750615394</v>
      </c>
    </row>
    <row r="41" spans="1:14">
      <c r="A41" s="863">
        <f t="shared" si="1"/>
        <v>27</v>
      </c>
      <c r="B41" s="515">
        <v>35301</v>
      </c>
      <c r="C41" s="81" t="s">
        <v>163</v>
      </c>
      <c r="D41" s="347">
        <v>139135.37244499996</v>
      </c>
      <c r="E41" s="431">
        <v>0</v>
      </c>
      <c r="F41" s="431">
        <f t="shared" si="7"/>
        <v>139135.37244499996</v>
      </c>
      <c r="G41" s="467">
        <f t="shared" si="8"/>
        <v>1</v>
      </c>
      <c r="H41" s="467">
        <f t="shared" si="8"/>
        <v>1</v>
      </c>
      <c r="I41" s="431">
        <f t="shared" si="9"/>
        <v>139135.37244499996</v>
      </c>
      <c r="K41" s="347">
        <v>138412.45258134609</v>
      </c>
      <c r="L41" s="467">
        <f t="shared" si="10"/>
        <v>1</v>
      </c>
      <c r="M41" s="467">
        <f t="shared" si="10"/>
        <v>1</v>
      </c>
      <c r="N41" s="431">
        <f t="shared" si="11"/>
        <v>138412.45258134609</v>
      </c>
    </row>
    <row r="42" spans="1:14">
      <c r="A42" s="863">
        <f t="shared" si="1"/>
        <v>28</v>
      </c>
      <c r="B42" s="515">
        <v>35302</v>
      </c>
      <c r="C42" s="88" t="s">
        <v>602</v>
      </c>
      <c r="D42" s="347">
        <v>194114.34575050004</v>
      </c>
      <c r="E42" s="431">
        <v>0</v>
      </c>
      <c r="F42" s="431">
        <f t="shared" si="7"/>
        <v>194114.34575050004</v>
      </c>
      <c r="G42" s="467">
        <f t="shared" si="8"/>
        <v>1</v>
      </c>
      <c r="H42" s="467">
        <f t="shared" si="8"/>
        <v>1</v>
      </c>
      <c r="I42" s="431">
        <f t="shared" si="9"/>
        <v>194114.34575050004</v>
      </c>
      <c r="K42" s="347">
        <v>193266.04693282695</v>
      </c>
      <c r="L42" s="467">
        <f t="shared" si="10"/>
        <v>1</v>
      </c>
      <c r="M42" s="467">
        <f t="shared" si="10"/>
        <v>1</v>
      </c>
      <c r="N42" s="431">
        <f t="shared" si="11"/>
        <v>193266.04693282695</v>
      </c>
    </row>
    <row r="43" spans="1:14">
      <c r="A43" s="863">
        <f t="shared" si="1"/>
        <v>29</v>
      </c>
      <c r="B43" s="515">
        <v>35400</v>
      </c>
      <c r="C43" s="88" t="s">
        <v>597</v>
      </c>
      <c r="D43" s="347">
        <v>469225.85444999981</v>
      </c>
      <c r="E43" s="431">
        <v>0</v>
      </c>
      <c r="F43" s="431">
        <f t="shared" si="7"/>
        <v>469225.85444999981</v>
      </c>
      <c r="G43" s="467">
        <f t="shared" si="8"/>
        <v>1</v>
      </c>
      <c r="H43" s="467">
        <f t="shared" si="8"/>
        <v>1</v>
      </c>
      <c r="I43" s="431">
        <f t="shared" si="9"/>
        <v>469225.85444999981</v>
      </c>
      <c r="K43" s="347">
        <v>460914.83850576915</v>
      </c>
      <c r="L43" s="467">
        <f t="shared" si="10"/>
        <v>1</v>
      </c>
      <c r="M43" s="467">
        <f t="shared" si="10"/>
        <v>1</v>
      </c>
      <c r="N43" s="431">
        <f t="shared" si="11"/>
        <v>460914.83850576915</v>
      </c>
    </row>
    <row r="44" spans="1:14">
      <c r="A44" s="863">
        <f t="shared" si="1"/>
        <v>30</v>
      </c>
      <c r="B44" s="515">
        <v>35500</v>
      </c>
      <c r="C44" s="88" t="s">
        <v>1000</v>
      </c>
      <c r="D44" s="347">
        <v>195122.49316964822</v>
      </c>
      <c r="E44" s="431">
        <v>0</v>
      </c>
      <c r="F44" s="431">
        <f t="shared" si="7"/>
        <v>195122.49316964822</v>
      </c>
      <c r="G44" s="467">
        <f t="shared" si="8"/>
        <v>1</v>
      </c>
      <c r="H44" s="467">
        <f t="shared" si="8"/>
        <v>1</v>
      </c>
      <c r="I44" s="431">
        <f t="shared" si="9"/>
        <v>195122.49316964822</v>
      </c>
      <c r="K44" s="347">
        <v>199502.75481482738</v>
      </c>
      <c r="L44" s="467">
        <f t="shared" si="10"/>
        <v>1</v>
      </c>
      <c r="M44" s="467">
        <f t="shared" si="10"/>
        <v>1</v>
      </c>
      <c r="N44" s="431">
        <f t="shared" si="11"/>
        <v>199502.75481482738</v>
      </c>
    </row>
    <row r="45" spans="1:14">
      <c r="A45" s="863">
        <f t="shared" si="1"/>
        <v>31</v>
      </c>
      <c r="B45" s="515">
        <v>35600</v>
      </c>
      <c r="C45" s="88" t="s">
        <v>1049</v>
      </c>
      <c r="D45" s="347">
        <v>177066.61036250004</v>
      </c>
      <c r="E45" s="1054">
        <v>0</v>
      </c>
      <c r="F45" s="1054">
        <f t="shared" si="7"/>
        <v>177066.61036250004</v>
      </c>
      <c r="G45" s="467">
        <f t="shared" si="8"/>
        <v>1</v>
      </c>
      <c r="H45" s="467">
        <f t="shared" si="8"/>
        <v>1</v>
      </c>
      <c r="I45" s="1054">
        <f t="shared" si="9"/>
        <v>177066.61036250004</v>
      </c>
      <c r="K45" s="347">
        <v>172816.31548221159</v>
      </c>
      <c r="L45" s="467">
        <f t="shared" si="10"/>
        <v>1</v>
      </c>
      <c r="M45" s="467">
        <f t="shared" si="10"/>
        <v>1</v>
      </c>
      <c r="N45" s="1054">
        <f t="shared" si="11"/>
        <v>172816.31548221159</v>
      </c>
    </row>
    <row r="46" spans="1:14">
      <c r="A46" s="863">
        <f t="shared" si="1"/>
        <v>32</v>
      </c>
      <c r="B46" s="515"/>
      <c r="C46" s="88"/>
      <c r="D46" s="1068"/>
      <c r="E46" s="431"/>
      <c r="F46" s="431"/>
      <c r="G46" s="467"/>
      <c r="H46" s="467"/>
      <c r="I46" s="431"/>
      <c r="K46" s="1068"/>
      <c r="N46" s="431"/>
    </row>
    <row r="47" spans="1:14">
      <c r="A47" s="863">
        <f t="shared" si="1"/>
        <v>33</v>
      </c>
      <c r="B47" s="515"/>
      <c r="C47" s="88" t="s">
        <v>1405</v>
      </c>
      <c r="D47" s="347">
        <f>SUM(D29:D46)</f>
        <v>5223836.9761056481</v>
      </c>
      <c r="E47" s="347">
        <f>SUM(E29:E46)</f>
        <v>0</v>
      </c>
      <c r="F47" s="347">
        <f>SUM(F29:F46)</f>
        <v>5223836.9761056481</v>
      </c>
      <c r="G47" s="467"/>
      <c r="H47" s="467"/>
      <c r="I47" s="347">
        <f>SUM(I29:I46)</f>
        <v>5223836.9761056481</v>
      </c>
      <c r="K47" s="347">
        <f>SUM(K29:K46)</f>
        <v>5144962.5248360578</v>
      </c>
      <c r="N47" s="347">
        <f>SUM(N29:N46)</f>
        <v>5144962.5248360578</v>
      </c>
    </row>
    <row r="48" spans="1:14">
      <c r="A48" s="863">
        <f t="shared" si="1"/>
        <v>34</v>
      </c>
      <c r="B48" s="515"/>
      <c r="C48" s="88"/>
      <c r="D48" s="431"/>
      <c r="E48" s="431"/>
      <c r="F48" s="431"/>
      <c r="G48" s="467"/>
      <c r="H48" s="467"/>
      <c r="I48" s="431"/>
      <c r="K48" s="431"/>
      <c r="N48" s="431"/>
    </row>
    <row r="49" spans="1:14">
      <c r="A49" s="863">
        <f t="shared" si="1"/>
        <v>35</v>
      </c>
      <c r="B49" s="515"/>
      <c r="C49" s="622" t="s">
        <v>1001</v>
      </c>
      <c r="D49" s="431"/>
      <c r="E49" s="431"/>
      <c r="F49" s="431"/>
      <c r="G49" s="467"/>
      <c r="H49" s="467"/>
      <c r="I49" s="431"/>
      <c r="K49" s="431"/>
      <c r="N49" s="431"/>
    </row>
    <row r="50" spans="1:14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47">
        <v>0</v>
      </c>
      <c r="F50" s="347">
        <f t="shared" ref="F50:F57" si="12">D50-E50</f>
        <v>0</v>
      </c>
      <c r="G50" s="467">
        <f t="shared" ref="G50:H57" si="13">$G$16</f>
        <v>1</v>
      </c>
      <c r="H50" s="467">
        <f t="shared" si="13"/>
        <v>1</v>
      </c>
      <c r="I50" s="347">
        <f t="shared" ref="I50:I57" si="14">F50*G50*H50</f>
        <v>0</v>
      </c>
      <c r="K50" s="347">
        <v>0</v>
      </c>
      <c r="L50" s="467">
        <f t="shared" ref="L50:M57" si="15">$G$16</f>
        <v>1</v>
      </c>
      <c r="M50" s="467">
        <f t="shared" si="15"/>
        <v>1</v>
      </c>
      <c r="N50" s="347">
        <f t="shared" ref="N50:N57" si="16">K50*L50*M50</f>
        <v>0</v>
      </c>
    </row>
    <row r="51" spans="1:14">
      <c r="A51" s="863">
        <f t="shared" si="1"/>
        <v>37</v>
      </c>
      <c r="B51" s="515">
        <v>36520</v>
      </c>
      <c r="C51" s="88" t="s">
        <v>799</v>
      </c>
      <c r="D51" s="347">
        <v>409113.06380000006</v>
      </c>
      <c r="E51" s="431">
        <v>0</v>
      </c>
      <c r="F51" s="431">
        <f t="shared" si="12"/>
        <v>409113.06380000006</v>
      </c>
      <c r="G51" s="467">
        <f t="shared" si="13"/>
        <v>1</v>
      </c>
      <c r="H51" s="467">
        <f t="shared" si="13"/>
        <v>1</v>
      </c>
      <c r="I51" s="431">
        <f t="shared" si="14"/>
        <v>409113.06380000006</v>
      </c>
      <c r="K51" s="347">
        <v>403342.381023077</v>
      </c>
      <c r="L51" s="467">
        <f t="shared" si="15"/>
        <v>1</v>
      </c>
      <c r="M51" s="467">
        <f t="shared" si="15"/>
        <v>1</v>
      </c>
      <c r="N51" s="431">
        <f t="shared" si="16"/>
        <v>403342.381023077</v>
      </c>
    </row>
    <row r="52" spans="1:14">
      <c r="A52" s="863">
        <f t="shared" si="1"/>
        <v>38</v>
      </c>
      <c r="B52" s="515">
        <v>36602</v>
      </c>
      <c r="C52" s="88" t="s">
        <v>863</v>
      </c>
      <c r="D52" s="347">
        <v>15443.385308000006</v>
      </c>
      <c r="E52" s="431">
        <v>0</v>
      </c>
      <c r="F52" s="431">
        <f t="shared" si="12"/>
        <v>15443.385308000006</v>
      </c>
      <c r="G52" s="467">
        <f t="shared" si="13"/>
        <v>1</v>
      </c>
      <c r="H52" s="467">
        <f t="shared" si="13"/>
        <v>1</v>
      </c>
      <c r="I52" s="431">
        <f t="shared" si="14"/>
        <v>15443.385308000006</v>
      </c>
      <c r="K52" s="347">
        <v>15007.279506000001</v>
      </c>
      <c r="L52" s="467">
        <f t="shared" si="15"/>
        <v>1</v>
      </c>
      <c r="M52" s="467">
        <f t="shared" si="15"/>
        <v>1</v>
      </c>
      <c r="N52" s="431">
        <f t="shared" si="16"/>
        <v>15007.279506000001</v>
      </c>
    </row>
    <row r="53" spans="1:14">
      <c r="A53" s="863">
        <f t="shared" si="1"/>
        <v>39</v>
      </c>
      <c r="B53" s="515">
        <v>36603</v>
      </c>
      <c r="C53" s="88" t="s">
        <v>1002</v>
      </c>
      <c r="D53" s="347">
        <v>51335.343981000027</v>
      </c>
      <c r="E53" s="431">
        <v>0</v>
      </c>
      <c r="F53" s="431">
        <f t="shared" si="12"/>
        <v>51335.343981000027</v>
      </c>
      <c r="G53" s="467">
        <f t="shared" si="13"/>
        <v>1</v>
      </c>
      <c r="H53" s="467">
        <f t="shared" si="13"/>
        <v>1</v>
      </c>
      <c r="I53" s="431">
        <f t="shared" si="14"/>
        <v>51335.343981000027</v>
      </c>
      <c r="K53" s="347">
        <v>50793.982994884631</v>
      </c>
      <c r="L53" s="467">
        <f t="shared" si="15"/>
        <v>1</v>
      </c>
      <c r="M53" s="467">
        <f t="shared" si="15"/>
        <v>1</v>
      </c>
      <c r="N53" s="431">
        <f t="shared" si="16"/>
        <v>50793.982994884631</v>
      </c>
    </row>
    <row r="54" spans="1:14">
      <c r="A54" s="863">
        <f t="shared" si="1"/>
        <v>40</v>
      </c>
      <c r="B54" s="515">
        <v>36700</v>
      </c>
      <c r="C54" s="88" t="s">
        <v>851</v>
      </c>
      <c r="D54" s="347">
        <v>106919.17599999998</v>
      </c>
      <c r="E54" s="431">
        <v>0</v>
      </c>
      <c r="F54" s="431">
        <f t="shared" si="12"/>
        <v>106919.17599999998</v>
      </c>
      <c r="G54" s="467">
        <f t="shared" si="13"/>
        <v>1</v>
      </c>
      <c r="H54" s="467">
        <f t="shared" si="13"/>
        <v>1</v>
      </c>
      <c r="I54" s="431">
        <f t="shared" si="14"/>
        <v>106919.17599999998</v>
      </c>
      <c r="K54" s="347">
        <v>102946.03892307692</v>
      </c>
      <c r="L54" s="467">
        <f t="shared" si="15"/>
        <v>1</v>
      </c>
      <c r="M54" s="467">
        <f t="shared" si="15"/>
        <v>1</v>
      </c>
      <c r="N54" s="431">
        <f t="shared" si="16"/>
        <v>102946.03892307692</v>
      </c>
    </row>
    <row r="55" spans="1:14">
      <c r="A55" s="863">
        <f t="shared" si="1"/>
        <v>41</v>
      </c>
      <c r="B55" s="515">
        <v>36701</v>
      </c>
      <c r="C55" s="88" t="s">
        <v>16</v>
      </c>
      <c r="D55" s="347">
        <v>18265248.913403515</v>
      </c>
      <c r="E55" s="431">
        <v>0</v>
      </c>
      <c r="F55" s="431">
        <f t="shared" si="12"/>
        <v>18265248.913403515</v>
      </c>
      <c r="G55" s="467">
        <f t="shared" si="13"/>
        <v>1</v>
      </c>
      <c r="H55" s="467">
        <f t="shared" si="13"/>
        <v>1</v>
      </c>
      <c r="I55" s="431">
        <f t="shared" si="14"/>
        <v>18265248.913403515</v>
      </c>
      <c r="K55" s="347">
        <v>18006126.327839408</v>
      </c>
      <c r="L55" s="467">
        <f t="shared" si="15"/>
        <v>1</v>
      </c>
      <c r="M55" s="467">
        <f t="shared" si="15"/>
        <v>1</v>
      </c>
      <c r="N55" s="431">
        <f t="shared" si="16"/>
        <v>18006126.327839408</v>
      </c>
    </row>
    <row r="56" spans="1:14">
      <c r="A56" s="863">
        <f t="shared" si="1"/>
        <v>42</v>
      </c>
      <c r="B56" s="515">
        <v>36900</v>
      </c>
      <c r="C56" s="88" t="s">
        <v>1003</v>
      </c>
      <c r="D56" s="347">
        <v>328270.10304800014</v>
      </c>
      <c r="E56" s="431">
        <v>0</v>
      </c>
      <c r="F56" s="431">
        <f t="shared" si="12"/>
        <v>328270.10304800014</v>
      </c>
      <c r="G56" s="467">
        <f t="shared" si="13"/>
        <v>1</v>
      </c>
      <c r="H56" s="467">
        <f t="shared" si="13"/>
        <v>1</v>
      </c>
      <c r="I56" s="431">
        <f t="shared" si="14"/>
        <v>328270.10304800014</v>
      </c>
      <c r="K56" s="347">
        <v>320443.39197446161</v>
      </c>
      <c r="L56" s="467">
        <f t="shared" si="15"/>
        <v>1</v>
      </c>
      <c r="M56" s="467">
        <f t="shared" si="15"/>
        <v>1</v>
      </c>
      <c r="N56" s="431">
        <f t="shared" si="16"/>
        <v>320443.39197446161</v>
      </c>
    </row>
    <row r="57" spans="1:14">
      <c r="A57" s="863">
        <f t="shared" si="1"/>
        <v>43</v>
      </c>
      <c r="B57" s="515">
        <v>36901</v>
      </c>
      <c r="C57" s="88" t="s">
        <v>1003</v>
      </c>
      <c r="D57" s="347">
        <v>1696064.6682369986</v>
      </c>
      <c r="E57" s="1054">
        <v>0</v>
      </c>
      <c r="F57" s="1054">
        <f t="shared" si="12"/>
        <v>1696064.6682369986</v>
      </c>
      <c r="G57" s="467">
        <f t="shared" si="13"/>
        <v>1</v>
      </c>
      <c r="H57" s="467">
        <f t="shared" si="13"/>
        <v>1</v>
      </c>
      <c r="I57" s="1054">
        <f t="shared" si="14"/>
        <v>1696064.6682369986</v>
      </c>
      <c r="K57" s="347">
        <v>1671780.4114484224</v>
      </c>
      <c r="L57" s="467">
        <f t="shared" si="15"/>
        <v>1</v>
      </c>
      <c r="M57" s="467">
        <f t="shared" si="15"/>
        <v>1</v>
      </c>
      <c r="N57" s="1054">
        <f t="shared" si="16"/>
        <v>1671780.4114484224</v>
      </c>
    </row>
    <row r="58" spans="1:14">
      <c r="A58" s="863">
        <f t="shared" si="1"/>
        <v>44</v>
      </c>
      <c r="B58" s="515"/>
      <c r="C58" s="88"/>
      <c r="D58" s="1068"/>
      <c r="E58" s="431"/>
      <c r="F58" s="431"/>
      <c r="G58" s="467"/>
      <c r="H58" s="467"/>
      <c r="I58" s="431"/>
      <c r="K58" s="1068"/>
      <c r="N58" s="431"/>
    </row>
    <row r="59" spans="1:14">
      <c r="A59" s="863">
        <f t="shared" si="1"/>
        <v>45</v>
      </c>
      <c r="B59" s="709"/>
      <c r="C59" s="88" t="s">
        <v>1404</v>
      </c>
      <c r="D59" s="347">
        <f>SUM(D50:D58)</f>
        <v>20872394.653777514</v>
      </c>
      <c r="E59" s="347">
        <f>SUM(E50:E58)</f>
        <v>0</v>
      </c>
      <c r="F59" s="347">
        <f>SUM(F50:F58)</f>
        <v>20872394.653777514</v>
      </c>
      <c r="G59" s="467"/>
      <c r="H59" s="467"/>
      <c r="I59" s="347">
        <f>SUM(I50:I58)</f>
        <v>20872394.653777514</v>
      </c>
      <c r="K59" s="347">
        <f>SUM(K50:K58)</f>
        <v>20570439.81370933</v>
      </c>
      <c r="N59" s="347">
        <f>SUM(N50:N58)</f>
        <v>20570439.81370933</v>
      </c>
    </row>
    <row r="60" spans="1:14">
      <c r="A60" s="863">
        <f t="shared" si="1"/>
        <v>46</v>
      </c>
      <c r="B60" s="709"/>
      <c r="C60" s="81"/>
      <c r="D60" s="431"/>
      <c r="E60" s="431"/>
      <c r="F60" s="431"/>
      <c r="G60" s="467"/>
      <c r="H60" s="467"/>
      <c r="I60" s="431"/>
      <c r="K60" s="431"/>
      <c r="N60" s="431"/>
    </row>
    <row r="61" spans="1:14">
      <c r="A61" s="863">
        <f t="shared" si="1"/>
        <v>47</v>
      </c>
      <c r="B61" s="709"/>
      <c r="C61" s="622" t="s">
        <v>303</v>
      </c>
      <c r="D61" s="431"/>
      <c r="E61" s="431"/>
      <c r="F61" s="431"/>
      <c r="G61" s="467"/>
      <c r="H61" s="467"/>
      <c r="I61" s="431"/>
      <c r="K61" s="431"/>
      <c r="N61" s="431"/>
    </row>
    <row r="62" spans="1:14">
      <c r="A62" s="863">
        <f t="shared" si="1"/>
        <v>48</v>
      </c>
      <c r="B62" s="515">
        <v>37400</v>
      </c>
      <c r="C62" s="88" t="s">
        <v>1157</v>
      </c>
      <c r="D62" s="347">
        <v>0</v>
      </c>
      <c r="E62" s="347">
        <v>0</v>
      </c>
      <c r="F62" s="347">
        <f t="shared" ref="F62:F81" si="17">D62-E62</f>
        <v>0</v>
      </c>
      <c r="G62" s="467">
        <f t="shared" ref="G62:H81" si="18">$G$16</f>
        <v>1</v>
      </c>
      <c r="H62" s="467">
        <f t="shared" si="18"/>
        <v>1</v>
      </c>
      <c r="I62" s="347">
        <f t="shared" ref="I62:I81" si="19">F62*G62*H62</f>
        <v>0</v>
      </c>
      <c r="K62" s="347">
        <v>0</v>
      </c>
      <c r="L62" s="467">
        <f t="shared" ref="L62:M81" si="20">$G$16</f>
        <v>1</v>
      </c>
      <c r="M62" s="467">
        <f t="shared" si="20"/>
        <v>1</v>
      </c>
      <c r="N62" s="347">
        <f t="shared" ref="N62:N81" si="21">K62*L62*M62</f>
        <v>0</v>
      </c>
    </row>
    <row r="63" spans="1:14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431">
        <v>0</v>
      </c>
      <c r="F63" s="431">
        <f t="shared" si="17"/>
        <v>0</v>
      </c>
      <c r="G63" s="467">
        <f t="shared" si="18"/>
        <v>1</v>
      </c>
      <c r="H63" s="467">
        <f t="shared" si="18"/>
        <v>1</v>
      </c>
      <c r="I63" s="431">
        <f t="shared" si="19"/>
        <v>0</v>
      </c>
      <c r="K63" s="347">
        <v>0</v>
      </c>
      <c r="L63" s="467">
        <f t="shared" si="20"/>
        <v>1</v>
      </c>
      <c r="M63" s="467">
        <f t="shared" si="20"/>
        <v>1</v>
      </c>
      <c r="N63" s="431">
        <f t="shared" si="21"/>
        <v>0</v>
      </c>
    </row>
    <row r="64" spans="1:14">
      <c r="A64" s="863">
        <f t="shared" si="1"/>
        <v>50</v>
      </c>
      <c r="B64" s="515">
        <v>37402</v>
      </c>
      <c r="C64" s="88" t="s">
        <v>1007</v>
      </c>
      <c r="D64" s="347">
        <v>158628.07827421895</v>
      </c>
      <c r="E64" s="431">
        <v>0</v>
      </c>
      <c r="F64" s="431">
        <f t="shared" si="17"/>
        <v>158628.07827421895</v>
      </c>
      <c r="G64" s="467">
        <f t="shared" si="18"/>
        <v>1</v>
      </c>
      <c r="H64" s="467">
        <f t="shared" si="18"/>
        <v>1</v>
      </c>
      <c r="I64" s="431">
        <f t="shared" si="19"/>
        <v>158628.07827421895</v>
      </c>
      <c r="K64" s="347">
        <v>140150.25409150112</v>
      </c>
      <c r="L64" s="467">
        <f t="shared" si="20"/>
        <v>1</v>
      </c>
      <c r="M64" s="467">
        <f t="shared" si="20"/>
        <v>1</v>
      </c>
      <c r="N64" s="431">
        <f t="shared" si="21"/>
        <v>140150.25409150112</v>
      </c>
    </row>
    <row r="65" spans="1:14">
      <c r="A65" s="863">
        <f t="shared" si="1"/>
        <v>51</v>
      </c>
      <c r="B65" s="515">
        <v>37403</v>
      </c>
      <c r="C65" s="88" t="s">
        <v>1004</v>
      </c>
      <c r="D65" s="347">
        <v>0</v>
      </c>
      <c r="E65" s="431">
        <v>0</v>
      </c>
      <c r="F65" s="431">
        <f t="shared" si="17"/>
        <v>0</v>
      </c>
      <c r="G65" s="467">
        <f t="shared" si="18"/>
        <v>1</v>
      </c>
      <c r="H65" s="467">
        <f t="shared" si="18"/>
        <v>1</v>
      </c>
      <c r="I65" s="431">
        <f t="shared" si="19"/>
        <v>0</v>
      </c>
      <c r="K65" s="347">
        <v>0</v>
      </c>
      <c r="L65" s="467">
        <f t="shared" si="20"/>
        <v>1</v>
      </c>
      <c r="M65" s="467">
        <f t="shared" si="20"/>
        <v>1</v>
      </c>
      <c r="N65" s="431">
        <f t="shared" si="21"/>
        <v>0</v>
      </c>
    </row>
    <row r="66" spans="1:14">
      <c r="A66" s="863">
        <f t="shared" si="1"/>
        <v>52</v>
      </c>
      <c r="B66" s="515">
        <v>37500</v>
      </c>
      <c r="C66" s="88" t="s">
        <v>863</v>
      </c>
      <c r="D66" s="347">
        <v>102030.10566199994</v>
      </c>
      <c r="E66" s="431">
        <v>0</v>
      </c>
      <c r="F66" s="431">
        <f t="shared" si="17"/>
        <v>102030.10566199994</v>
      </c>
      <c r="G66" s="467">
        <f t="shared" si="18"/>
        <v>1</v>
      </c>
      <c r="H66" s="467">
        <f t="shared" si="18"/>
        <v>1</v>
      </c>
      <c r="I66" s="431">
        <f t="shared" si="19"/>
        <v>102030.10566199994</v>
      </c>
      <c r="K66" s="347">
        <v>98567.576139769197</v>
      </c>
      <c r="L66" s="467">
        <f t="shared" si="20"/>
        <v>1</v>
      </c>
      <c r="M66" s="467">
        <f t="shared" si="20"/>
        <v>1</v>
      </c>
      <c r="N66" s="431">
        <f t="shared" si="21"/>
        <v>98567.576139769197</v>
      </c>
    </row>
    <row r="67" spans="1:14">
      <c r="A67" s="863">
        <f t="shared" si="1"/>
        <v>53</v>
      </c>
      <c r="B67" s="515">
        <v>37501</v>
      </c>
      <c r="C67" s="88" t="s">
        <v>1005</v>
      </c>
      <c r="D67" s="347">
        <v>67985.266739000057</v>
      </c>
      <c r="E67" s="431">
        <v>0</v>
      </c>
      <c r="F67" s="431">
        <f t="shared" si="17"/>
        <v>67985.266739000057</v>
      </c>
      <c r="G67" s="467">
        <f t="shared" si="18"/>
        <v>1</v>
      </c>
      <c r="H67" s="467">
        <f t="shared" si="18"/>
        <v>1</v>
      </c>
      <c r="I67" s="431">
        <f t="shared" si="19"/>
        <v>67985.266739000057</v>
      </c>
      <c r="K67" s="347">
        <v>66957.147198961567</v>
      </c>
      <c r="L67" s="467">
        <f t="shared" si="20"/>
        <v>1</v>
      </c>
      <c r="M67" s="467">
        <f t="shared" si="20"/>
        <v>1</v>
      </c>
      <c r="N67" s="431">
        <f t="shared" si="21"/>
        <v>66957.147198961567</v>
      </c>
    </row>
    <row r="68" spans="1:14">
      <c r="A68" s="863">
        <f t="shared" si="1"/>
        <v>54</v>
      </c>
      <c r="B68" s="515">
        <v>37502</v>
      </c>
      <c r="C68" s="88" t="s">
        <v>1007</v>
      </c>
      <c r="D68" s="347">
        <v>33793.991156999997</v>
      </c>
      <c r="E68" s="431">
        <v>0</v>
      </c>
      <c r="F68" s="431">
        <f t="shared" si="17"/>
        <v>33793.991156999997</v>
      </c>
      <c r="G68" s="467">
        <f t="shared" si="18"/>
        <v>1</v>
      </c>
      <c r="H68" s="467">
        <f t="shared" si="18"/>
        <v>1</v>
      </c>
      <c r="I68" s="431">
        <f t="shared" si="19"/>
        <v>33793.991156999997</v>
      </c>
      <c r="K68" s="347">
        <v>33317.470311499987</v>
      </c>
      <c r="L68" s="467">
        <f t="shared" si="20"/>
        <v>1</v>
      </c>
      <c r="M68" s="467">
        <f t="shared" si="20"/>
        <v>1</v>
      </c>
      <c r="N68" s="431">
        <f t="shared" si="21"/>
        <v>33317.470311499987</v>
      </c>
    </row>
    <row r="69" spans="1:14">
      <c r="A69" s="863">
        <f t="shared" si="1"/>
        <v>55</v>
      </c>
      <c r="B69" s="515">
        <v>37503</v>
      </c>
      <c r="C69" s="88" t="s">
        <v>1006</v>
      </c>
      <c r="D69" s="347">
        <v>1781.2423239999989</v>
      </c>
      <c r="E69" s="431">
        <v>0</v>
      </c>
      <c r="F69" s="431">
        <f t="shared" si="17"/>
        <v>1781.2423239999989</v>
      </c>
      <c r="G69" s="467">
        <f t="shared" si="18"/>
        <v>1</v>
      </c>
      <c r="H69" s="467">
        <f t="shared" si="18"/>
        <v>1</v>
      </c>
      <c r="I69" s="431">
        <f t="shared" si="19"/>
        <v>1781.2423239999989</v>
      </c>
      <c r="K69" s="347">
        <v>1739.998702615384</v>
      </c>
      <c r="L69" s="467">
        <f t="shared" si="20"/>
        <v>1</v>
      </c>
      <c r="M69" s="467">
        <f t="shared" si="20"/>
        <v>1</v>
      </c>
      <c r="N69" s="431">
        <f t="shared" si="21"/>
        <v>1739.998702615384</v>
      </c>
    </row>
    <row r="70" spans="1:14">
      <c r="A70" s="863">
        <f t="shared" si="1"/>
        <v>56</v>
      </c>
      <c r="B70" s="515">
        <v>37600</v>
      </c>
      <c r="C70" s="88" t="s">
        <v>851</v>
      </c>
      <c r="D70" s="347">
        <v>12235479.171516361</v>
      </c>
      <c r="E70" s="431">
        <v>0</v>
      </c>
      <c r="F70" s="431">
        <f t="shared" si="17"/>
        <v>12235479.171516361</v>
      </c>
      <c r="G70" s="467">
        <f t="shared" si="18"/>
        <v>1</v>
      </c>
      <c r="H70" s="467">
        <f t="shared" si="18"/>
        <v>1</v>
      </c>
      <c r="I70" s="431">
        <f t="shared" si="19"/>
        <v>12235479.171516361</v>
      </c>
      <c r="K70" s="347">
        <v>11987064.528873006</v>
      </c>
      <c r="L70" s="467">
        <f t="shared" si="20"/>
        <v>1</v>
      </c>
      <c r="M70" s="467">
        <f t="shared" si="20"/>
        <v>1</v>
      </c>
      <c r="N70" s="431">
        <f t="shared" si="21"/>
        <v>11987064.528873006</v>
      </c>
    </row>
    <row r="71" spans="1:14">
      <c r="A71" s="863">
        <f t="shared" si="1"/>
        <v>57</v>
      </c>
      <c r="B71" s="515">
        <v>37601</v>
      </c>
      <c r="C71" s="88" t="s">
        <v>16</v>
      </c>
      <c r="D71" s="347">
        <v>28704987.752647236</v>
      </c>
      <c r="E71" s="431">
        <v>0</v>
      </c>
      <c r="F71" s="431">
        <f t="shared" si="17"/>
        <v>28704987.752647236</v>
      </c>
      <c r="G71" s="467">
        <f t="shared" si="18"/>
        <v>1</v>
      </c>
      <c r="H71" s="467">
        <f t="shared" si="18"/>
        <v>1</v>
      </c>
      <c r="I71" s="431">
        <f t="shared" si="19"/>
        <v>28704987.752647236</v>
      </c>
      <c r="K71" s="347">
        <v>28363166.556201007</v>
      </c>
      <c r="L71" s="467">
        <f t="shared" si="20"/>
        <v>1</v>
      </c>
      <c r="M71" s="467">
        <f t="shared" si="20"/>
        <v>1</v>
      </c>
      <c r="N71" s="431">
        <f t="shared" si="21"/>
        <v>28363166.556201007</v>
      </c>
    </row>
    <row r="72" spans="1:14">
      <c r="A72" s="863">
        <f t="shared" si="1"/>
        <v>58</v>
      </c>
      <c r="B72" s="515">
        <v>37602</v>
      </c>
      <c r="C72" s="88" t="s">
        <v>852</v>
      </c>
      <c r="D72" s="347">
        <v>14869647.322718861</v>
      </c>
      <c r="E72" s="431">
        <v>0</v>
      </c>
      <c r="F72" s="431">
        <f t="shared" si="17"/>
        <v>14869647.322718861</v>
      </c>
      <c r="G72" s="467">
        <f t="shared" si="18"/>
        <v>1</v>
      </c>
      <c r="H72" s="467">
        <f t="shared" si="18"/>
        <v>1</v>
      </c>
      <c r="I72" s="431">
        <f t="shared" si="19"/>
        <v>14869647.322718861</v>
      </c>
      <c r="K72" s="347">
        <v>13922298.169434525</v>
      </c>
      <c r="L72" s="467">
        <f t="shared" si="20"/>
        <v>1</v>
      </c>
      <c r="M72" s="467">
        <f t="shared" si="20"/>
        <v>1</v>
      </c>
      <c r="N72" s="431">
        <f t="shared" si="21"/>
        <v>13922298.169434525</v>
      </c>
    </row>
    <row r="73" spans="1:14">
      <c r="A73" s="863">
        <f t="shared" si="1"/>
        <v>59</v>
      </c>
      <c r="B73" s="515">
        <v>37800</v>
      </c>
      <c r="C73" s="88" t="s">
        <v>230</v>
      </c>
      <c r="D73" s="347">
        <v>2286706.2080893051</v>
      </c>
      <c r="E73" s="431">
        <v>0</v>
      </c>
      <c r="F73" s="431">
        <f t="shared" si="17"/>
        <v>2286706.2080893051</v>
      </c>
      <c r="G73" s="467">
        <f t="shared" si="18"/>
        <v>1</v>
      </c>
      <c r="H73" s="467">
        <f t="shared" si="18"/>
        <v>1</v>
      </c>
      <c r="I73" s="431">
        <f t="shared" si="19"/>
        <v>2286706.2080893051</v>
      </c>
      <c r="K73" s="347">
        <v>2148184.9745646669</v>
      </c>
      <c r="L73" s="467">
        <f t="shared" si="20"/>
        <v>1</v>
      </c>
      <c r="M73" s="467">
        <f t="shared" si="20"/>
        <v>1</v>
      </c>
      <c r="N73" s="431">
        <f t="shared" si="21"/>
        <v>2148184.9745646669</v>
      </c>
    </row>
    <row r="74" spans="1:14">
      <c r="A74" s="863">
        <f t="shared" si="1"/>
        <v>60</v>
      </c>
      <c r="B74" s="515">
        <v>37900</v>
      </c>
      <c r="C74" s="88" t="s">
        <v>1200</v>
      </c>
      <c r="D74" s="347">
        <v>836582.26880301081</v>
      </c>
      <c r="E74" s="431">
        <v>0</v>
      </c>
      <c r="F74" s="431">
        <f t="shared" si="17"/>
        <v>836582.26880301081</v>
      </c>
      <c r="G74" s="467">
        <f t="shared" si="18"/>
        <v>1</v>
      </c>
      <c r="H74" s="467">
        <f t="shared" si="18"/>
        <v>1</v>
      </c>
      <c r="I74" s="431">
        <f t="shared" si="19"/>
        <v>836582.26880301081</v>
      </c>
      <c r="K74" s="347">
        <v>777394.2082683749</v>
      </c>
      <c r="L74" s="467">
        <f t="shared" si="20"/>
        <v>1</v>
      </c>
      <c r="M74" s="467">
        <f t="shared" si="20"/>
        <v>1</v>
      </c>
      <c r="N74" s="431">
        <f t="shared" si="21"/>
        <v>777394.2082683749</v>
      </c>
    </row>
    <row r="75" spans="1:14">
      <c r="A75" s="863">
        <f t="shared" si="1"/>
        <v>61</v>
      </c>
      <c r="B75" s="515">
        <v>37905</v>
      </c>
      <c r="C75" s="88" t="s">
        <v>732</v>
      </c>
      <c r="D75" s="347">
        <v>965480.00894361886</v>
      </c>
      <c r="E75" s="431">
        <v>0</v>
      </c>
      <c r="F75" s="431">
        <f t="shared" si="17"/>
        <v>965480.00894361886</v>
      </c>
      <c r="G75" s="467">
        <f t="shared" si="18"/>
        <v>1</v>
      </c>
      <c r="H75" s="467">
        <f t="shared" si="18"/>
        <v>1</v>
      </c>
      <c r="I75" s="431">
        <f t="shared" si="19"/>
        <v>965480.00894361886</v>
      </c>
      <c r="K75" s="347">
        <v>940444.39655159088</v>
      </c>
      <c r="L75" s="467">
        <f t="shared" si="20"/>
        <v>1</v>
      </c>
      <c r="M75" s="467">
        <f t="shared" si="20"/>
        <v>1</v>
      </c>
      <c r="N75" s="431">
        <f t="shared" si="21"/>
        <v>940444.39655159088</v>
      </c>
    </row>
    <row r="76" spans="1:14">
      <c r="A76" s="863">
        <f t="shared" si="1"/>
        <v>62</v>
      </c>
      <c r="B76" s="515">
        <v>38000</v>
      </c>
      <c r="C76" s="88" t="s">
        <v>1061</v>
      </c>
      <c r="D76" s="347">
        <v>36490191.003144294</v>
      </c>
      <c r="E76" s="431">
        <v>0</v>
      </c>
      <c r="F76" s="431">
        <f t="shared" si="17"/>
        <v>36490191.003144294</v>
      </c>
      <c r="G76" s="467">
        <f t="shared" si="18"/>
        <v>1</v>
      </c>
      <c r="H76" s="467">
        <f t="shared" si="18"/>
        <v>1</v>
      </c>
      <c r="I76" s="431">
        <f t="shared" si="19"/>
        <v>36490191.003144294</v>
      </c>
      <c r="K76" s="347">
        <v>36093808.135608226</v>
      </c>
      <c r="L76" s="467">
        <f t="shared" si="20"/>
        <v>1</v>
      </c>
      <c r="M76" s="467">
        <f t="shared" si="20"/>
        <v>1</v>
      </c>
      <c r="N76" s="431">
        <f t="shared" si="21"/>
        <v>36093808.135608226</v>
      </c>
    </row>
    <row r="77" spans="1:14">
      <c r="A77" s="863">
        <f t="shared" si="1"/>
        <v>63</v>
      </c>
      <c r="B77" s="515">
        <v>38100</v>
      </c>
      <c r="C77" s="88" t="s">
        <v>853</v>
      </c>
      <c r="D77" s="347">
        <v>16957783.094844159</v>
      </c>
      <c r="E77" s="431">
        <v>0</v>
      </c>
      <c r="F77" s="431">
        <f t="shared" si="17"/>
        <v>16957783.094844159</v>
      </c>
      <c r="G77" s="467">
        <f t="shared" si="18"/>
        <v>1</v>
      </c>
      <c r="H77" s="467">
        <f t="shared" si="18"/>
        <v>1</v>
      </c>
      <c r="I77" s="431">
        <f t="shared" si="19"/>
        <v>16957783.094844159</v>
      </c>
      <c r="K77" s="347">
        <v>15884766.076107204</v>
      </c>
      <c r="L77" s="467">
        <f t="shared" si="20"/>
        <v>1</v>
      </c>
      <c r="M77" s="467">
        <f t="shared" si="20"/>
        <v>1</v>
      </c>
      <c r="N77" s="431">
        <f t="shared" si="21"/>
        <v>15884766.076107204</v>
      </c>
    </row>
    <row r="78" spans="1:14">
      <c r="A78" s="863">
        <f t="shared" si="1"/>
        <v>64</v>
      </c>
      <c r="B78" s="515">
        <v>38200</v>
      </c>
      <c r="C78" s="88" t="s">
        <v>447</v>
      </c>
      <c r="D78" s="347">
        <v>24018617.963506754</v>
      </c>
      <c r="E78" s="431">
        <v>0</v>
      </c>
      <c r="F78" s="431">
        <f t="shared" si="17"/>
        <v>24018617.963506754</v>
      </c>
      <c r="G78" s="467">
        <f t="shared" si="18"/>
        <v>1</v>
      </c>
      <c r="H78" s="467">
        <f t="shared" si="18"/>
        <v>1</v>
      </c>
      <c r="I78" s="431">
        <f t="shared" si="19"/>
        <v>24018617.963506754</v>
      </c>
      <c r="K78" s="347">
        <v>23364617.52048701</v>
      </c>
      <c r="L78" s="467">
        <f t="shared" si="20"/>
        <v>1</v>
      </c>
      <c r="M78" s="467">
        <f t="shared" si="20"/>
        <v>1</v>
      </c>
      <c r="N78" s="431">
        <f t="shared" si="21"/>
        <v>23364617.52048701</v>
      </c>
    </row>
    <row r="79" spans="1:14">
      <c r="A79" s="863">
        <f t="shared" si="1"/>
        <v>65</v>
      </c>
      <c r="B79" s="515">
        <v>38300</v>
      </c>
      <c r="C79" s="88" t="s">
        <v>1062</v>
      </c>
      <c r="D79" s="347">
        <v>3701976.2719964143</v>
      </c>
      <c r="E79" s="431">
        <v>0</v>
      </c>
      <c r="F79" s="431">
        <f t="shared" si="17"/>
        <v>3701976.2719964143</v>
      </c>
      <c r="G79" s="467">
        <f t="shared" si="18"/>
        <v>1</v>
      </c>
      <c r="H79" s="467">
        <f t="shared" si="18"/>
        <v>1</v>
      </c>
      <c r="I79" s="431">
        <f t="shared" si="19"/>
        <v>3701976.2719964143</v>
      </c>
      <c r="K79" s="347">
        <v>3534078.5885929666</v>
      </c>
      <c r="L79" s="467">
        <f t="shared" si="20"/>
        <v>1</v>
      </c>
      <c r="M79" s="467">
        <f t="shared" si="20"/>
        <v>1</v>
      </c>
      <c r="N79" s="431">
        <f t="shared" si="21"/>
        <v>3534078.5885929666</v>
      </c>
    </row>
    <row r="80" spans="1:14">
      <c r="A80" s="863">
        <f t="shared" si="1"/>
        <v>66</v>
      </c>
      <c r="B80" s="515">
        <v>38400</v>
      </c>
      <c r="C80" s="88" t="s">
        <v>448</v>
      </c>
      <c r="D80" s="347">
        <v>83731.821941066824</v>
      </c>
      <c r="E80" s="431">
        <v>0</v>
      </c>
      <c r="F80" s="431">
        <f t="shared" si="17"/>
        <v>83731.821941066824</v>
      </c>
      <c r="G80" s="467">
        <f t="shared" si="18"/>
        <v>1</v>
      </c>
      <c r="H80" s="467">
        <f t="shared" si="18"/>
        <v>1</v>
      </c>
      <c r="I80" s="431">
        <f t="shared" si="19"/>
        <v>83731.821941066824</v>
      </c>
      <c r="K80" s="347">
        <v>81320.237729394139</v>
      </c>
      <c r="L80" s="467">
        <f t="shared" si="20"/>
        <v>1</v>
      </c>
      <c r="M80" s="467">
        <f t="shared" si="20"/>
        <v>1</v>
      </c>
      <c r="N80" s="431">
        <f t="shared" si="21"/>
        <v>81320.237729394139</v>
      </c>
    </row>
    <row r="81" spans="1:14">
      <c r="A81" s="863">
        <f t="shared" ref="A81:A148" si="22">A80+1</f>
        <v>67</v>
      </c>
      <c r="B81" s="515">
        <v>38500</v>
      </c>
      <c r="C81" s="88" t="s">
        <v>449</v>
      </c>
      <c r="D81" s="347">
        <v>2726830.4437771947</v>
      </c>
      <c r="E81" s="431">
        <v>0</v>
      </c>
      <c r="F81" s="431">
        <f t="shared" si="17"/>
        <v>2726830.4437771947</v>
      </c>
      <c r="G81" s="467">
        <f t="shared" si="18"/>
        <v>1</v>
      </c>
      <c r="H81" s="467">
        <f t="shared" si="18"/>
        <v>1</v>
      </c>
      <c r="I81" s="431">
        <f t="shared" si="19"/>
        <v>2726830.4437771947</v>
      </c>
      <c r="K81" s="347">
        <v>2656783.3444472551</v>
      </c>
      <c r="L81" s="467">
        <f t="shared" si="20"/>
        <v>1</v>
      </c>
      <c r="M81" s="467">
        <f t="shared" si="20"/>
        <v>1</v>
      </c>
      <c r="N81" s="431">
        <f t="shared" si="21"/>
        <v>2656783.3444472551</v>
      </c>
    </row>
    <row r="82" spans="1:14">
      <c r="A82" s="863">
        <f t="shared" si="22"/>
        <v>68</v>
      </c>
      <c r="B82" s="515"/>
      <c r="C82" s="88"/>
      <c r="D82" s="1068"/>
      <c r="E82" s="1068"/>
      <c r="F82" s="1068"/>
      <c r="G82" s="467"/>
      <c r="H82" s="467"/>
      <c r="I82" s="1068"/>
      <c r="K82" s="1068"/>
      <c r="N82" s="1068"/>
    </row>
    <row r="83" spans="1:14">
      <c r="A83" s="863">
        <f t="shared" si="22"/>
        <v>69</v>
      </c>
      <c r="B83" s="515"/>
      <c r="C83" s="88" t="s">
        <v>1403</v>
      </c>
      <c r="D83" s="347">
        <f>SUM(D62:D82)</f>
        <v>144242232.01608452</v>
      </c>
      <c r="E83" s="347">
        <f>SUM(E62:E82)</f>
        <v>0</v>
      </c>
      <c r="F83" s="347">
        <f>SUM(F62:F82)</f>
        <v>144242232.01608452</v>
      </c>
      <c r="G83" s="467"/>
      <c r="H83" s="467"/>
      <c r="I83" s="347">
        <f>SUM(I62:I82)</f>
        <v>144242232.01608452</v>
      </c>
      <c r="K83" s="347">
        <f>SUM(K62:K82)</f>
        <v>140094659.18330958</v>
      </c>
      <c r="N83" s="347">
        <f>SUM(N62:N82)</f>
        <v>140094659.18330958</v>
      </c>
    </row>
    <row r="84" spans="1:14">
      <c r="A84" s="863">
        <f t="shared" si="22"/>
        <v>70</v>
      </c>
      <c r="B84" s="515"/>
      <c r="C84" s="88"/>
      <c r="D84" s="431"/>
      <c r="E84" s="431"/>
      <c r="F84" s="431"/>
      <c r="G84" s="467"/>
      <c r="H84" s="467"/>
      <c r="I84" s="431"/>
      <c r="K84" s="431"/>
      <c r="N84" s="431"/>
    </row>
    <row r="85" spans="1:14">
      <c r="A85" s="863">
        <f t="shared" si="22"/>
        <v>71</v>
      </c>
      <c r="B85" s="709"/>
      <c r="C85" s="622" t="s">
        <v>305</v>
      </c>
      <c r="D85" s="431"/>
      <c r="E85" s="431"/>
      <c r="F85" s="431"/>
      <c r="G85" s="467"/>
      <c r="H85" s="467"/>
      <c r="I85" s="431"/>
      <c r="K85" s="431"/>
      <c r="N85" s="431"/>
    </row>
    <row r="86" spans="1:14">
      <c r="A86" s="863">
        <f t="shared" si="22"/>
        <v>72</v>
      </c>
      <c r="B86" s="515">
        <v>38900</v>
      </c>
      <c r="C86" s="1069" t="s">
        <v>1562</v>
      </c>
      <c r="D86" s="347">
        <v>0</v>
      </c>
      <c r="E86" s="347">
        <v>0</v>
      </c>
      <c r="F86" s="347">
        <f t="shared" ref="F86:F112" si="23">D86-E86</f>
        <v>0</v>
      </c>
      <c r="G86" s="467">
        <f t="shared" ref="G86:H99" si="24">$G$16</f>
        <v>1</v>
      </c>
      <c r="H86" s="467">
        <f t="shared" si="24"/>
        <v>1</v>
      </c>
      <c r="I86" s="347">
        <f t="shared" ref="I86:I112" si="25">F86*G86*H86</f>
        <v>0</v>
      </c>
      <c r="K86" s="347">
        <v>0</v>
      </c>
      <c r="L86" s="467">
        <f t="shared" ref="L86:M99" si="26">$G$16</f>
        <v>1</v>
      </c>
      <c r="M86" s="467">
        <f t="shared" si="26"/>
        <v>1</v>
      </c>
      <c r="N86" s="347">
        <f t="shared" ref="N86:N111" si="27">K86*L86*M86</f>
        <v>0</v>
      </c>
    </row>
    <row r="87" spans="1:14">
      <c r="A87" s="863">
        <f t="shared" si="22"/>
        <v>73</v>
      </c>
      <c r="B87" s="515">
        <v>39000</v>
      </c>
      <c r="C87" s="1069" t="s">
        <v>1563</v>
      </c>
      <c r="D87" s="347">
        <v>787679.57708903844</v>
      </c>
      <c r="E87" s="431">
        <v>0</v>
      </c>
      <c r="F87" s="431">
        <f t="shared" si="23"/>
        <v>787679.57708903844</v>
      </c>
      <c r="G87" s="467">
        <f t="shared" si="24"/>
        <v>1</v>
      </c>
      <c r="H87" s="467">
        <f t="shared" si="24"/>
        <v>1</v>
      </c>
      <c r="I87" s="431">
        <f t="shared" si="25"/>
        <v>787679.57708903844</v>
      </c>
      <c r="K87" s="347">
        <v>653447.18755695969</v>
      </c>
      <c r="L87" s="467">
        <f t="shared" si="26"/>
        <v>1</v>
      </c>
      <c r="M87" s="467">
        <f t="shared" si="26"/>
        <v>1</v>
      </c>
      <c r="N87" s="431">
        <f t="shared" si="27"/>
        <v>653447.18755695969</v>
      </c>
    </row>
    <row r="88" spans="1:14">
      <c r="A88" s="863">
        <f t="shared" si="22"/>
        <v>74</v>
      </c>
      <c r="B88" s="515">
        <v>39002</v>
      </c>
      <c r="C88" s="1069" t="s">
        <v>1564</v>
      </c>
      <c r="D88" s="347">
        <v>96659.149179999935</v>
      </c>
      <c r="E88" s="431">
        <v>0</v>
      </c>
      <c r="F88" s="431">
        <f t="shared" si="23"/>
        <v>96659.149179999935</v>
      </c>
      <c r="G88" s="467">
        <f t="shared" si="24"/>
        <v>1</v>
      </c>
      <c r="H88" s="467">
        <f t="shared" si="24"/>
        <v>1</v>
      </c>
      <c r="I88" s="431">
        <f t="shared" si="25"/>
        <v>96659.149179999935</v>
      </c>
      <c r="K88" s="347">
        <v>93404.584394615347</v>
      </c>
      <c r="L88" s="467">
        <f t="shared" si="26"/>
        <v>1</v>
      </c>
      <c r="M88" s="467">
        <f t="shared" si="26"/>
        <v>1</v>
      </c>
      <c r="N88" s="431">
        <f t="shared" si="27"/>
        <v>93404.584394615347</v>
      </c>
    </row>
    <row r="89" spans="1:14">
      <c r="A89" s="863">
        <f t="shared" si="22"/>
        <v>75</v>
      </c>
      <c r="B89" s="515">
        <v>39003</v>
      </c>
      <c r="C89" s="1069" t="s">
        <v>1565</v>
      </c>
      <c r="D89" s="347">
        <v>247979.42458400005</v>
      </c>
      <c r="E89" s="431">
        <v>0</v>
      </c>
      <c r="F89" s="431">
        <f t="shared" si="23"/>
        <v>247979.42458400005</v>
      </c>
      <c r="G89" s="467">
        <f t="shared" si="24"/>
        <v>1</v>
      </c>
      <c r="H89" s="467">
        <f t="shared" si="24"/>
        <v>1</v>
      </c>
      <c r="I89" s="431">
        <f t="shared" si="25"/>
        <v>247979.42458400005</v>
      </c>
      <c r="K89" s="347">
        <v>234646.47584953852</v>
      </c>
      <c r="L89" s="467">
        <f t="shared" si="26"/>
        <v>1</v>
      </c>
      <c r="M89" s="467">
        <f t="shared" si="26"/>
        <v>1</v>
      </c>
      <c r="N89" s="431">
        <f t="shared" si="27"/>
        <v>234646.47584953852</v>
      </c>
    </row>
    <row r="90" spans="1:14">
      <c r="A90" s="863">
        <f t="shared" si="22"/>
        <v>76</v>
      </c>
      <c r="B90" s="515">
        <v>39004</v>
      </c>
      <c r="C90" s="1069" t="s">
        <v>1566</v>
      </c>
      <c r="D90" s="347">
        <v>4075.2191120000007</v>
      </c>
      <c r="E90" s="431">
        <v>0</v>
      </c>
      <c r="F90" s="431">
        <f t="shared" si="23"/>
        <v>4075.2191120000007</v>
      </c>
      <c r="G90" s="467">
        <f t="shared" si="24"/>
        <v>1</v>
      </c>
      <c r="H90" s="467">
        <f t="shared" si="24"/>
        <v>1</v>
      </c>
      <c r="I90" s="431">
        <f t="shared" si="25"/>
        <v>4075.2191120000007</v>
      </c>
      <c r="K90" s="347">
        <v>3831.6724532307699</v>
      </c>
      <c r="L90" s="467">
        <f t="shared" si="26"/>
        <v>1</v>
      </c>
      <c r="M90" s="467">
        <f t="shared" si="26"/>
        <v>1</v>
      </c>
      <c r="N90" s="431">
        <f t="shared" si="27"/>
        <v>3831.6724532307699</v>
      </c>
    </row>
    <row r="91" spans="1:14">
      <c r="A91" s="863">
        <f t="shared" si="22"/>
        <v>77</v>
      </c>
      <c r="B91" s="515">
        <v>39009</v>
      </c>
      <c r="C91" s="1069" t="s">
        <v>1567</v>
      </c>
      <c r="D91" s="347">
        <v>1092667.9055389999</v>
      </c>
      <c r="E91" s="431">
        <v>0</v>
      </c>
      <c r="F91" s="431">
        <f t="shared" si="23"/>
        <v>1092667.9055389999</v>
      </c>
      <c r="G91" s="467">
        <f t="shared" si="24"/>
        <v>1</v>
      </c>
      <c r="H91" s="467">
        <f t="shared" si="24"/>
        <v>1</v>
      </c>
      <c r="I91" s="431">
        <f t="shared" si="25"/>
        <v>1092667.9055389999</v>
      </c>
      <c r="K91" s="347">
        <v>976086.44687588455</v>
      </c>
      <c r="L91" s="467">
        <f t="shared" si="26"/>
        <v>1</v>
      </c>
      <c r="M91" s="467">
        <f t="shared" si="26"/>
        <v>1</v>
      </c>
      <c r="N91" s="431">
        <f t="shared" si="27"/>
        <v>976086.44687588455</v>
      </c>
    </row>
    <row r="92" spans="1:14">
      <c r="A92" s="863">
        <f t="shared" si="22"/>
        <v>78</v>
      </c>
      <c r="B92" s="515">
        <v>39100</v>
      </c>
      <c r="C92" s="1069" t="s">
        <v>1568</v>
      </c>
      <c r="D92" s="347">
        <v>899145.27698500035</v>
      </c>
      <c r="E92" s="431">
        <v>0</v>
      </c>
      <c r="F92" s="431">
        <f t="shared" si="23"/>
        <v>899145.27698500035</v>
      </c>
      <c r="G92" s="467">
        <f t="shared" si="24"/>
        <v>1</v>
      </c>
      <c r="H92" s="467">
        <f t="shared" si="24"/>
        <v>1</v>
      </c>
      <c r="I92" s="431">
        <f t="shared" si="25"/>
        <v>899145.27698500035</v>
      </c>
      <c r="K92" s="347">
        <v>826344.06418826943</v>
      </c>
      <c r="L92" s="467">
        <f t="shared" si="26"/>
        <v>1</v>
      </c>
      <c r="M92" s="467">
        <f t="shared" si="26"/>
        <v>1</v>
      </c>
      <c r="N92" s="431">
        <f t="shared" si="27"/>
        <v>826344.06418826943</v>
      </c>
    </row>
    <row r="93" spans="1:14">
      <c r="A93" s="863">
        <f t="shared" si="22"/>
        <v>79</v>
      </c>
      <c r="B93" s="515">
        <v>39103</v>
      </c>
      <c r="C93" s="1069" t="s">
        <v>787</v>
      </c>
      <c r="D93" s="347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47">
        <v>0</v>
      </c>
      <c r="L93" s="467">
        <f t="shared" si="26"/>
        <v>1</v>
      </c>
      <c r="M93" s="467">
        <f t="shared" si="26"/>
        <v>1</v>
      </c>
      <c r="N93" s="431">
        <f t="shared" si="27"/>
        <v>0</v>
      </c>
    </row>
    <row r="94" spans="1:14">
      <c r="A94" s="863">
        <f t="shared" si="22"/>
        <v>80</v>
      </c>
      <c r="B94" s="515">
        <v>39200</v>
      </c>
      <c r="C94" s="1069" t="s">
        <v>1569</v>
      </c>
      <c r="D94" s="347">
        <v>65707.278329999986</v>
      </c>
      <c r="E94" s="431">
        <v>0</v>
      </c>
      <c r="F94" s="431">
        <f t="shared" si="23"/>
        <v>65707.278329999986</v>
      </c>
      <c r="G94" s="467">
        <f t="shared" si="24"/>
        <v>1</v>
      </c>
      <c r="H94" s="467">
        <f t="shared" si="24"/>
        <v>1</v>
      </c>
      <c r="I94" s="431">
        <f t="shared" si="25"/>
        <v>65707.278329999986</v>
      </c>
      <c r="K94" s="347">
        <v>72660.259934999995</v>
      </c>
      <c r="L94" s="467">
        <f t="shared" si="26"/>
        <v>1</v>
      </c>
      <c r="M94" s="467">
        <f t="shared" si="26"/>
        <v>1</v>
      </c>
      <c r="N94" s="431">
        <f t="shared" si="27"/>
        <v>72660.259934999995</v>
      </c>
    </row>
    <row r="95" spans="1:14">
      <c r="A95" s="863">
        <f t="shared" si="22"/>
        <v>81</v>
      </c>
      <c r="B95" s="515">
        <v>39202</v>
      </c>
      <c r="C95" s="1069" t="s">
        <v>1570</v>
      </c>
      <c r="D95" s="347">
        <v>-2549.7600000000002</v>
      </c>
      <c r="E95" s="431">
        <v>0</v>
      </c>
      <c r="F95" s="431">
        <f t="shared" si="23"/>
        <v>-2549.7600000000002</v>
      </c>
      <c r="G95" s="467">
        <f t="shared" si="24"/>
        <v>1</v>
      </c>
      <c r="H95" s="467">
        <f t="shared" si="24"/>
        <v>1</v>
      </c>
      <c r="I95" s="431">
        <f t="shared" si="25"/>
        <v>-2549.7600000000002</v>
      </c>
      <c r="K95" s="347">
        <v>-1247.4438461538464</v>
      </c>
      <c r="L95" s="467">
        <f t="shared" si="26"/>
        <v>1</v>
      </c>
      <c r="M95" s="467">
        <f t="shared" si="26"/>
        <v>1</v>
      </c>
      <c r="N95" s="431">
        <f t="shared" si="27"/>
        <v>-1247.4438461538464</v>
      </c>
    </row>
    <row r="96" spans="1:14">
      <c r="A96" s="863">
        <f t="shared" si="22"/>
        <v>82</v>
      </c>
      <c r="B96" s="709">
        <v>39400</v>
      </c>
      <c r="C96" s="1069" t="s">
        <v>1571</v>
      </c>
      <c r="D96" s="347">
        <v>961270.1071757368</v>
      </c>
      <c r="E96" s="431">
        <v>0</v>
      </c>
      <c r="F96" s="431">
        <f t="shared" si="23"/>
        <v>961270.1071757368</v>
      </c>
      <c r="G96" s="467">
        <f t="shared" si="24"/>
        <v>1</v>
      </c>
      <c r="H96" s="467">
        <f t="shared" si="24"/>
        <v>1</v>
      </c>
      <c r="I96" s="431">
        <f t="shared" si="25"/>
        <v>961270.1071757368</v>
      </c>
      <c r="K96" s="347">
        <v>843925.97840061842</v>
      </c>
      <c r="L96" s="467">
        <f t="shared" si="26"/>
        <v>1</v>
      </c>
      <c r="M96" s="467">
        <f t="shared" si="26"/>
        <v>1</v>
      </c>
      <c r="N96" s="431">
        <f t="shared" si="27"/>
        <v>843925.97840061842</v>
      </c>
    </row>
    <row r="97" spans="1:14">
      <c r="A97" s="863">
        <f t="shared" si="22"/>
        <v>83</v>
      </c>
      <c r="B97" s="709">
        <v>39603</v>
      </c>
      <c r="C97" s="391" t="s">
        <v>1572</v>
      </c>
      <c r="D97" s="347">
        <v>34619.411287999981</v>
      </c>
      <c r="E97" s="431">
        <v>0</v>
      </c>
      <c r="F97" s="431">
        <f t="shared" si="23"/>
        <v>34619.411287999981</v>
      </c>
      <c r="G97" s="467">
        <f t="shared" si="24"/>
        <v>1</v>
      </c>
      <c r="H97" s="467">
        <f t="shared" si="24"/>
        <v>1</v>
      </c>
      <c r="I97" s="431">
        <f t="shared" si="25"/>
        <v>34619.411287999981</v>
      </c>
      <c r="K97" s="347">
        <v>30763.3757313846</v>
      </c>
      <c r="L97" s="467">
        <f t="shared" si="26"/>
        <v>1</v>
      </c>
      <c r="M97" s="467">
        <f t="shared" si="26"/>
        <v>1</v>
      </c>
      <c r="N97" s="431">
        <f t="shared" si="27"/>
        <v>30763.3757313846</v>
      </c>
    </row>
    <row r="98" spans="1:14">
      <c r="A98" s="863">
        <f t="shared" si="22"/>
        <v>84</v>
      </c>
      <c r="B98" s="709">
        <v>39604</v>
      </c>
      <c r="C98" s="1069" t="s">
        <v>1573</v>
      </c>
      <c r="D98" s="347">
        <v>54742.508681499981</v>
      </c>
      <c r="E98" s="431">
        <v>0</v>
      </c>
      <c r="F98" s="431">
        <f t="shared" si="23"/>
        <v>54742.508681499981</v>
      </c>
      <c r="G98" s="467">
        <f t="shared" si="24"/>
        <v>1</v>
      </c>
      <c r="H98" s="467">
        <f t="shared" si="24"/>
        <v>1</v>
      </c>
      <c r="I98" s="431">
        <f t="shared" si="25"/>
        <v>54742.508681499981</v>
      </c>
      <c r="K98" s="347">
        <v>48634.067721942294</v>
      </c>
      <c r="L98" s="467">
        <f t="shared" si="26"/>
        <v>1</v>
      </c>
      <c r="M98" s="467">
        <f t="shared" si="26"/>
        <v>1</v>
      </c>
      <c r="N98" s="431">
        <f t="shared" si="27"/>
        <v>48634.067721942294</v>
      </c>
    </row>
    <row r="99" spans="1:14">
      <c r="A99" s="863">
        <f t="shared" si="22"/>
        <v>85</v>
      </c>
      <c r="B99" s="709">
        <v>39605</v>
      </c>
      <c r="C99" s="1069" t="s">
        <v>1574</v>
      </c>
      <c r="D99" s="347">
        <v>15358.700840499998</v>
      </c>
      <c r="E99" s="431">
        <v>0</v>
      </c>
      <c r="F99" s="431">
        <f t="shared" si="23"/>
        <v>15358.700840499998</v>
      </c>
      <c r="G99" s="467">
        <f t="shared" si="24"/>
        <v>1</v>
      </c>
      <c r="H99" s="467">
        <f t="shared" si="24"/>
        <v>1</v>
      </c>
      <c r="I99" s="431">
        <f t="shared" si="25"/>
        <v>15358.700840499998</v>
      </c>
      <c r="K99" s="347">
        <v>13467.454841673076</v>
      </c>
      <c r="L99" s="467">
        <f t="shared" si="26"/>
        <v>1</v>
      </c>
      <c r="M99" s="467">
        <f t="shared" si="26"/>
        <v>1</v>
      </c>
      <c r="N99" s="431">
        <f t="shared" si="27"/>
        <v>13467.454841673076</v>
      </c>
    </row>
    <row r="100" spans="1:14">
      <c r="A100" s="863">
        <f t="shared" si="22"/>
        <v>86</v>
      </c>
      <c r="B100" s="709">
        <v>39700</v>
      </c>
      <c r="C100" s="1069" t="s">
        <v>1575</v>
      </c>
      <c r="D100" s="347">
        <v>183263.64674199995</v>
      </c>
      <c r="E100" s="431">
        <v>0</v>
      </c>
      <c r="F100" s="431">
        <f t="shared" si="23"/>
        <v>183263.64674199995</v>
      </c>
      <c r="G100" s="467">
        <f t="shared" ref="G100:H113" si="28">$G$16</f>
        <v>1</v>
      </c>
      <c r="H100" s="467">
        <f t="shared" si="28"/>
        <v>1</v>
      </c>
      <c r="I100" s="431">
        <f t="shared" si="25"/>
        <v>183263.64674199995</v>
      </c>
      <c r="K100" s="347">
        <v>168420.01719976918</v>
      </c>
      <c r="L100" s="467">
        <f t="shared" ref="L100:M113" si="29">$G$16</f>
        <v>1</v>
      </c>
      <c r="M100" s="467">
        <f t="shared" si="29"/>
        <v>1</v>
      </c>
      <c r="N100" s="431">
        <f t="shared" si="27"/>
        <v>168420.01719976918</v>
      </c>
    </row>
    <row r="101" spans="1:14">
      <c r="A101" s="863">
        <f t="shared" si="22"/>
        <v>87</v>
      </c>
      <c r="B101" s="709">
        <v>39701</v>
      </c>
      <c r="C101" s="1069" t="s">
        <v>1535</v>
      </c>
      <c r="D101" s="347">
        <v>0</v>
      </c>
      <c r="E101" s="431">
        <v>0</v>
      </c>
      <c r="F101" s="431">
        <f t="shared" si="23"/>
        <v>0</v>
      </c>
      <c r="G101" s="467">
        <f t="shared" si="28"/>
        <v>1</v>
      </c>
      <c r="H101" s="467">
        <f t="shared" si="28"/>
        <v>1</v>
      </c>
      <c r="I101" s="431">
        <f t="shared" si="25"/>
        <v>0</v>
      </c>
      <c r="K101" s="347">
        <v>0</v>
      </c>
      <c r="L101" s="467">
        <f t="shared" si="29"/>
        <v>1</v>
      </c>
      <c r="M101" s="467">
        <f t="shared" si="29"/>
        <v>1</v>
      </c>
      <c r="N101" s="431">
        <f t="shared" si="27"/>
        <v>0</v>
      </c>
    </row>
    <row r="102" spans="1:14">
      <c r="A102" s="863">
        <f t="shared" si="22"/>
        <v>88</v>
      </c>
      <c r="B102" s="709">
        <v>39702</v>
      </c>
      <c r="C102" s="1069" t="s">
        <v>1535</v>
      </c>
      <c r="D102" s="347">
        <v>0</v>
      </c>
      <c r="E102" s="431">
        <v>0</v>
      </c>
      <c r="F102" s="431">
        <f t="shared" si="23"/>
        <v>0</v>
      </c>
      <c r="G102" s="467">
        <f t="shared" si="28"/>
        <v>1</v>
      </c>
      <c r="H102" s="467">
        <f t="shared" si="28"/>
        <v>1</v>
      </c>
      <c r="I102" s="431">
        <f t="shared" si="25"/>
        <v>0</v>
      </c>
      <c r="K102" s="347">
        <v>0</v>
      </c>
      <c r="L102" s="467">
        <f t="shared" si="29"/>
        <v>1</v>
      </c>
      <c r="M102" s="467">
        <f t="shared" si="29"/>
        <v>1</v>
      </c>
      <c r="N102" s="431">
        <f t="shared" si="27"/>
        <v>0</v>
      </c>
    </row>
    <row r="103" spans="1:14">
      <c r="A103" s="863">
        <f t="shared" si="22"/>
        <v>89</v>
      </c>
      <c r="B103" s="709">
        <v>39705</v>
      </c>
      <c r="C103" s="1069" t="s">
        <v>1576</v>
      </c>
      <c r="D103" s="347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47">
        <v>0</v>
      </c>
      <c r="L103" s="467">
        <f t="shared" si="29"/>
        <v>1</v>
      </c>
      <c r="M103" s="467">
        <f t="shared" si="29"/>
        <v>1</v>
      </c>
      <c r="N103" s="431">
        <f t="shared" si="27"/>
        <v>0</v>
      </c>
    </row>
    <row r="104" spans="1:14">
      <c r="A104" s="863">
        <f t="shared" si="22"/>
        <v>90</v>
      </c>
      <c r="B104" s="709">
        <v>39800</v>
      </c>
      <c r="C104" s="1069" t="s">
        <v>1577</v>
      </c>
      <c r="D104" s="347">
        <v>1550890.4717666758</v>
      </c>
      <c r="E104" s="431">
        <v>0</v>
      </c>
      <c r="F104" s="431">
        <f t="shared" si="23"/>
        <v>1550890.4717666758</v>
      </c>
      <c r="G104" s="467">
        <f t="shared" si="28"/>
        <v>1</v>
      </c>
      <c r="H104" s="467">
        <f t="shared" si="28"/>
        <v>1</v>
      </c>
      <c r="I104" s="431">
        <f t="shared" si="25"/>
        <v>1550890.4717666758</v>
      </c>
      <c r="K104" s="347">
        <v>1429713.5362822737</v>
      </c>
      <c r="L104" s="467">
        <f t="shared" si="29"/>
        <v>1</v>
      </c>
      <c r="M104" s="467">
        <f t="shared" si="29"/>
        <v>1</v>
      </c>
      <c r="N104" s="431">
        <f t="shared" si="27"/>
        <v>1429713.5362822737</v>
      </c>
    </row>
    <row r="105" spans="1:14">
      <c r="A105" s="863">
        <f t="shared" si="22"/>
        <v>91</v>
      </c>
      <c r="B105" s="709">
        <v>39901</v>
      </c>
      <c r="C105" s="1069" t="s">
        <v>1536</v>
      </c>
      <c r="D105" s="347">
        <v>3605.4179999999988</v>
      </c>
      <c r="E105" s="431">
        <v>0</v>
      </c>
      <c r="F105" s="431">
        <f t="shared" si="23"/>
        <v>3605.4179999999988</v>
      </c>
      <c r="G105" s="467">
        <f t="shared" si="28"/>
        <v>1</v>
      </c>
      <c r="H105" s="467">
        <f t="shared" si="28"/>
        <v>1</v>
      </c>
      <c r="I105" s="431">
        <f t="shared" si="25"/>
        <v>3605.4179999999988</v>
      </c>
      <c r="K105" s="347">
        <v>2853.904461538461</v>
      </c>
      <c r="L105" s="467">
        <f t="shared" si="29"/>
        <v>1</v>
      </c>
      <c r="M105" s="467">
        <f t="shared" si="29"/>
        <v>1</v>
      </c>
      <c r="N105" s="431">
        <f t="shared" si="27"/>
        <v>2853.904461538461</v>
      </c>
    </row>
    <row r="106" spans="1:14">
      <c r="A106" s="863">
        <f t="shared" si="22"/>
        <v>92</v>
      </c>
      <c r="B106" s="709">
        <v>39902</v>
      </c>
      <c r="C106" s="1069" t="s">
        <v>1537</v>
      </c>
      <c r="D106" s="347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47">
        <v>0</v>
      </c>
      <c r="L106" s="467">
        <f t="shared" si="29"/>
        <v>1</v>
      </c>
      <c r="M106" s="467">
        <f t="shared" si="29"/>
        <v>1</v>
      </c>
      <c r="N106" s="431">
        <f t="shared" si="27"/>
        <v>0</v>
      </c>
    </row>
    <row r="107" spans="1:14">
      <c r="A107" s="863">
        <f t="shared" si="22"/>
        <v>93</v>
      </c>
      <c r="B107" s="709">
        <v>39903</v>
      </c>
      <c r="C107" s="1069" t="s">
        <v>1578</v>
      </c>
      <c r="D107" s="347">
        <v>38499.792999999983</v>
      </c>
      <c r="E107" s="431">
        <v>0</v>
      </c>
      <c r="F107" s="431">
        <f t="shared" si="23"/>
        <v>38499.792999999983</v>
      </c>
      <c r="G107" s="467">
        <f t="shared" si="28"/>
        <v>1</v>
      </c>
      <c r="H107" s="467">
        <f t="shared" si="28"/>
        <v>1</v>
      </c>
      <c r="I107" s="431">
        <f t="shared" si="25"/>
        <v>38499.792999999983</v>
      </c>
      <c r="K107" s="347">
        <v>31428.36926923076</v>
      </c>
      <c r="L107" s="467">
        <f t="shared" si="29"/>
        <v>1</v>
      </c>
      <c r="M107" s="467">
        <f t="shared" si="29"/>
        <v>1</v>
      </c>
      <c r="N107" s="431">
        <f t="shared" si="27"/>
        <v>31428.36926923076</v>
      </c>
    </row>
    <row r="108" spans="1:14">
      <c r="A108" s="863">
        <f t="shared" si="22"/>
        <v>94</v>
      </c>
      <c r="B108" s="709">
        <v>39906</v>
      </c>
      <c r="C108" s="1069" t="s">
        <v>1579</v>
      </c>
      <c r="D108" s="347">
        <v>818655.2629720032</v>
      </c>
      <c r="E108" s="431">
        <v>0</v>
      </c>
      <c r="F108" s="431">
        <f t="shared" si="23"/>
        <v>818655.2629720032</v>
      </c>
      <c r="G108" s="467">
        <f t="shared" si="28"/>
        <v>1</v>
      </c>
      <c r="H108" s="467">
        <f t="shared" si="28"/>
        <v>1</v>
      </c>
      <c r="I108" s="431">
        <f t="shared" si="25"/>
        <v>818655.2629720032</v>
      </c>
      <c r="K108" s="347">
        <v>669929.40963884862</v>
      </c>
      <c r="L108" s="467">
        <f t="shared" si="29"/>
        <v>1</v>
      </c>
      <c r="M108" s="467">
        <f t="shared" si="29"/>
        <v>1</v>
      </c>
      <c r="N108" s="431">
        <f t="shared" si="27"/>
        <v>669929.40963884862</v>
      </c>
    </row>
    <row r="109" spans="1:14">
      <c r="A109" s="863">
        <f t="shared" si="22"/>
        <v>95</v>
      </c>
      <c r="B109" s="709">
        <v>39907</v>
      </c>
      <c r="C109" s="1069" t="s">
        <v>1580</v>
      </c>
      <c r="D109" s="347">
        <v>0</v>
      </c>
      <c r="E109" s="431">
        <v>0</v>
      </c>
      <c r="F109" s="431">
        <f t="shared" si="23"/>
        <v>0</v>
      </c>
      <c r="G109" s="467">
        <f t="shared" si="28"/>
        <v>1</v>
      </c>
      <c r="H109" s="467">
        <f t="shared" si="28"/>
        <v>1</v>
      </c>
      <c r="I109" s="431">
        <f t="shared" si="25"/>
        <v>0</v>
      </c>
      <c r="K109" s="347">
        <v>0</v>
      </c>
      <c r="L109" s="467">
        <f t="shared" si="29"/>
        <v>1</v>
      </c>
      <c r="M109" s="467">
        <f t="shared" si="29"/>
        <v>1</v>
      </c>
      <c r="N109" s="431">
        <f t="shared" si="27"/>
        <v>0</v>
      </c>
    </row>
    <row r="110" spans="1:14">
      <c r="A110" s="863">
        <f t="shared" si="22"/>
        <v>96</v>
      </c>
      <c r="B110" s="709">
        <v>39908</v>
      </c>
      <c r="C110" s="1069" t="s">
        <v>1581</v>
      </c>
      <c r="D110" s="347">
        <v>119541.0195805</v>
      </c>
      <c r="E110" s="431">
        <v>0</v>
      </c>
      <c r="F110" s="431">
        <f t="shared" si="23"/>
        <v>119541.0195805</v>
      </c>
      <c r="G110" s="467">
        <f t="shared" si="28"/>
        <v>1</v>
      </c>
      <c r="H110" s="467">
        <f t="shared" si="28"/>
        <v>1</v>
      </c>
      <c r="I110" s="431">
        <f t="shared" si="25"/>
        <v>119541.0195805</v>
      </c>
      <c r="K110" s="347">
        <v>117719.3075793654</v>
      </c>
      <c r="L110" s="467">
        <f t="shared" si="29"/>
        <v>1</v>
      </c>
      <c r="M110" s="467">
        <f t="shared" si="29"/>
        <v>1</v>
      </c>
      <c r="N110" s="431">
        <f t="shared" si="27"/>
        <v>117719.3075793654</v>
      </c>
    </row>
    <row r="111" spans="1:14">
      <c r="A111" s="863">
        <f t="shared" si="22"/>
        <v>97</v>
      </c>
      <c r="B111" s="709"/>
      <c r="C111" s="88" t="s">
        <v>1153</v>
      </c>
      <c r="D111" s="347">
        <v>-3312254.5999999982</v>
      </c>
      <c r="E111" s="431">
        <v>0</v>
      </c>
      <c r="F111" s="431">
        <f t="shared" si="23"/>
        <v>-3312254.5999999982</v>
      </c>
      <c r="G111" s="467">
        <f t="shared" si="28"/>
        <v>1</v>
      </c>
      <c r="H111" s="467">
        <f t="shared" si="28"/>
        <v>1</v>
      </c>
      <c r="I111" s="431">
        <f t="shared" si="25"/>
        <v>-3312254.5999999982</v>
      </c>
      <c r="K111" s="347">
        <v>-3074904.4599999986</v>
      </c>
      <c r="L111" s="467">
        <f t="shared" si="29"/>
        <v>1</v>
      </c>
      <c r="M111" s="467">
        <f t="shared" si="29"/>
        <v>1</v>
      </c>
      <c r="N111" s="431">
        <f t="shared" si="27"/>
        <v>-3074904.4599999986</v>
      </c>
    </row>
    <row r="112" spans="1:14">
      <c r="A112" s="863">
        <f t="shared" si="22"/>
        <v>98</v>
      </c>
      <c r="B112" s="709"/>
      <c r="C112" s="88" t="s">
        <v>1429</v>
      </c>
      <c r="D112" s="347">
        <v>0</v>
      </c>
      <c r="E112" s="431">
        <v>0</v>
      </c>
      <c r="F112" s="431">
        <f t="shared" si="23"/>
        <v>0</v>
      </c>
      <c r="G112" s="467">
        <f t="shared" si="28"/>
        <v>1</v>
      </c>
      <c r="H112" s="467">
        <f t="shared" si="28"/>
        <v>1</v>
      </c>
      <c r="I112" s="431">
        <f t="shared" si="25"/>
        <v>0</v>
      </c>
      <c r="K112" s="347">
        <v>0</v>
      </c>
      <c r="L112" s="467">
        <f t="shared" si="29"/>
        <v>1</v>
      </c>
      <c r="M112" s="467">
        <f t="shared" si="29"/>
        <v>1</v>
      </c>
      <c r="N112" s="431">
        <f t="shared" ref="N112" si="30">K112*L112*M112</f>
        <v>0</v>
      </c>
    </row>
    <row r="113" spans="1:19">
      <c r="A113" s="863">
        <f t="shared" si="22"/>
        <v>99</v>
      </c>
      <c r="B113" s="709"/>
      <c r="C113" s="88" t="s">
        <v>1277</v>
      </c>
      <c r="D113" s="347">
        <v>0</v>
      </c>
      <c r="E113" s="431">
        <v>0</v>
      </c>
      <c r="F113" s="431">
        <f t="shared" ref="F113" si="31">D113-E113</f>
        <v>0</v>
      </c>
      <c r="G113" s="467">
        <f t="shared" si="28"/>
        <v>1</v>
      </c>
      <c r="H113" s="467">
        <f t="shared" si="28"/>
        <v>1</v>
      </c>
      <c r="I113" s="431">
        <f t="shared" ref="I113" si="32">F113*G113*H113</f>
        <v>0</v>
      </c>
      <c r="K113" s="347">
        <v>0</v>
      </c>
      <c r="L113" s="467">
        <f t="shared" si="29"/>
        <v>1</v>
      </c>
      <c r="M113" s="467">
        <f t="shared" si="29"/>
        <v>1</v>
      </c>
      <c r="N113" s="431">
        <f t="shared" ref="N113" si="33">K113*L113*M113</f>
        <v>0</v>
      </c>
      <c r="P113" s="693"/>
    </row>
    <row r="114" spans="1:19">
      <c r="A114" s="863">
        <f t="shared" si="22"/>
        <v>100</v>
      </c>
      <c r="B114" s="709"/>
      <c r="C114" s="88"/>
      <c r="D114" s="1068"/>
      <c r="E114" s="431"/>
      <c r="F114" s="1068"/>
      <c r="G114" s="467"/>
      <c r="H114" s="467"/>
      <c r="I114" s="1068"/>
      <c r="K114" s="1068"/>
      <c r="L114" s="467"/>
      <c r="M114" s="467"/>
      <c r="N114" s="1068"/>
    </row>
    <row r="115" spans="1:19">
      <c r="A115" s="863">
        <f t="shared" si="22"/>
        <v>101</v>
      </c>
      <c r="B115" s="391"/>
      <c r="C115" s="88" t="s">
        <v>1402</v>
      </c>
      <c r="D115" s="347">
        <f>SUM(D86:D114)</f>
        <v>3659555.8108659568</v>
      </c>
      <c r="E115" s="347">
        <f>SUM(E86:E114)</f>
        <v>0</v>
      </c>
      <c r="F115" s="347">
        <f>SUM(F86:F114)</f>
        <v>3659555.8108659568</v>
      </c>
      <c r="I115" s="347">
        <f>SUM(I86:I114)</f>
        <v>3659555.8108659568</v>
      </c>
      <c r="K115" s="347">
        <f>SUM(K86:K114)</f>
        <v>3141124.2085339888</v>
      </c>
      <c r="N115" s="347">
        <f>SUM(N86:N114)</f>
        <v>3141124.2085339888</v>
      </c>
    </row>
    <row r="116" spans="1:19">
      <c r="A116" s="863">
        <f t="shared" si="22"/>
        <v>102</v>
      </c>
      <c r="B116" s="391"/>
      <c r="C116" s="88"/>
      <c r="D116" s="431"/>
      <c r="E116" s="431"/>
      <c r="F116" s="431"/>
      <c r="I116" s="431"/>
      <c r="K116" s="431"/>
      <c r="N116" s="431"/>
    </row>
    <row r="117" spans="1:19">
      <c r="A117" s="863">
        <f t="shared" si="22"/>
        <v>103</v>
      </c>
      <c r="B117" s="391"/>
      <c r="C117" s="234" t="s">
        <v>1343</v>
      </c>
      <c r="D117" s="347">
        <f>D115+D83+D59+D47+D26+D19</f>
        <v>174126201.86683366</v>
      </c>
      <c r="E117" s="347">
        <f>E115+E83+E59+E47+E26+E19</f>
        <v>0</v>
      </c>
      <c r="F117" s="347">
        <f>F115+F83+F59+F47+F26+F19</f>
        <v>174126201.86683366</v>
      </c>
      <c r="I117" s="347">
        <f>I115+I83+I59+I47+I26+I19</f>
        <v>174126201.86683366</v>
      </c>
      <c r="K117" s="347">
        <f>K115+K83+K59+K47+K26+K19</f>
        <v>169079368.14038897</v>
      </c>
      <c r="N117" s="347">
        <f>N115+N83+N59+N47+N26+N19</f>
        <v>169079368.14038897</v>
      </c>
      <c r="S117" s="693"/>
    </row>
    <row r="118" spans="1:19">
      <c r="A118" s="863">
        <f t="shared" si="22"/>
        <v>104</v>
      </c>
      <c r="B118" s="1050"/>
      <c r="D118" s="431"/>
    </row>
    <row r="119" spans="1:19" ht="15.75">
      <c r="A119" s="863">
        <f t="shared" si="22"/>
        <v>105</v>
      </c>
      <c r="B119" s="1055" t="s">
        <v>7</v>
      </c>
      <c r="D119" s="431"/>
    </row>
    <row r="120" spans="1:19">
      <c r="A120" s="863">
        <f t="shared" si="22"/>
        <v>106</v>
      </c>
      <c r="B120" s="1050"/>
      <c r="D120" s="431"/>
    </row>
    <row r="121" spans="1:19">
      <c r="A121" s="863">
        <f t="shared" si="22"/>
        <v>107</v>
      </c>
      <c r="B121" s="391"/>
      <c r="C121" s="622" t="s">
        <v>301</v>
      </c>
      <c r="D121" s="431"/>
    </row>
    <row r="122" spans="1:19">
      <c r="A122" s="863">
        <f t="shared" si="22"/>
        <v>108</v>
      </c>
      <c r="B122" s="515">
        <v>30100</v>
      </c>
      <c r="C122" s="88" t="s">
        <v>295</v>
      </c>
      <c r="D122" s="347">
        <v>0</v>
      </c>
      <c r="E122" s="347">
        <v>0</v>
      </c>
      <c r="F122" s="347">
        <f>D122+E122</f>
        <v>0</v>
      </c>
      <c r="G122" s="467">
        <f>$G$16</f>
        <v>1</v>
      </c>
      <c r="H122" s="468">
        <f>Allocation!$H$17</f>
        <v>0.49440000000000001</v>
      </c>
      <c r="I122" s="347">
        <f>F122*G122*H122</f>
        <v>0</v>
      </c>
      <c r="K122" s="347">
        <v>0</v>
      </c>
      <c r="L122" s="467">
        <f t="shared" ref="L122:M123" si="34">G122</f>
        <v>1</v>
      </c>
      <c r="M122" s="468">
        <f t="shared" si="34"/>
        <v>0.49440000000000001</v>
      </c>
      <c r="N122" s="347">
        <f>K122*L122*M122</f>
        <v>0</v>
      </c>
    </row>
    <row r="123" spans="1:19">
      <c r="A123" s="863">
        <f t="shared" si="22"/>
        <v>109</v>
      </c>
      <c r="B123" s="515">
        <v>30300</v>
      </c>
      <c r="C123" s="88" t="s">
        <v>548</v>
      </c>
      <c r="D123" s="347">
        <v>0</v>
      </c>
      <c r="E123" s="382">
        <v>0</v>
      </c>
      <c r="F123" s="382">
        <f>D123+E123</f>
        <v>0</v>
      </c>
      <c r="G123" s="467">
        <f>$G$16</f>
        <v>1</v>
      </c>
      <c r="H123" s="468">
        <f>$H$122</f>
        <v>0.49440000000000001</v>
      </c>
      <c r="I123" s="1054">
        <f>F123*G123*H123</f>
        <v>0</v>
      </c>
      <c r="K123" s="347">
        <v>0</v>
      </c>
      <c r="L123" s="467">
        <f t="shared" si="34"/>
        <v>1</v>
      </c>
      <c r="M123" s="468">
        <f t="shared" si="34"/>
        <v>0.49440000000000001</v>
      </c>
      <c r="N123" s="1054">
        <f>K123*L123*M123</f>
        <v>0</v>
      </c>
    </row>
    <row r="124" spans="1:19">
      <c r="A124" s="863">
        <f t="shared" si="22"/>
        <v>110</v>
      </c>
      <c r="B124" s="515"/>
      <c r="C124" s="88"/>
      <c r="D124" s="621"/>
      <c r="E124" s="621"/>
      <c r="F124" s="621"/>
    </row>
    <row r="125" spans="1:19">
      <c r="A125" s="863">
        <f t="shared" si="22"/>
        <v>111</v>
      </c>
      <c r="B125" s="709"/>
      <c r="C125" s="88" t="s">
        <v>302</v>
      </c>
      <c r="D125" s="347">
        <f>SUM(D122:D124)</f>
        <v>0</v>
      </c>
      <c r="E125" s="347">
        <f>SUM(E122:E124)</f>
        <v>0</v>
      </c>
      <c r="F125" s="347">
        <f>SUM(F122:F124)</f>
        <v>0</v>
      </c>
      <c r="G125" s="467"/>
      <c r="H125" s="467"/>
      <c r="I125" s="347">
        <f>SUM(I122:I124)</f>
        <v>0</v>
      </c>
      <c r="K125" s="347">
        <f>SUM(K122:K124)</f>
        <v>0</v>
      </c>
      <c r="N125" s="347">
        <f>SUM(N122:N124)</f>
        <v>0</v>
      </c>
    </row>
    <row r="126" spans="1:19">
      <c r="A126" s="863">
        <f t="shared" si="22"/>
        <v>112</v>
      </c>
      <c r="B126" s="1070"/>
    </row>
    <row r="127" spans="1:19">
      <c r="A127" s="863">
        <f t="shared" si="22"/>
        <v>113</v>
      </c>
      <c r="B127" s="709"/>
      <c r="C127" s="622" t="s">
        <v>303</v>
      </c>
    </row>
    <row r="128" spans="1:19">
      <c r="A128" s="863">
        <f t="shared" si="22"/>
        <v>114</v>
      </c>
      <c r="B128" s="515">
        <v>37400</v>
      </c>
      <c r="C128" s="88" t="s">
        <v>1157</v>
      </c>
      <c r="D128" s="347">
        <v>0</v>
      </c>
      <c r="E128" s="347">
        <v>0</v>
      </c>
      <c r="F128" s="347">
        <f t="shared" ref="F128:F148" si="35">D128+E128</f>
        <v>0</v>
      </c>
      <c r="G128" s="467">
        <f t="shared" ref="G128:G148" si="36">$G$16</f>
        <v>1</v>
      </c>
      <c r="H128" s="468">
        <f t="shared" ref="H128:H148" si="37">$H$122</f>
        <v>0.49440000000000001</v>
      </c>
      <c r="I128" s="347">
        <f t="shared" ref="I128:I148" si="38">F128*G128*H128</f>
        <v>0</v>
      </c>
      <c r="K128" s="347">
        <v>0</v>
      </c>
      <c r="L128" s="467">
        <f t="shared" ref="L128:L148" si="39">G128</f>
        <v>1</v>
      </c>
      <c r="M128" s="468">
        <f t="shared" ref="M128:M148" si="40">H128</f>
        <v>0.49440000000000001</v>
      </c>
      <c r="N128" s="347">
        <f t="shared" ref="N128:N148" si="41">K128*L128*M128</f>
        <v>0</v>
      </c>
    </row>
    <row r="129" spans="1:14">
      <c r="A129" s="863">
        <f t="shared" si="22"/>
        <v>115</v>
      </c>
      <c r="B129" s="515">
        <v>35010</v>
      </c>
      <c r="C129" s="88" t="s">
        <v>296</v>
      </c>
      <c r="D129" s="431">
        <v>0</v>
      </c>
      <c r="E129" s="431">
        <v>0</v>
      </c>
      <c r="F129" s="431">
        <f t="shared" si="35"/>
        <v>0</v>
      </c>
      <c r="G129" s="467">
        <f t="shared" si="36"/>
        <v>1</v>
      </c>
      <c r="H129" s="468">
        <f t="shared" si="37"/>
        <v>0.49440000000000001</v>
      </c>
      <c r="I129" s="431">
        <f t="shared" si="38"/>
        <v>0</v>
      </c>
      <c r="K129" s="431">
        <v>0</v>
      </c>
      <c r="L129" s="467">
        <f t="shared" si="39"/>
        <v>1</v>
      </c>
      <c r="M129" s="468">
        <f t="shared" si="40"/>
        <v>0.49440000000000001</v>
      </c>
      <c r="N129" s="431">
        <f t="shared" si="41"/>
        <v>0</v>
      </c>
    </row>
    <row r="130" spans="1:14">
      <c r="A130" s="863">
        <f t="shared" si="22"/>
        <v>116</v>
      </c>
      <c r="B130" s="515">
        <v>37402</v>
      </c>
      <c r="C130" s="88" t="s">
        <v>1007</v>
      </c>
      <c r="D130" s="431">
        <v>0</v>
      </c>
      <c r="E130" s="431">
        <v>0</v>
      </c>
      <c r="F130" s="431">
        <f t="shared" si="35"/>
        <v>0</v>
      </c>
      <c r="G130" s="467">
        <f t="shared" si="36"/>
        <v>1</v>
      </c>
      <c r="H130" s="468">
        <f t="shared" si="37"/>
        <v>0.49440000000000001</v>
      </c>
      <c r="I130" s="431">
        <f t="shared" si="38"/>
        <v>0</v>
      </c>
      <c r="K130" s="431">
        <v>0</v>
      </c>
      <c r="L130" s="467">
        <f t="shared" si="39"/>
        <v>1</v>
      </c>
      <c r="M130" s="468">
        <f t="shared" si="40"/>
        <v>0.49440000000000001</v>
      </c>
      <c r="N130" s="431">
        <f t="shared" si="41"/>
        <v>0</v>
      </c>
    </row>
    <row r="131" spans="1:14">
      <c r="A131" s="863">
        <f t="shared" si="22"/>
        <v>117</v>
      </c>
      <c r="B131" s="515">
        <v>37403</v>
      </c>
      <c r="C131" s="88" t="s">
        <v>1004</v>
      </c>
      <c r="D131" s="431">
        <v>0</v>
      </c>
      <c r="E131" s="431">
        <v>0</v>
      </c>
      <c r="F131" s="431">
        <f t="shared" si="35"/>
        <v>0</v>
      </c>
      <c r="G131" s="467">
        <f t="shared" si="36"/>
        <v>1</v>
      </c>
      <c r="H131" s="468">
        <f t="shared" si="37"/>
        <v>0.49440000000000001</v>
      </c>
      <c r="I131" s="431">
        <f t="shared" si="38"/>
        <v>0</v>
      </c>
      <c r="K131" s="431">
        <v>0</v>
      </c>
      <c r="L131" s="467">
        <f t="shared" si="39"/>
        <v>1</v>
      </c>
      <c r="M131" s="468">
        <f t="shared" si="40"/>
        <v>0.49440000000000001</v>
      </c>
      <c r="N131" s="431">
        <f t="shared" si="41"/>
        <v>0</v>
      </c>
    </row>
    <row r="132" spans="1:14">
      <c r="A132" s="863">
        <f t="shared" si="22"/>
        <v>118</v>
      </c>
      <c r="B132" s="515">
        <v>36602</v>
      </c>
      <c r="C132" s="88" t="s">
        <v>863</v>
      </c>
      <c r="D132" s="431">
        <v>0</v>
      </c>
      <c r="E132" s="431">
        <v>0</v>
      </c>
      <c r="F132" s="431">
        <f t="shared" si="35"/>
        <v>0</v>
      </c>
      <c r="G132" s="467">
        <f t="shared" si="36"/>
        <v>1</v>
      </c>
      <c r="H132" s="468">
        <f t="shared" si="37"/>
        <v>0.49440000000000001</v>
      </c>
      <c r="I132" s="431">
        <f t="shared" si="38"/>
        <v>0</v>
      </c>
      <c r="K132" s="431">
        <v>0</v>
      </c>
      <c r="L132" s="467">
        <f t="shared" si="39"/>
        <v>1</v>
      </c>
      <c r="M132" s="468">
        <f t="shared" si="40"/>
        <v>0.49440000000000001</v>
      </c>
      <c r="N132" s="431">
        <f t="shared" si="41"/>
        <v>0</v>
      </c>
    </row>
    <row r="133" spans="1:14">
      <c r="A133" s="863">
        <f t="shared" si="22"/>
        <v>119</v>
      </c>
      <c r="B133" s="515">
        <v>37501</v>
      </c>
      <c r="C133" s="88" t="s">
        <v>1005</v>
      </c>
      <c r="D133" s="431">
        <v>0</v>
      </c>
      <c r="E133" s="431">
        <v>0</v>
      </c>
      <c r="F133" s="431">
        <f t="shared" si="35"/>
        <v>0</v>
      </c>
      <c r="G133" s="467">
        <f t="shared" si="36"/>
        <v>1</v>
      </c>
      <c r="H133" s="468">
        <f t="shared" si="37"/>
        <v>0.49440000000000001</v>
      </c>
      <c r="I133" s="431">
        <f t="shared" si="38"/>
        <v>0</v>
      </c>
      <c r="K133" s="431">
        <v>0</v>
      </c>
      <c r="L133" s="467">
        <f t="shared" si="39"/>
        <v>1</v>
      </c>
      <c r="M133" s="468">
        <f t="shared" si="40"/>
        <v>0.49440000000000001</v>
      </c>
      <c r="N133" s="431">
        <f t="shared" si="41"/>
        <v>0</v>
      </c>
    </row>
    <row r="134" spans="1:14">
      <c r="A134" s="863">
        <f t="shared" si="22"/>
        <v>120</v>
      </c>
      <c r="B134" s="515">
        <v>37402</v>
      </c>
      <c r="C134" s="88" t="s">
        <v>1007</v>
      </c>
      <c r="D134" s="431">
        <v>0</v>
      </c>
      <c r="E134" s="431">
        <v>0</v>
      </c>
      <c r="F134" s="431">
        <f t="shared" si="35"/>
        <v>0</v>
      </c>
      <c r="G134" s="467">
        <f t="shared" si="36"/>
        <v>1</v>
      </c>
      <c r="H134" s="468">
        <f t="shared" si="37"/>
        <v>0.49440000000000001</v>
      </c>
      <c r="I134" s="431">
        <f t="shared" si="38"/>
        <v>0</v>
      </c>
      <c r="K134" s="431">
        <v>0</v>
      </c>
      <c r="L134" s="467">
        <f t="shared" si="39"/>
        <v>1</v>
      </c>
      <c r="M134" s="468">
        <f t="shared" si="40"/>
        <v>0.49440000000000001</v>
      </c>
      <c r="N134" s="431">
        <f t="shared" si="41"/>
        <v>0</v>
      </c>
    </row>
    <row r="135" spans="1:14">
      <c r="A135" s="863">
        <f t="shared" si="22"/>
        <v>121</v>
      </c>
      <c r="B135" s="515">
        <v>37503</v>
      </c>
      <c r="C135" s="88" t="s">
        <v>1006</v>
      </c>
      <c r="D135" s="431">
        <v>0</v>
      </c>
      <c r="E135" s="431">
        <v>0</v>
      </c>
      <c r="F135" s="431">
        <f t="shared" si="35"/>
        <v>0</v>
      </c>
      <c r="G135" s="467">
        <f t="shared" si="36"/>
        <v>1</v>
      </c>
      <c r="H135" s="468">
        <f t="shared" si="37"/>
        <v>0.49440000000000001</v>
      </c>
      <c r="I135" s="431">
        <f t="shared" si="38"/>
        <v>0</v>
      </c>
      <c r="K135" s="431">
        <v>0</v>
      </c>
      <c r="L135" s="467">
        <f t="shared" si="39"/>
        <v>1</v>
      </c>
      <c r="M135" s="468">
        <f t="shared" si="40"/>
        <v>0.49440000000000001</v>
      </c>
      <c r="N135" s="431">
        <f t="shared" si="41"/>
        <v>0</v>
      </c>
    </row>
    <row r="136" spans="1:14">
      <c r="A136" s="863">
        <f t="shared" si="22"/>
        <v>122</v>
      </c>
      <c r="B136" s="515">
        <v>36700</v>
      </c>
      <c r="C136" s="88" t="s">
        <v>851</v>
      </c>
      <c r="D136" s="431">
        <v>0</v>
      </c>
      <c r="E136" s="431">
        <v>0</v>
      </c>
      <c r="F136" s="431">
        <f t="shared" si="35"/>
        <v>0</v>
      </c>
      <c r="G136" s="467">
        <f t="shared" si="36"/>
        <v>1</v>
      </c>
      <c r="H136" s="468">
        <f t="shared" si="37"/>
        <v>0.49440000000000001</v>
      </c>
      <c r="I136" s="431">
        <f t="shared" si="38"/>
        <v>0</v>
      </c>
      <c r="K136" s="431">
        <v>0</v>
      </c>
      <c r="L136" s="467">
        <f t="shared" si="39"/>
        <v>1</v>
      </c>
      <c r="M136" s="468">
        <f t="shared" si="40"/>
        <v>0.49440000000000001</v>
      </c>
      <c r="N136" s="431">
        <f t="shared" si="41"/>
        <v>0</v>
      </c>
    </row>
    <row r="137" spans="1:14">
      <c r="A137" s="863">
        <f t="shared" si="22"/>
        <v>123</v>
      </c>
      <c r="B137" s="515">
        <v>36701</v>
      </c>
      <c r="C137" s="88" t="s">
        <v>16</v>
      </c>
      <c r="D137" s="431">
        <v>0</v>
      </c>
      <c r="E137" s="431">
        <v>0</v>
      </c>
      <c r="F137" s="431">
        <f t="shared" si="35"/>
        <v>0</v>
      </c>
      <c r="G137" s="467">
        <f t="shared" si="36"/>
        <v>1</v>
      </c>
      <c r="H137" s="468">
        <f t="shared" si="37"/>
        <v>0.49440000000000001</v>
      </c>
      <c r="I137" s="431">
        <f t="shared" si="38"/>
        <v>0</v>
      </c>
      <c r="K137" s="431">
        <v>0</v>
      </c>
      <c r="L137" s="467">
        <f t="shared" si="39"/>
        <v>1</v>
      </c>
      <c r="M137" s="468">
        <f t="shared" si="40"/>
        <v>0.49440000000000001</v>
      </c>
      <c r="N137" s="431">
        <f t="shared" si="41"/>
        <v>0</v>
      </c>
    </row>
    <row r="138" spans="1:14">
      <c r="A138" s="863">
        <f t="shared" si="22"/>
        <v>124</v>
      </c>
      <c r="B138" s="515">
        <v>37602</v>
      </c>
      <c r="C138" s="88" t="s">
        <v>852</v>
      </c>
      <c r="D138" s="431">
        <v>0</v>
      </c>
      <c r="E138" s="431">
        <v>0</v>
      </c>
      <c r="F138" s="431">
        <f t="shared" si="35"/>
        <v>0</v>
      </c>
      <c r="G138" s="467">
        <f t="shared" si="36"/>
        <v>1</v>
      </c>
      <c r="H138" s="468">
        <f t="shared" si="37"/>
        <v>0.49440000000000001</v>
      </c>
      <c r="I138" s="431">
        <f t="shared" si="38"/>
        <v>0</v>
      </c>
      <c r="K138" s="431">
        <v>0</v>
      </c>
      <c r="L138" s="467">
        <f t="shared" si="39"/>
        <v>1</v>
      </c>
      <c r="M138" s="468">
        <f t="shared" si="40"/>
        <v>0.49440000000000001</v>
      </c>
      <c r="N138" s="431">
        <f t="shared" si="41"/>
        <v>0</v>
      </c>
    </row>
    <row r="139" spans="1:14">
      <c r="A139" s="863">
        <f t="shared" si="22"/>
        <v>125</v>
      </c>
      <c r="B139" s="515">
        <v>37800</v>
      </c>
      <c r="C139" s="88" t="s">
        <v>230</v>
      </c>
      <c r="D139" s="431">
        <v>0</v>
      </c>
      <c r="E139" s="431">
        <v>0</v>
      </c>
      <c r="F139" s="431">
        <f t="shared" si="35"/>
        <v>0</v>
      </c>
      <c r="G139" s="467">
        <f t="shared" si="36"/>
        <v>1</v>
      </c>
      <c r="H139" s="468">
        <f t="shared" si="37"/>
        <v>0.49440000000000001</v>
      </c>
      <c r="I139" s="431">
        <f t="shared" si="38"/>
        <v>0</v>
      </c>
      <c r="K139" s="431">
        <v>0</v>
      </c>
      <c r="L139" s="467">
        <f t="shared" si="39"/>
        <v>1</v>
      </c>
      <c r="M139" s="468">
        <f t="shared" si="40"/>
        <v>0.49440000000000001</v>
      </c>
      <c r="N139" s="431">
        <f t="shared" si="41"/>
        <v>0</v>
      </c>
    </row>
    <row r="140" spans="1:14">
      <c r="A140" s="863">
        <f t="shared" si="22"/>
        <v>126</v>
      </c>
      <c r="B140" s="515">
        <v>37900</v>
      </c>
      <c r="C140" s="88" t="s">
        <v>1200</v>
      </c>
      <c r="D140" s="431">
        <v>0</v>
      </c>
      <c r="E140" s="431">
        <v>0</v>
      </c>
      <c r="F140" s="431">
        <f t="shared" si="35"/>
        <v>0</v>
      </c>
      <c r="G140" s="467">
        <f t="shared" si="36"/>
        <v>1</v>
      </c>
      <c r="H140" s="468">
        <f t="shared" si="37"/>
        <v>0.49440000000000001</v>
      </c>
      <c r="I140" s="431">
        <f t="shared" si="38"/>
        <v>0</v>
      </c>
      <c r="K140" s="431">
        <v>0</v>
      </c>
      <c r="L140" s="467">
        <f t="shared" si="39"/>
        <v>1</v>
      </c>
      <c r="M140" s="468">
        <f t="shared" si="40"/>
        <v>0.49440000000000001</v>
      </c>
      <c r="N140" s="431">
        <f t="shared" si="41"/>
        <v>0</v>
      </c>
    </row>
    <row r="141" spans="1:14">
      <c r="A141" s="863">
        <f t="shared" si="22"/>
        <v>127</v>
      </c>
      <c r="B141" s="515">
        <v>37905</v>
      </c>
      <c r="C141" s="88" t="s">
        <v>732</v>
      </c>
      <c r="D141" s="431">
        <v>0</v>
      </c>
      <c r="E141" s="431">
        <v>0</v>
      </c>
      <c r="F141" s="431">
        <f t="shared" si="35"/>
        <v>0</v>
      </c>
      <c r="G141" s="467">
        <f t="shared" si="36"/>
        <v>1</v>
      </c>
      <c r="H141" s="468">
        <f t="shared" si="37"/>
        <v>0.49440000000000001</v>
      </c>
      <c r="I141" s="431">
        <f t="shared" si="38"/>
        <v>0</v>
      </c>
      <c r="K141" s="431">
        <v>0</v>
      </c>
      <c r="L141" s="467">
        <f t="shared" si="39"/>
        <v>1</v>
      </c>
      <c r="M141" s="468">
        <f t="shared" si="40"/>
        <v>0.49440000000000001</v>
      </c>
      <c r="N141" s="431">
        <f t="shared" si="41"/>
        <v>0</v>
      </c>
    </row>
    <row r="142" spans="1:14">
      <c r="A142" s="863">
        <f t="shared" si="22"/>
        <v>128</v>
      </c>
      <c r="B142" s="515">
        <v>38000</v>
      </c>
      <c r="C142" s="88" t="s">
        <v>1061</v>
      </c>
      <c r="D142" s="431">
        <v>0</v>
      </c>
      <c r="E142" s="431">
        <v>0</v>
      </c>
      <c r="F142" s="431">
        <f t="shared" si="35"/>
        <v>0</v>
      </c>
      <c r="G142" s="467">
        <f t="shared" si="36"/>
        <v>1</v>
      </c>
      <c r="H142" s="468">
        <f t="shared" si="37"/>
        <v>0.49440000000000001</v>
      </c>
      <c r="I142" s="431">
        <f t="shared" si="38"/>
        <v>0</v>
      </c>
      <c r="K142" s="431">
        <v>0</v>
      </c>
      <c r="L142" s="467">
        <f t="shared" si="39"/>
        <v>1</v>
      </c>
      <c r="M142" s="468">
        <f t="shared" si="40"/>
        <v>0.49440000000000001</v>
      </c>
      <c r="N142" s="431">
        <f t="shared" si="41"/>
        <v>0</v>
      </c>
    </row>
    <row r="143" spans="1:14">
      <c r="A143" s="863">
        <f t="shared" si="22"/>
        <v>129</v>
      </c>
      <c r="B143" s="515">
        <v>38100</v>
      </c>
      <c r="C143" s="88" t="s">
        <v>853</v>
      </c>
      <c r="D143" s="431">
        <v>0</v>
      </c>
      <c r="E143" s="431">
        <v>0</v>
      </c>
      <c r="F143" s="431">
        <f t="shared" si="35"/>
        <v>0</v>
      </c>
      <c r="G143" s="467">
        <f t="shared" si="36"/>
        <v>1</v>
      </c>
      <c r="H143" s="468">
        <f t="shared" si="37"/>
        <v>0.49440000000000001</v>
      </c>
      <c r="I143" s="431">
        <f t="shared" si="38"/>
        <v>0</v>
      </c>
      <c r="K143" s="431">
        <v>0</v>
      </c>
      <c r="L143" s="467">
        <f t="shared" si="39"/>
        <v>1</v>
      </c>
      <c r="M143" s="468">
        <f t="shared" si="40"/>
        <v>0.49440000000000001</v>
      </c>
      <c r="N143" s="431">
        <f t="shared" si="41"/>
        <v>0</v>
      </c>
    </row>
    <row r="144" spans="1:14">
      <c r="A144" s="863">
        <f t="shared" si="22"/>
        <v>130</v>
      </c>
      <c r="B144" s="515">
        <v>38200</v>
      </c>
      <c r="C144" s="88" t="s">
        <v>447</v>
      </c>
      <c r="D144" s="431">
        <v>0</v>
      </c>
      <c r="E144" s="431">
        <v>0</v>
      </c>
      <c r="F144" s="431">
        <f t="shared" si="35"/>
        <v>0</v>
      </c>
      <c r="G144" s="467">
        <f t="shared" si="36"/>
        <v>1</v>
      </c>
      <c r="H144" s="468">
        <f t="shared" si="37"/>
        <v>0.49440000000000001</v>
      </c>
      <c r="I144" s="431">
        <f t="shared" si="38"/>
        <v>0</v>
      </c>
      <c r="K144" s="431">
        <v>0</v>
      </c>
      <c r="L144" s="467">
        <f t="shared" si="39"/>
        <v>1</v>
      </c>
      <c r="M144" s="468">
        <f t="shared" si="40"/>
        <v>0.49440000000000001</v>
      </c>
      <c r="N144" s="431">
        <f t="shared" si="41"/>
        <v>0</v>
      </c>
    </row>
    <row r="145" spans="1:19">
      <c r="A145" s="863">
        <f t="shared" si="22"/>
        <v>131</v>
      </c>
      <c r="B145" s="515">
        <v>38300</v>
      </c>
      <c r="C145" s="88" t="s">
        <v>1062</v>
      </c>
      <c r="D145" s="431">
        <v>0</v>
      </c>
      <c r="E145" s="431">
        <v>0</v>
      </c>
      <c r="F145" s="431">
        <f t="shared" si="35"/>
        <v>0</v>
      </c>
      <c r="G145" s="467">
        <f t="shared" si="36"/>
        <v>1</v>
      </c>
      <c r="H145" s="468">
        <f t="shared" si="37"/>
        <v>0.49440000000000001</v>
      </c>
      <c r="I145" s="431">
        <f t="shared" si="38"/>
        <v>0</v>
      </c>
      <c r="K145" s="431">
        <v>0</v>
      </c>
      <c r="L145" s="467">
        <f t="shared" si="39"/>
        <v>1</v>
      </c>
      <c r="M145" s="468">
        <f t="shared" si="40"/>
        <v>0.49440000000000001</v>
      </c>
      <c r="N145" s="431">
        <f t="shared" si="41"/>
        <v>0</v>
      </c>
    </row>
    <row r="146" spans="1:19">
      <c r="A146" s="863">
        <f t="shared" si="22"/>
        <v>132</v>
      </c>
      <c r="B146" s="515">
        <v>38400</v>
      </c>
      <c r="C146" s="88" t="s">
        <v>448</v>
      </c>
      <c r="D146" s="431">
        <v>0</v>
      </c>
      <c r="E146" s="431">
        <v>0</v>
      </c>
      <c r="F146" s="431">
        <f t="shared" si="35"/>
        <v>0</v>
      </c>
      <c r="G146" s="467">
        <f t="shared" si="36"/>
        <v>1</v>
      </c>
      <c r="H146" s="468">
        <f t="shared" si="37"/>
        <v>0.49440000000000001</v>
      </c>
      <c r="I146" s="431">
        <f t="shared" si="38"/>
        <v>0</v>
      </c>
      <c r="K146" s="431">
        <v>0</v>
      </c>
      <c r="L146" s="467">
        <f t="shared" si="39"/>
        <v>1</v>
      </c>
      <c r="M146" s="468">
        <f t="shared" si="40"/>
        <v>0.49440000000000001</v>
      </c>
      <c r="N146" s="431">
        <f t="shared" si="41"/>
        <v>0</v>
      </c>
    </row>
    <row r="147" spans="1:19">
      <c r="A147" s="863">
        <f t="shared" si="22"/>
        <v>133</v>
      </c>
      <c r="B147" s="515">
        <v>38500</v>
      </c>
      <c r="C147" s="88" t="s">
        <v>449</v>
      </c>
      <c r="D147" s="431">
        <v>0</v>
      </c>
      <c r="E147" s="431">
        <v>0</v>
      </c>
      <c r="F147" s="431">
        <f t="shared" si="35"/>
        <v>0</v>
      </c>
      <c r="G147" s="467">
        <f t="shared" si="36"/>
        <v>1</v>
      </c>
      <c r="H147" s="468">
        <f t="shared" si="37"/>
        <v>0.49440000000000001</v>
      </c>
      <c r="I147" s="431">
        <f t="shared" si="38"/>
        <v>0</v>
      </c>
      <c r="K147" s="431">
        <v>0</v>
      </c>
      <c r="L147" s="467">
        <f t="shared" si="39"/>
        <v>1</v>
      </c>
      <c r="M147" s="468">
        <f t="shared" si="40"/>
        <v>0.49440000000000001</v>
      </c>
      <c r="N147" s="431">
        <f t="shared" si="41"/>
        <v>0</v>
      </c>
    </row>
    <row r="148" spans="1:19">
      <c r="A148" s="863">
        <f t="shared" si="22"/>
        <v>134</v>
      </c>
      <c r="B148" s="515">
        <v>38600</v>
      </c>
      <c r="C148" s="88" t="s">
        <v>107</v>
      </c>
      <c r="D148" s="1054">
        <v>0</v>
      </c>
      <c r="E148" s="1054">
        <v>0</v>
      </c>
      <c r="F148" s="1054">
        <f t="shared" si="35"/>
        <v>0</v>
      </c>
      <c r="G148" s="467">
        <f t="shared" si="36"/>
        <v>1</v>
      </c>
      <c r="H148" s="468">
        <f t="shared" si="37"/>
        <v>0.49440000000000001</v>
      </c>
      <c r="I148" s="1054">
        <f t="shared" si="38"/>
        <v>0</v>
      </c>
      <c r="K148" s="1054">
        <v>0</v>
      </c>
      <c r="L148" s="467">
        <f t="shared" si="39"/>
        <v>1</v>
      </c>
      <c r="M148" s="468">
        <f t="shared" si="40"/>
        <v>0.49440000000000001</v>
      </c>
      <c r="N148" s="1054">
        <f t="shared" si="41"/>
        <v>0</v>
      </c>
    </row>
    <row r="149" spans="1:19">
      <c r="A149" s="863">
        <f t="shared" ref="A149:A231" si="42">A148+1</f>
        <v>135</v>
      </c>
      <c r="B149" s="515"/>
      <c r="C149" s="88"/>
      <c r="M149" s="468"/>
    </row>
    <row r="150" spans="1:19">
      <c r="A150" s="863">
        <f t="shared" si="42"/>
        <v>136</v>
      </c>
      <c r="B150" s="515"/>
      <c r="C150" s="88" t="s">
        <v>304</v>
      </c>
      <c r="D150" s="347">
        <f>SUM(D128:D149)</f>
        <v>0</v>
      </c>
      <c r="E150" s="347">
        <f>SUM(E128:E149)</f>
        <v>0</v>
      </c>
      <c r="F150" s="347">
        <f>SUM(F128:F149)</f>
        <v>0</v>
      </c>
      <c r="I150" s="347">
        <f>SUM(I128:I149)</f>
        <v>0</v>
      </c>
      <c r="K150" s="347">
        <f>SUM(K128:K149)</f>
        <v>0</v>
      </c>
      <c r="M150" s="468"/>
      <c r="N150" s="347">
        <f>SUM(N128:N149)</f>
        <v>0</v>
      </c>
    </row>
    <row r="151" spans="1:19">
      <c r="A151" s="863">
        <f t="shared" si="42"/>
        <v>137</v>
      </c>
      <c r="B151" s="515"/>
      <c r="C151" s="88"/>
      <c r="M151" s="468"/>
    </row>
    <row r="152" spans="1:19">
      <c r="A152" s="863">
        <f t="shared" si="42"/>
        <v>138</v>
      </c>
      <c r="B152" s="709"/>
      <c r="C152" s="622" t="s">
        <v>305</v>
      </c>
      <c r="M152" s="468"/>
    </row>
    <row r="153" spans="1:19">
      <c r="A153" s="863">
        <f t="shared" si="42"/>
        <v>139</v>
      </c>
      <c r="B153" s="515">
        <v>39001</v>
      </c>
      <c r="C153" s="88" t="s">
        <v>1582</v>
      </c>
      <c r="D153" s="361">
        <v>97362.606168000028</v>
      </c>
      <c r="E153" s="624">
        <v>0</v>
      </c>
      <c r="F153" s="347">
        <f t="shared" ref="F153:F173" si="43">D153+E153</f>
        <v>97362.606168000028</v>
      </c>
      <c r="G153" s="468">
        <f t="shared" ref="G153:G174" si="44">$G$16</f>
        <v>1</v>
      </c>
      <c r="H153" s="468">
        <f t="shared" ref="H153:H174" si="45">$H$122</f>
        <v>0.49440000000000001</v>
      </c>
      <c r="I153" s="431">
        <f t="shared" ref="I153:I174" si="46">F153*G153*H153</f>
        <v>48136.072489459213</v>
      </c>
      <c r="K153" s="347">
        <v>94959.474352923091</v>
      </c>
      <c r="L153" s="468">
        <f t="shared" ref="L153:L174" si="47">G153</f>
        <v>1</v>
      </c>
      <c r="M153" s="468">
        <f t="shared" ref="M153:M174" si="48">H153</f>
        <v>0.49440000000000001</v>
      </c>
      <c r="N153" s="347">
        <f t="shared" ref="N153:N174" si="49">K153*L153*M153</f>
        <v>46947.964120085177</v>
      </c>
      <c r="P153" s="515"/>
      <c r="R153" s="425"/>
      <c r="S153" s="425"/>
    </row>
    <row r="154" spans="1:19">
      <c r="A154" s="863">
        <f t="shared" si="42"/>
        <v>140</v>
      </c>
      <c r="B154" s="515">
        <v>39004</v>
      </c>
      <c r="C154" s="88" t="s">
        <v>1566</v>
      </c>
      <c r="D154" s="361">
        <v>8250.9603015000012</v>
      </c>
      <c r="E154" s="431">
        <v>0</v>
      </c>
      <c r="F154" s="431">
        <f t="shared" si="43"/>
        <v>8250.9603015000012</v>
      </c>
      <c r="G154" s="467">
        <f t="shared" si="44"/>
        <v>1</v>
      </c>
      <c r="H154" s="468">
        <f t="shared" si="45"/>
        <v>0.49440000000000001</v>
      </c>
      <c r="I154" s="431">
        <f t="shared" si="46"/>
        <v>4079.2747730616006</v>
      </c>
      <c r="K154" s="347">
        <v>7687.1400811730773</v>
      </c>
      <c r="L154" s="467">
        <f t="shared" si="47"/>
        <v>1</v>
      </c>
      <c r="M154" s="468">
        <f t="shared" si="48"/>
        <v>0.49440000000000001</v>
      </c>
      <c r="N154" s="431">
        <f t="shared" si="49"/>
        <v>3800.5220561319693</v>
      </c>
      <c r="P154" s="515"/>
      <c r="R154" s="425"/>
      <c r="S154" s="425"/>
    </row>
    <row r="155" spans="1:19">
      <c r="A155" s="863">
        <f t="shared" si="42"/>
        <v>141</v>
      </c>
      <c r="B155" s="515">
        <v>39009</v>
      </c>
      <c r="C155" s="88" t="s">
        <v>1567</v>
      </c>
      <c r="D155" s="361">
        <v>38834</v>
      </c>
      <c r="E155" s="431">
        <v>0</v>
      </c>
      <c r="F155" s="431">
        <f t="shared" si="43"/>
        <v>38834</v>
      </c>
      <c r="G155" s="467">
        <f t="shared" si="44"/>
        <v>1</v>
      </c>
      <c r="H155" s="468">
        <f t="shared" si="45"/>
        <v>0.49440000000000001</v>
      </c>
      <c r="I155" s="431">
        <f t="shared" si="46"/>
        <v>19199.529600000002</v>
      </c>
      <c r="K155" s="347">
        <v>38834</v>
      </c>
      <c r="L155" s="467">
        <f t="shared" si="47"/>
        <v>1</v>
      </c>
      <c r="M155" s="468">
        <f t="shared" si="48"/>
        <v>0.49440000000000001</v>
      </c>
      <c r="N155" s="431">
        <f t="shared" si="49"/>
        <v>19199.529600000002</v>
      </c>
      <c r="P155" s="515"/>
      <c r="R155" s="425"/>
      <c r="S155" s="425"/>
    </row>
    <row r="156" spans="1:19">
      <c r="A156" s="863">
        <f t="shared" si="42"/>
        <v>142</v>
      </c>
      <c r="B156" s="515">
        <v>39100</v>
      </c>
      <c r="C156" s="88" t="s">
        <v>1568</v>
      </c>
      <c r="D156" s="361">
        <v>41397.21</v>
      </c>
      <c r="E156" s="431">
        <v>0</v>
      </c>
      <c r="F156" s="431">
        <f t="shared" si="43"/>
        <v>41397.21</v>
      </c>
      <c r="G156" s="467">
        <f t="shared" si="44"/>
        <v>1</v>
      </c>
      <c r="H156" s="468">
        <f t="shared" si="45"/>
        <v>0.49440000000000001</v>
      </c>
      <c r="I156" s="431">
        <f t="shared" si="46"/>
        <v>20466.780623999999</v>
      </c>
      <c r="K156" s="347">
        <v>41397.210000000006</v>
      </c>
      <c r="L156" s="467">
        <f t="shared" ref="L156:L161" si="50">G156</f>
        <v>1</v>
      </c>
      <c r="M156" s="468">
        <f t="shared" ref="M156:M161" si="51">H156</f>
        <v>0.49440000000000001</v>
      </c>
      <c r="N156" s="431">
        <f t="shared" si="49"/>
        <v>20466.780624000003</v>
      </c>
      <c r="P156" s="515"/>
      <c r="R156" s="425"/>
      <c r="S156" s="425"/>
    </row>
    <row r="157" spans="1:19">
      <c r="A157" s="863">
        <f t="shared" si="42"/>
        <v>143</v>
      </c>
      <c r="B157" s="515">
        <v>39101</v>
      </c>
      <c r="C157" s="88" t="s">
        <v>1538</v>
      </c>
      <c r="D157" s="361">
        <v>0</v>
      </c>
      <c r="E157" s="431">
        <v>0</v>
      </c>
      <c r="F157" s="431">
        <f t="shared" si="43"/>
        <v>0</v>
      </c>
      <c r="G157" s="467">
        <f t="shared" si="44"/>
        <v>1</v>
      </c>
      <c r="H157" s="468">
        <f t="shared" si="45"/>
        <v>0.49440000000000001</v>
      </c>
      <c r="I157" s="431">
        <f t="shared" si="46"/>
        <v>0</v>
      </c>
      <c r="K157" s="347">
        <v>0</v>
      </c>
      <c r="L157" s="467">
        <f t="shared" si="50"/>
        <v>1</v>
      </c>
      <c r="M157" s="468">
        <f t="shared" si="51"/>
        <v>0.49440000000000001</v>
      </c>
      <c r="N157" s="431">
        <f t="shared" si="49"/>
        <v>0</v>
      </c>
      <c r="P157" s="515"/>
      <c r="R157" s="425"/>
      <c r="S157" s="425"/>
    </row>
    <row r="158" spans="1:19">
      <c r="A158" s="863">
        <f t="shared" si="42"/>
        <v>144</v>
      </c>
      <c r="B158" s="515">
        <v>39103</v>
      </c>
      <c r="C158" s="88" t="s">
        <v>787</v>
      </c>
      <c r="D158" s="361">
        <v>0</v>
      </c>
      <c r="E158" s="431">
        <v>0</v>
      </c>
      <c r="F158" s="431">
        <f t="shared" si="43"/>
        <v>0</v>
      </c>
      <c r="G158" s="467">
        <f t="shared" si="44"/>
        <v>1</v>
      </c>
      <c r="H158" s="468">
        <f t="shared" si="45"/>
        <v>0.49440000000000001</v>
      </c>
      <c r="I158" s="431">
        <f t="shared" si="46"/>
        <v>0</v>
      </c>
      <c r="K158" s="347">
        <v>0</v>
      </c>
      <c r="L158" s="467">
        <f t="shared" si="50"/>
        <v>1</v>
      </c>
      <c r="M158" s="468">
        <f t="shared" si="51"/>
        <v>0.49440000000000001</v>
      </c>
      <c r="N158" s="431">
        <f t="shared" si="49"/>
        <v>0</v>
      </c>
      <c r="P158" s="515"/>
      <c r="R158" s="425"/>
      <c r="S158" s="425"/>
    </row>
    <row r="159" spans="1:19">
      <c r="A159" s="863">
        <f t="shared" si="42"/>
        <v>145</v>
      </c>
      <c r="B159" s="515">
        <v>39200</v>
      </c>
      <c r="C159" s="88" t="s">
        <v>1583</v>
      </c>
      <c r="D159" s="361">
        <v>14714.304411500003</v>
      </c>
      <c r="E159" s="431">
        <v>0</v>
      </c>
      <c r="F159" s="431">
        <f t="shared" si="43"/>
        <v>14714.304411500003</v>
      </c>
      <c r="G159" s="467">
        <f t="shared" si="44"/>
        <v>1</v>
      </c>
      <c r="H159" s="468">
        <f t="shared" si="45"/>
        <v>0.49440000000000001</v>
      </c>
      <c r="I159" s="431">
        <f t="shared" si="46"/>
        <v>7274.7521010456012</v>
      </c>
      <c r="K159" s="347">
        <v>13804.355803096152</v>
      </c>
      <c r="L159" s="467">
        <f t="shared" si="50"/>
        <v>1</v>
      </c>
      <c r="M159" s="468">
        <f t="shared" si="51"/>
        <v>0.49440000000000001</v>
      </c>
      <c r="N159" s="431">
        <f t="shared" si="49"/>
        <v>6824.873509050738</v>
      </c>
      <c r="P159" s="515"/>
      <c r="R159" s="425"/>
      <c r="S159" s="425"/>
    </row>
    <row r="160" spans="1:19">
      <c r="A160" s="863">
        <f t="shared" si="42"/>
        <v>146</v>
      </c>
      <c r="B160" s="515">
        <v>39300</v>
      </c>
      <c r="C160" s="88" t="s">
        <v>655</v>
      </c>
      <c r="D160" s="361">
        <v>0</v>
      </c>
      <c r="E160" s="431">
        <v>0</v>
      </c>
      <c r="F160" s="431">
        <f t="shared" si="43"/>
        <v>0</v>
      </c>
      <c r="G160" s="467">
        <f t="shared" si="44"/>
        <v>1</v>
      </c>
      <c r="H160" s="468">
        <f t="shared" si="45"/>
        <v>0.49440000000000001</v>
      </c>
      <c r="I160" s="431">
        <f t="shared" si="46"/>
        <v>0</v>
      </c>
      <c r="K160" s="347">
        <v>0</v>
      </c>
      <c r="L160" s="467">
        <f t="shared" si="50"/>
        <v>1</v>
      </c>
      <c r="M160" s="468">
        <f t="shared" si="51"/>
        <v>0.49440000000000001</v>
      </c>
      <c r="N160" s="431">
        <f t="shared" si="49"/>
        <v>0</v>
      </c>
      <c r="P160" s="515"/>
      <c r="R160" s="425"/>
      <c r="S160" s="425"/>
    </row>
    <row r="161" spans="1:19">
      <c r="A161" s="863">
        <f t="shared" si="42"/>
        <v>147</v>
      </c>
      <c r="B161" s="515">
        <v>39400</v>
      </c>
      <c r="C161" s="88" t="s">
        <v>1571</v>
      </c>
      <c r="D161" s="361">
        <v>131937.66647999996</v>
      </c>
      <c r="E161" s="431">
        <v>0</v>
      </c>
      <c r="F161" s="431">
        <f t="shared" si="43"/>
        <v>131937.66647999996</v>
      </c>
      <c r="G161" s="467">
        <f t="shared" si="44"/>
        <v>1</v>
      </c>
      <c r="H161" s="468">
        <f t="shared" si="45"/>
        <v>0.49440000000000001</v>
      </c>
      <c r="I161" s="431">
        <f t="shared" si="46"/>
        <v>65229.98230771198</v>
      </c>
      <c r="K161" s="347">
        <v>128964.12405230767</v>
      </c>
      <c r="L161" s="467">
        <f t="shared" si="50"/>
        <v>1</v>
      </c>
      <c r="M161" s="468">
        <f t="shared" si="51"/>
        <v>0.49440000000000001</v>
      </c>
      <c r="N161" s="431">
        <f t="shared" si="49"/>
        <v>63759.862931460913</v>
      </c>
      <c r="P161" s="515"/>
      <c r="R161" s="425"/>
      <c r="S161" s="425"/>
    </row>
    <row r="162" spans="1:19">
      <c r="A162" s="863">
        <f t="shared" si="42"/>
        <v>148</v>
      </c>
      <c r="B162" s="515">
        <v>39600</v>
      </c>
      <c r="C162" s="88" t="s">
        <v>1584</v>
      </c>
      <c r="D162" s="361">
        <v>7060.4620419999974</v>
      </c>
      <c r="E162" s="431">
        <v>0</v>
      </c>
      <c r="F162" s="431">
        <f t="shared" si="43"/>
        <v>7060.4620419999974</v>
      </c>
      <c r="G162" s="467">
        <f t="shared" si="44"/>
        <v>1</v>
      </c>
      <c r="H162" s="468">
        <f t="shared" si="45"/>
        <v>0.49440000000000001</v>
      </c>
      <c r="I162" s="431">
        <f t="shared" si="46"/>
        <v>3490.6924335647986</v>
      </c>
      <c r="K162" s="347">
        <v>6613.2205497692303</v>
      </c>
      <c r="L162" s="467">
        <f t="shared" si="47"/>
        <v>1</v>
      </c>
      <c r="M162" s="468">
        <f t="shared" si="48"/>
        <v>0.49440000000000001</v>
      </c>
      <c r="N162" s="431">
        <f t="shared" si="49"/>
        <v>3269.5762398059073</v>
      </c>
      <c r="P162" s="515"/>
      <c r="R162" s="425"/>
      <c r="S162" s="425"/>
    </row>
    <row r="163" spans="1:19">
      <c r="A163" s="863">
        <f t="shared" si="42"/>
        <v>149</v>
      </c>
      <c r="B163" s="515">
        <v>39700</v>
      </c>
      <c r="C163" s="88" t="s">
        <v>1575</v>
      </c>
      <c r="D163" s="361">
        <v>-9039.5733499999951</v>
      </c>
      <c r="E163" s="431">
        <v>0</v>
      </c>
      <c r="F163" s="431">
        <f t="shared" si="43"/>
        <v>-9039.5733499999951</v>
      </c>
      <c r="G163" s="467">
        <f t="shared" si="44"/>
        <v>1</v>
      </c>
      <c r="H163" s="468">
        <f t="shared" si="45"/>
        <v>0.49440000000000001</v>
      </c>
      <c r="I163" s="431">
        <f t="shared" si="46"/>
        <v>-4469.1650642399973</v>
      </c>
      <c r="K163" s="347">
        <v>-9574.3647480769196</v>
      </c>
      <c r="L163" s="467">
        <f t="shared" si="47"/>
        <v>1</v>
      </c>
      <c r="M163" s="468">
        <f t="shared" si="48"/>
        <v>0.49440000000000001</v>
      </c>
      <c r="N163" s="431">
        <f t="shared" si="49"/>
        <v>-4733.5659314492295</v>
      </c>
      <c r="P163" s="515"/>
      <c r="R163" s="425"/>
      <c r="S163" s="425"/>
    </row>
    <row r="164" spans="1:19">
      <c r="A164" s="863">
        <f t="shared" si="42"/>
        <v>150</v>
      </c>
      <c r="B164" s="515">
        <v>39701</v>
      </c>
      <c r="C164" s="88" t="s">
        <v>1535</v>
      </c>
      <c r="D164" s="361">
        <v>0</v>
      </c>
      <c r="E164" s="431">
        <v>0</v>
      </c>
      <c r="F164" s="431">
        <f t="shared" si="43"/>
        <v>0</v>
      </c>
      <c r="G164" s="467">
        <f t="shared" si="44"/>
        <v>1</v>
      </c>
      <c r="H164" s="468">
        <f t="shared" si="45"/>
        <v>0.49440000000000001</v>
      </c>
      <c r="I164" s="431">
        <f t="shared" si="46"/>
        <v>0</v>
      </c>
      <c r="K164" s="347">
        <v>0</v>
      </c>
      <c r="L164" s="467">
        <f t="shared" si="47"/>
        <v>1</v>
      </c>
      <c r="M164" s="468">
        <f t="shared" si="48"/>
        <v>0.49440000000000001</v>
      </c>
      <c r="N164" s="431">
        <f t="shared" si="49"/>
        <v>0</v>
      </c>
      <c r="P164" s="515"/>
      <c r="R164" s="425"/>
      <c r="S164" s="425"/>
    </row>
    <row r="165" spans="1:19">
      <c r="A165" s="863">
        <f t="shared" si="42"/>
        <v>151</v>
      </c>
      <c r="B165" s="709">
        <v>39702</v>
      </c>
      <c r="C165" s="88" t="s">
        <v>1535</v>
      </c>
      <c r="D165" s="361">
        <v>0</v>
      </c>
      <c r="E165" s="431">
        <v>0</v>
      </c>
      <c r="F165" s="431">
        <f t="shared" si="43"/>
        <v>0</v>
      </c>
      <c r="G165" s="467">
        <f t="shared" si="44"/>
        <v>1</v>
      </c>
      <c r="H165" s="468">
        <f t="shared" si="45"/>
        <v>0.49440000000000001</v>
      </c>
      <c r="I165" s="431">
        <f t="shared" si="46"/>
        <v>0</v>
      </c>
      <c r="K165" s="347">
        <v>0</v>
      </c>
      <c r="L165" s="467">
        <f t="shared" si="47"/>
        <v>1</v>
      </c>
      <c r="M165" s="468">
        <f t="shared" si="48"/>
        <v>0.49440000000000001</v>
      </c>
      <c r="N165" s="431">
        <f t="shared" si="49"/>
        <v>0</v>
      </c>
      <c r="P165" s="515"/>
      <c r="R165" s="425"/>
      <c r="S165" s="425"/>
    </row>
    <row r="166" spans="1:19">
      <c r="A166" s="863">
        <f t="shared" si="42"/>
        <v>152</v>
      </c>
      <c r="B166" s="709">
        <v>39800</v>
      </c>
      <c r="C166" s="88" t="s">
        <v>1577</v>
      </c>
      <c r="D166" s="361">
        <v>674249.65536800027</v>
      </c>
      <c r="E166" s="431">
        <v>0</v>
      </c>
      <c r="F166" s="431">
        <f t="shared" si="43"/>
        <v>674249.65536800027</v>
      </c>
      <c r="G166" s="467">
        <f t="shared" si="44"/>
        <v>1</v>
      </c>
      <c r="H166" s="468">
        <f t="shared" si="45"/>
        <v>0.49440000000000001</v>
      </c>
      <c r="I166" s="431">
        <f t="shared" si="46"/>
        <v>333349.02961393935</v>
      </c>
      <c r="K166" s="347">
        <v>660123.8587529232</v>
      </c>
      <c r="L166" s="467">
        <f t="shared" si="47"/>
        <v>1</v>
      </c>
      <c r="M166" s="468">
        <f t="shared" si="48"/>
        <v>0.49440000000000001</v>
      </c>
      <c r="N166" s="431">
        <f t="shared" si="49"/>
        <v>326365.23576744524</v>
      </c>
      <c r="P166" s="515"/>
      <c r="R166" s="425"/>
      <c r="S166" s="425"/>
    </row>
    <row r="167" spans="1:19">
      <c r="A167" s="863">
        <f t="shared" si="42"/>
        <v>153</v>
      </c>
      <c r="B167" s="709">
        <v>39900</v>
      </c>
      <c r="C167" s="88" t="s">
        <v>1585</v>
      </c>
      <c r="D167" s="361">
        <v>0</v>
      </c>
      <c r="E167" s="431">
        <v>0</v>
      </c>
      <c r="F167" s="431">
        <f t="shared" si="43"/>
        <v>0</v>
      </c>
      <c r="G167" s="467">
        <f t="shared" si="44"/>
        <v>1</v>
      </c>
      <c r="H167" s="468">
        <f t="shared" si="45"/>
        <v>0.49440000000000001</v>
      </c>
      <c r="I167" s="431">
        <f t="shared" si="46"/>
        <v>0</v>
      </c>
      <c r="K167" s="347">
        <v>0</v>
      </c>
      <c r="L167" s="467">
        <f t="shared" si="47"/>
        <v>1</v>
      </c>
      <c r="M167" s="468">
        <f t="shared" si="48"/>
        <v>0.49440000000000001</v>
      </c>
      <c r="N167" s="431">
        <f t="shared" si="49"/>
        <v>0</v>
      </c>
      <c r="P167" s="515"/>
      <c r="R167" s="425"/>
      <c r="S167" s="425"/>
    </row>
    <row r="168" spans="1:19">
      <c r="A168" s="863">
        <f t="shared" si="42"/>
        <v>154</v>
      </c>
      <c r="B168" s="709">
        <v>39901</v>
      </c>
      <c r="C168" s="88" t="s">
        <v>1586</v>
      </c>
      <c r="D168" s="361">
        <v>-34804.35</v>
      </c>
      <c r="E168" s="431">
        <v>0</v>
      </c>
      <c r="F168" s="431">
        <f t="shared" si="43"/>
        <v>-34804.35</v>
      </c>
      <c r="G168" s="467">
        <f t="shared" si="44"/>
        <v>1</v>
      </c>
      <c r="H168" s="468">
        <f t="shared" si="45"/>
        <v>0.49440000000000001</v>
      </c>
      <c r="I168" s="431">
        <f t="shared" si="46"/>
        <v>-17207.270639999999</v>
      </c>
      <c r="K168" s="347">
        <v>-34825.123846153838</v>
      </c>
      <c r="L168" s="467">
        <f t="shared" si="47"/>
        <v>1</v>
      </c>
      <c r="M168" s="468">
        <f t="shared" si="48"/>
        <v>0.49440000000000001</v>
      </c>
      <c r="N168" s="431">
        <f t="shared" si="49"/>
        <v>-17217.541229538456</v>
      </c>
      <c r="P168" s="515"/>
      <c r="R168" s="425"/>
      <c r="S168" s="425"/>
    </row>
    <row r="169" spans="1:19">
      <c r="A169" s="863">
        <f t="shared" si="42"/>
        <v>155</v>
      </c>
      <c r="B169" s="709">
        <v>39902</v>
      </c>
      <c r="C169" s="88" t="s">
        <v>1587</v>
      </c>
      <c r="D169" s="361">
        <v>0</v>
      </c>
      <c r="E169" s="431">
        <v>0</v>
      </c>
      <c r="F169" s="431">
        <f t="shared" si="43"/>
        <v>0</v>
      </c>
      <c r="G169" s="467">
        <f t="shared" si="44"/>
        <v>1</v>
      </c>
      <c r="H169" s="468">
        <f t="shared" si="45"/>
        <v>0.49440000000000001</v>
      </c>
      <c r="I169" s="431">
        <f t="shared" si="46"/>
        <v>0</v>
      </c>
      <c r="K169" s="347">
        <v>0</v>
      </c>
      <c r="L169" s="467">
        <f t="shared" si="47"/>
        <v>1</v>
      </c>
      <c r="M169" s="468">
        <f t="shared" si="48"/>
        <v>0.49440000000000001</v>
      </c>
      <c r="N169" s="431">
        <f t="shared" si="49"/>
        <v>0</v>
      </c>
      <c r="P169" s="515"/>
      <c r="R169" s="425"/>
      <c r="S169" s="425"/>
    </row>
    <row r="170" spans="1:19">
      <c r="A170" s="863">
        <f t="shared" si="42"/>
        <v>156</v>
      </c>
      <c r="B170" s="709">
        <v>39903</v>
      </c>
      <c r="C170" s="88" t="s">
        <v>1578</v>
      </c>
      <c r="D170" s="361">
        <v>0</v>
      </c>
      <c r="E170" s="431">
        <v>0</v>
      </c>
      <c r="F170" s="431">
        <f t="shared" si="43"/>
        <v>0</v>
      </c>
      <c r="G170" s="467">
        <f t="shared" si="44"/>
        <v>1</v>
      </c>
      <c r="H170" s="468">
        <f t="shared" si="45"/>
        <v>0.49440000000000001</v>
      </c>
      <c r="I170" s="431">
        <f t="shared" si="46"/>
        <v>0</v>
      </c>
      <c r="K170" s="347">
        <v>0</v>
      </c>
      <c r="L170" s="467">
        <f t="shared" si="47"/>
        <v>1</v>
      </c>
      <c r="M170" s="468">
        <f t="shared" si="48"/>
        <v>0.49440000000000001</v>
      </c>
      <c r="N170" s="431">
        <f t="shared" si="49"/>
        <v>0</v>
      </c>
      <c r="P170" s="515"/>
      <c r="R170" s="425"/>
      <c r="S170" s="425"/>
    </row>
    <row r="171" spans="1:19">
      <c r="A171" s="863">
        <f t="shared" si="42"/>
        <v>157</v>
      </c>
      <c r="B171" s="709">
        <v>39906</v>
      </c>
      <c r="C171" s="88" t="s">
        <v>1579</v>
      </c>
      <c r="D171" s="361">
        <v>74207.98</v>
      </c>
      <c r="E171" s="431">
        <v>0</v>
      </c>
      <c r="F171" s="431">
        <f t="shared" si="43"/>
        <v>74207.98</v>
      </c>
      <c r="G171" s="467">
        <f t="shared" si="44"/>
        <v>1</v>
      </c>
      <c r="H171" s="468">
        <f t="shared" si="45"/>
        <v>0.49440000000000001</v>
      </c>
      <c r="I171" s="431">
        <f t="shared" si="46"/>
        <v>36688.425311999999</v>
      </c>
      <c r="K171" s="347">
        <v>74207.98</v>
      </c>
      <c r="L171" s="467">
        <f t="shared" si="47"/>
        <v>1</v>
      </c>
      <c r="M171" s="468">
        <f t="shared" si="48"/>
        <v>0.49440000000000001</v>
      </c>
      <c r="N171" s="431">
        <f t="shared" si="49"/>
        <v>36688.425311999999</v>
      </c>
      <c r="P171" s="515"/>
      <c r="R171" s="425"/>
      <c r="S171" s="425"/>
    </row>
    <row r="172" spans="1:19">
      <c r="A172" s="863">
        <f t="shared" si="42"/>
        <v>158</v>
      </c>
      <c r="B172" s="709">
        <v>39907</v>
      </c>
      <c r="C172" s="88" t="s">
        <v>1580</v>
      </c>
      <c r="D172" s="361">
        <v>19229.81242350001</v>
      </c>
      <c r="E172" s="431">
        <v>0</v>
      </c>
      <c r="F172" s="431">
        <f t="shared" si="43"/>
        <v>19229.81242350001</v>
      </c>
      <c r="G172" s="467">
        <f t="shared" si="44"/>
        <v>1</v>
      </c>
      <c r="H172" s="468">
        <f t="shared" si="45"/>
        <v>0.49440000000000001</v>
      </c>
      <c r="I172" s="431">
        <f t="shared" si="46"/>
        <v>9507.2192621784052</v>
      </c>
      <c r="K172" s="347">
        <v>17282.023344788464</v>
      </c>
      <c r="L172" s="467">
        <f t="shared" si="47"/>
        <v>1</v>
      </c>
      <c r="M172" s="468">
        <f t="shared" si="48"/>
        <v>0.49440000000000001</v>
      </c>
      <c r="N172" s="431">
        <f t="shared" si="49"/>
        <v>8544.2323416634172</v>
      </c>
      <c r="P172" s="515"/>
      <c r="R172" s="425"/>
      <c r="S172" s="425"/>
    </row>
    <row r="173" spans="1:19">
      <c r="A173" s="863">
        <f t="shared" si="42"/>
        <v>159</v>
      </c>
      <c r="B173" s="709">
        <v>39908</v>
      </c>
      <c r="C173" s="88" t="s">
        <v>1581</v>
      </c>
      <c r="D173" s="361">
        <v>828509.36</v>
      </c>
      <c r="E173" s="431">
        <v>0</v>
      </c>
      <c r="F173" s="431">
        <f t="shared" si="43"/>
        <v>828509.36</v>
      </c>
      <c r="G173" s="467">
        <f t="shared" si="44"/>
        <v>1</v>
      </c>
      <c r="H173" s="468">
        <f t="shared" si="45"/>
        <v>0.49440000000000001</v>
      </c>
      <c r="I173" s="431">
        <f t="shared" si="46"/>
        <v>409615.02758400002</v>
      </c>
      <c r="K173" s="347">
        <v>828509.36</v>
      </c>
      <c r="L173" s="467">
        <f t="shared" si="47"/>
        <v>1</v>
      </c>
      <c r="M173" s="468">
        <f t="shared" si="48"/>
        <v>0.49440000000000001</v>
      </c>
      <c r="N173" s="431">
        <f t="shared" si="49"/>
        <v>409615.02758400002</v>
      </c>
      <c r="P173" s="515"/>
      <c r="R173" s="425"/>
      <c r="S173" s="425"/>
    </row>
    <row r="174" spans="1:19">
      <c r="A174" s="863">
        <f t="shared" si="42"/>
        <v>160</v>
      </c>
      <c r="B174" s="709"/>
      <c r="C174" s="88" t="s">
        <v>1153</v>
      </c>
      <c r="D174" s="361">
        <v>52517.30000000001</v>
      </c>
      <c r="E174" s="812"/>
      <c r="F174" s="812"/>
      <c r="G174" s="467">
        <f t="shared" si="44"/>
        <v>1</v>
      </c>
      <c r="H174" s="468">
        <f t="shared" si="45"/>
        <v>0.49440000000000001</v>
      </c>
      <c r="I174" s="1054">
        <f t="shared" si="46"/>
        <v>0</v>
      </c>
      <c r="K174" s="347">
        <v>52517.30000000001</v>
      </c>
      <c r="L174" s="467">
        <f t="shared" si="47"/>
        <v>1</v>
      </c>
      <c r="M174" s="468">
        <f t="shared" si="48"/>
        <v>0.49440000000000001</v>
      </c>
      <c r="N174" s="1054">
        <f t="shared" si="49"/>
        <v>25964.553120000004</v>
      </c>
      <c r="R174" s="425"/>
      <c r="S174" s="425"/>
    </row>
    <row r="175" spans="1:19">
      <c r="A175" s="863">
        <f t="shared" si="42"/>
        <v>161</v>
      </c>
      <c r="B175" s="391"/>
      <c r="C175" s="88"/>
      <c r="D175" s="621"/>
      <c r="E175" s="621"/>
      <c r="F175" s="621"/>
    </row>
    <row r="176" spans="1:19">
      <c r="A176" s="863">
        <f t="shared" si="42"/>
        <v>162</v>
      </c>
      <c r="B176" s="391"/>
      <c r="C176" s="88" t="s">
        <v>4</v>
      </c>
      <c r="D176" s="347">
        <f>SUM(D153:D174)</f>
        <v>1944427.3938445004</v>
      </c>
      <c r="E176" s="347">
        <f>SUM(E153:E174)</f>
        <v>0</v>
      </c>
      <c r="F176" s="347">
        <f>SUM(F153:F174)</f>
        <v>1891910.0938445004</v>
      </c>
      <c r="I176" s="347">
        <f>SUM(I153:I174)</f>
        <v>935360.35039672093</v>
      </c>
      <c r="K176" s="347">
        <f>SUM(K153:K174)</f>
        <v>1920500.5583427502</v>
      </c>
      <c r="N176" s="347">
        <f>SUM(N153:N174)</f>
        <v>949495.47604465578</v>
      </c>
    </row>
    <row r="177" spans="1:19">
      <c r="A177" s="863">
        <f t="shared" si="42"/>
        <v>163</v>
      </c>
      <c r="B177" s="391"/>
      <c r="C177" s="88"/>
    </row>
    <row r="178" spans="1:19" ht="15.75" thickBot="1">
      <c r="A178" s="863">
        <f t="shared" si="42"/>
        <v>164</v>
      </c>
      <c r="B178" s="391"/>
      <c r="C178" s="234" t="s">
        <v>1346</v>
      </c>
      <c r="D178" s="330">
        <f>D125+D150+D176</f>
        <v>1944427.3938445004</v>
      </c>
      <c r="E178" s="330">
        <f>E125+E150+E176</f>
        <v>0</v>
      </c>
      <c r="F178" s="330">
        <f>F125+F150+F176</f>
        <v>1891910.0938445004</v>
      </c>
      <c r="I178" s="330">
        <f>I125+I150+I176</f>
        <v>935360.35039672093</v>
      </c>
      <c r="K178" s="330">
        <f>K125+K150+K176</f>
        <v>1920500.5583427502</v>
      </c>
      <c r="N178" s="330">
        <f>N125+N150+N176</f>
        <v>949495.47604465578</v>
      </c>
    </row>
    <row r="179" spans="1:19" ht="15.75" thickTop="1">
      <c r="A179" s="863">
        <f t="shared" si="42"/>
        <v>165</v>
      </c>
      <c r="B179" s="1050"/>
      <c r="D179" s="431"/>
      <c r="E179" s="329"/>
    </row>
    <row r="180" spans="1:19" ht="15.75">
      <c r="A180" s="863">
        <f t="shared" si="42"/>
        <v>166</v>
      </c>
      <c r="B180" s="1055" t="s">
        <v>8</v>
      </c>
      <c r="D180" s="431"/>
      <c r="E180" s="329"/>
    </row>
    <row r="181" spans="1:19">
      <c r="A181" s="863">
        <f t="shared" si="42"/>
        <v>167</v>
      </c>
      <c r="D181" s="431"/>
    </row>
    <row r="182" spans="1:19">
      <c r="A182" s="863">
        <f t="shared" si="42"/>
        <v>168</v>
      </c>
      <c r="B182" s="391"/>
      <c r="C182" s="622" t="s">
        <v>305</v>
      </c>
      <c r="D182" s="431"/>
    </row>
    <row r="183" spans="1:19">
      <c r="A183" s="863">
        <f t="shared" si="42"/>
        <v>169</v>
      </c>
      <c r="B183" s="515">
        <v>39000</v>
      </c>
      <c r="C183" s="88" t="s">
        <v>1563</v>
      </c>
      <c r="D183" s="347">
        <v>470346.30362341501</v>
      </c>
      <c r="E183" s="624">
        <v>0</v>
      </c>
      <c r="F183" s="347">
        <f t="shared" ref="F183:F221" si="52">D183+E183</f>
        <v>470346.30362341501</v>
      </c>
      <c r="G183" s="468">
        <f>Allocation!$G$14</f>
        <v>9.8900000000000002E-2</v>
      </c>
      <c r="H183" s="468">
        <f>Allocation!$H$14</f>
        <v>0.49440000000000001</v>
      </c>
      <c r="I183" s="431">
        <f t="shared" ref="I183:I221" si="53">F183*G183*H183</f>
        <v>22998.128117379081</v>
      </c>
      <c r="K183" s="347">
        <v>451140.6569037576</v>
      </c>
      <c r="L183" s="468">
        <f>G183</f>
        <v>9.8900000000000002E-2</v>
      </c>
      <c r="M183" s="468">
        <f t="shared" ref="M183:M221" si="54">H183</f>
        <v>0.49440000000000001</v>
      </c>
      <c r="N183" s="347">
        <f t="shared" ref="N183:N221" si="55">K183*L183*M183</f>
        <v>22059.045742471237</v>
      </c>
      <c r="P183" s="663"/>
      <c r="R183" s="425"/>
      <c r="S183" s="425"/>
    </row>
    <row r="184" spans="1:19">
      <c r="A184" s="863">
        <f t="shared" si="42"/>
        <v>170</v>
      </c>
      <c r="B184" s="515">
        <v>39005</v>
      </c>
      <c r="C184" s="88" t="s">
        <v>1588</v>
      </c>
      <c r="D184" s="347">
        <v>3425409.4895795002</v>
      </c>
      <c r="E184" s="624">
        <v>0</v>
      </c>
      <c r="F184" s="431">
        <f t="shared" si="52"/>
        <v>3425409.4895795002</v>
      </c>
      <c r="G184" s="468">
        <v>1</v>
      </c>
      <c r="H184" s="468">
        <f>Allocation!E20</f>
        <v>1.550753E-2</v>
      </c>
      <c r="I184" s="431">
        <f t="shared" ref="I184:I198" si="56">F184*G184*H184</f>
        <v>53119.640421938784</v>
      </c>
      <c r="K184" s="347">
        <v>3233790.5833483269</v>
      </c>
      <c r="L184" s="468">
        <f t="shared" ref="L184:L220" si="57">G184</f>
        <v>1</v>
      </c>
      <c r="M184" s="468">
        <f t="shared" ref="M184:M220" si="58">H184</f>
        <v>1.550753E-2</v>
      </c>
      <c r="N184" s="431">
        <f t="shared" si="55"/>
        <v>50148.10448499168</v>
      </c>
      <c r="P184" s="663"/>
      <c r="R184" s="425"/>
      <c r="S184" s="425"/>
    </row>
    <row r="185" spans="1:19">
      <c r="A185" s="863">
        <f t="shared" si="42"/>
        <v>171</v>
      </c>
      <c r="B185" s="515">
        <v>39009</v>
      </c>
      <c r="C185" s="88" t="s">
        <v>1567</v>
      </c>
      <c r="D185" s="347">
        <v>9352081.261483293</v>
      </c>
      <c r="E185" s="624">
        <v>0</v>
      </c>
      <c r="F185" s="431">
        <f t="shared" si="52"/>
        <v>9352081.261483293</v>
      </c>
      <c r="G185" s="468">
        <f>Allocation!$G$14</f>
        <v>9.8900000000000002E-2</v>
      </c>
      <c r="H185" s="468">
        <f>Allocation!$H$14</f>
        <v>0.49440000000000001</v>
      </c>
      <c r="I185" s="431">
        <f t="shared" si="56"/>
        <v>457280.86169448891</v>
      </c>
      <c r="K185" s="347">
        <v>9190905.8588171974</v>
      </c>
      <c r="L185" s="468">
        <f t="shared" si="57"/>
        <v>9.8900000000000002E-2</v>
      </c>
      <c r="M185" s="468">
        <f t="shared" si="58"/>
        <v>0.49440000000000001</v>
      </c>
      <c r="N185" s="431">
        <f t="shared" si="55"/>
        <v>449400.0034176631</v>
      </c>
      <c r="P185" s="663"/>
      <c r="R185" s="425"/>
      <c r="S185" s="425"/>
    </row>
    <row r="186" spans="1:19">
      <c r="A186" s="863">
        <f t="shared" si="42"/>
        <v>172</v>
      </c>
      <c r="B186" s="515">
        <v>39020</v>
      </c>
      <c r="C186" s="88" t="s">
        <v>1539</v>
      </c>
      <c r="D186" s="347">
        <v>-0.04</v>
      </c>
      <c r="E186" s="624">
        <v>0</v>
      </c>
      <c r="F186" s="431">
        <f t="shared" si="52"/>
        <v>-0.04</v>
      </c>
      <c r="G186" s="468">
        <v>1</v>
      </c>
      <c r="H186" s="468">
        <f>Allocation!E22</f>
        <v>6.437198999999999E-2</v>
      </c>
      <c r="I186" s="431">
        <f t="shared" si="56"/>
        <v>-2.5748795999999997E-3</v>
      </c>
      <c r="K186" s="347">
        <v>-3.9999999999999994E-2</v>
      </c>
      <c r="L186" s="468">
        <f t="shared" si="57"/>
        <v>1</v>
      </c>
      <c r="M186" s="468">
        <f t="shared" si="58"/>
        <v>6.437198999999999E-2</v>
      </c>
      <c r="N186" s="431">
        <f t="shared" si="55"/>
        <v>-2.5748795999999993E-3</v>
      </c>
      <c r="P186" s="663"/>
      <c r="R186" s="425"/>
      <c r="S186" s="425"/>
    </row>
    <row r="187" spans="1:19">
      <c r="A187" s="863">
        <f t="shared" si="42"/>
        <v>173</v>
      </c>
      <c r="B187" s="515">
        <v>39029</v>
      </c>
      <c r="C187" s="88" t="s">
        <v>1540</v>
      </c>
      <c r="D187" s="347">
        <v>-0.08</v>
      </c>
      <c r="E187" s="624">
        <v>0</v>
      </c>
      <c r="F187" s="431">
        <f t="shared" si="52"/>
        <v>-0.08</v>
      </c>
      <c r="G187" s="468">
        <v>1</v>
      </c>
      <c r="H187" s="468">
        <f>Allocation!E22</f>
        <v>6.437198999999999E-2</v>
      </c>
      <c r="I187" s="431">
        <f t="shared" si="56"/>
        <v>-5.1497591999999995E-3</v>
      </c>
      <c r="K187" s="347">
        <v>-7.9999999999999988E-2</v>
      </c>
      <c r="L187" s="468">
        <f t="shared" si="57"/>
        <v>1</v>
      </c>
      <c r="M187" s="468">
        <f t="shared" si="58"/>
        <v>6.437198999999999E-2</v>
      </c>
      <c r="N187" s="431">
        <f t="shared" si="55"/>
        <v>-5.1497591999999986E-3</v>
      </c>
      <c r="P187" s="663"/>
      <c r="R187" s="425"/>
      <c r="S187" s="425"/>
    </row>
    <row r="188" spans="1:19">
      <c r="A188" s="863">
        <f t="shared" si="42"/>
        <v>174</v>
      </c>
      <c r="B188" s="515">
        <v>39100</v>
      </c>
      <c r="C188" s="88" t="s">
        <v>1568</v>
      </c>
      <c r="D188" s="347">
        <v>1741999.8427880045</v>
      </c>
      <c r="E188" s="624">
        <v>0</v>
      </c>
      <c r="F188" s="431">
        <f t="shared" si="52"/>
        <v>1741999.8427880045</v>
      </c>
      <c r="G188" s="468">
        <f>Allocation!$G$14</f>
        <v>9.8900000000000002E-2</v>
      </c>
      <c r="H188" s="468">
        <f>Allocation!$H$14</f>
        <v>0.49440000000000001</v>
      </c>
      <c r="I188" s="431">
        <f t="shared" si="56"/>
        <v>85177.103032937128</v>
      </c>
      <c r="K188" s="347">
        <v>2682949.1026425627</v>
      </c>
      <c r="L188" s="468">
        <f t="shared" si="57"/>
        <v>9.8900000000000002E-2</v>
      </c>
      <c r="M188" s="468">
        <f t="shared" si="58"/>
        <v>0.49440000000000001</v>
      </c>
      <c r="N188" s="431">
        <f t="shared" si="55"/>
        <v>131185.90859466715</v>
      </c>
      <c r="P188" s="663"/>
      <c r="R188" s="425"/>
      <c r="S188" s="425"/>
    </row>
    <row r="189" spans="1:19">
      <c r="A189" s="863">
        <f t="shared" si="42"/>
        <v>175</v>
      </c>
      <c r="B189" s="515">
        <v>39102</v>
      </c>
      <c r="C189" s="88" t="s">
        <v>1589</v>
      </c>
      <c r="D189" s="347">
        <v>0.84000000000000008</v>
      </c>
      <c r="E189" s="624">
        <v>0</v>
      </c>
      <c r="F189" s="431">
        <f t="shared" si="52"/>
        <v>0.84000000000000008</v>
      </c>
      <c r="G189" s="468">
        <f>Allocation!$G$14</f>
        <v>9.8900000000000002E-2</v>
      </c>
      <c r="H189" s="468">
        <f>Allocation!$H$14</f>
        <v>0.49440000000000001</v>
      </c>
      <c r="I189" s="431">
        <f t="shared" si="56"/>
        <v>4.1072774400000005E-2</v>
      </c>
      <c r="K189" s="347">
        <v>0.61384615384615382</v>
      </c>
      <c r="L189" s="468">
        <f t="shared" si="57"/>
        <v>9.8900000000000002E-2</v>
      </c>
      <c r="M189" s="468">
        <f t="shared" si="58"/>
        <v>0.49440000000000001</v>
      </c>
      <c r="N189" s="431">
        <f t="shared" si="55"/>
        <v>3.0014719753846154E-2</v>
      </c>
      <c r="P189" s="663"/>
      <c r="R189" s="425"/>
      <c r="S189" s="425"/>
    </row>
    <row r="190" spans="1:19">
      <c r="A190" s="863">
        <f t="shared" si="42"/>
        <v>176</v>
      </c>
      <c r="B190" s="515">
        <v>39103</v>
      </c>
      <c r="C190" s="88" t="s">
        <v>1342</v>
      </c>
      <c r="D190" s="347">
        <v>0.3</v>
      </c>
      <c r="E190" s="624">
        <v>0</v>
      </c>
      <c r="F190" s="431">
        <f t="shared" si="52"/>
        <v>0.3</v>
      </c>
      <c r="G190" s="468">
        <f>Allocation!$G$14</f>
        <v>9.8900000000000002E-2</v>
      </c>
      <c r="H190" s="468">
        <f>Allocation!$H$14</f>
        <v>0.49440000000000001</v>
      </c>
      <c r="I190" s="431">
        <f t="shared" si="56"/>
        <v>1.4668848E-2</v>
      </c>
      <c r="K190" s="347">
        <v>0.2192307692307692</v>
      </c>
      <c r="L190" s="468">
        <f t="shared" si="57"/>
        <v>9.8900000000000002E-2</v>
      </c>
      <c r="M190" s="468">
        <f t="shared" si="58"/>
        <v>0.49440000000000001</v>
      </c>
      <c r="N190" s="431">
        <f t="shared" si="55"/>
        <v>1.0719542769230768E-2</v>
      </c>
      <c r="P190" s="663"/>
      <c r="R190" s="425"/>
      <c r="S190" s="425"/>
    </row>
    <row r="191" spans="1:19">
      <c r="A191" s="863">
        <f t="shared" si="42"/>
        <v>177</v>
      </c>
      <c r="B191" s="515">
        <v>39104</v>
      </c>
      <c r="C191" s="88" t="s">
        <v>1590</v>
      </c>
      <c r="D191" s="347">
        <v>34219.260221999997</v>
      </c>
      <c r="E191" s="624">
        <v>0</v>
      </c>
      <c r="F191" s="431">
        <f t="shared" si="52"/>
        <v>34219.260221999997</v>
      </c>
      <c r="G191" s="468">
        <f>G184</f>
        <v>1</v>
      </c>
      <c r="H191" s="468">
        <f>H184</f>
        <v>1.550753E-2</v>
      </c>
      <c r="I191" s="431">
        <f t="shared" si="56"/>
        <v>530.65620447047161</v>
      </c>
      <c r="K191" s="347">
        <v>30180.531982846154</v>
      </c>
      <c r="L191" s="468">
        <f t="shared" si="57"/>
        <v>1</v>
      </c>
      <c r="M191" s="468">
        <f t="shared" si="58"/>
        <v>1.550753E-2</v>
      </c>
      <c r="N191" s="431">
        <f t="shared" si="55"/>
        <v>468.02550513994623</v>
      </c>
      <c r="P191" s="663"/>
      <c r="R191" s="425"/>
      <c r="S191" s="425"/>
    </row>
    <row r="192" spans="1:19">
      <c r="A192" s="863">
        <f t="shared" si="42"/>
        <v>178</v>
      </c>
      <c r="B192" s="515">
        <v>39120</v>
      </c>
      <c r="C192" s="88" t="s">
        <v>1541</v>
      </c>
      <c r="D192" s="347">
        <v>91745.37311799996</v>
      </c>
      <c r="E192" s="624">
        <v>0</v>
      </c>
      <c r="F192" s="431">
        <f t="shared" si="52"/>
        <v>91745.37311799996</v>
      </c>
      <c r="G192" s="468">
        <v>1</v>
      </c>
      <c r="H192" s="468">
        <f>H187</f>
        <v>6.437198999999999E-2</v>
      </c>
      <c r="I192" s="431">
        <f t="shared" si="56"/>
        <v>5905.8322408981612</v>
      </c>
      <c r="K192" s="347">
        <v>90224.430070230723</v>
      </c>
      <c r="L192" s="468">
        <f t="shared" si="57"/>
        <v>1</v>
      </c>
      <c r="M192" s="468">
        <f t="shared" si="58"/>
        <v>6.437198999999999E-2</v>
      </c>
      <c r="N192" s="431">
        <f t="shared" si="55"/>
        <v>5807.9261102365908</v>
      </c>
      <c r="P192" s="663"/>
      <c r="R192" s="425"/>
      <c r="S192" s="425"/>
    </row>
    <row r="193" spans="1:19">
      <c r="A193" s="863">
        <f t="shared" si="42"/>
        <v>179</v>
      </c>
      <c r="B193" s="515">
        <v>39200</v>
      </c>
      <c r="C193" s="88" t="s">
        <v>1569</v>
      </c>
      <c r="D193" s="347">
        <v>4474.4899999999989</v>
      </c>
      <c r="E193" s="624">
        <v>0</v>
      </c>
      <c r="F193" s="431">
        <f t="shared" si="52"/>
        <v>4474.4899999999989</v>
      </c>
      <c r="G193" s="468">
        <f>Allocation!$G$14</f>
        <v>9.8900000000000002E-2</v>
      </c>
      <c r="H193" s="468">
        <f>Allocation!$H$14</f>
        <v>0.49440000000000001</v>
      </c>
      <c r="I193" s="431">
        <f t="shared" si="56"/>
        <v>218.78537895839995</v>
      </c>
      <c r="K193" s="347">
        <v>4309.1392307692295</v>
      </c>
      <c r="L193" s="468">
        <f t="shared" si="57"/>
        <v>9.8900000000000002E-2</v>
      </c>
      <c r="M193" s="468">
        <f t="shared" si="58"/>
        <v>0.49440000000000001</v>
      </c>
      <c r="N193" s="431">
        <f t="shared" si="55"/>
        <v>210.70036128996915</v>
      </c>
      <c r="P193" s="663"/>
      <c r="R193" s="425"/>
      <c r="S193" s="425"/>
    </row>
    <row r="194" spans="1:19">
      <c r="A194" s="863">
        <f t="shared" si="42"/>
        <v>180</v>
      </c>
      <c r="B194" s="515">
        <v>39300</v>
      </c>
      <c r="C194" s="88" t="s">
        <v>1591</v>
      </c>
      <c r="D194" s="347">
        <v>0</v>
      </c>
      <c r="E194" s="624">
        <v>0</v>
      </c>
      <c r="F194" s="431">
        <f t="shared" si="52"/>
        <v>0</v>
      </c>
      <c r="G194" s="468">
        <f>Allocation!$G$14</f>
        <v>9.8900000000000002E-2</v>
      </c>
      <c r="H194" s="468">
        <f>Allocation!$H$14</f>
        <v>0.49440000000000001</v>
      </c>
      <c r="I194" s="431">
        <f t="shared" si="56"/>
        <v>0</v>
      </c>
      <c r="K194" s="347">
        <v>0</v>
      </c>
      <c r="L194" s="468">
        <f t="shared" si="57"/>
        <v>9.8900000000000002E-2</v>
      </c>
      <c r="M194" s="468">
        <f t="shared" si="58"/>
        <v>0.49440000000000001</v>
      </c>
      <c r="N194" s="431">
        <f t="shared" si="55"/>
        <v>0</v>
      </c>
      <c r="P194" s="663"/>
      <c r="R194" s="425"/>
      <c r="S194" s="425"/>
    </row>
    <row r="195" spans="1:19">
      <c r="A195" s="863">
        <f t="shared" si="42"/>
        <v>181</v>
      </c>
      <c r="B195" s="515">
        <v>39400</v>
      </c>
      <c r="C195" s="88" t="s">
        <v>1571</v>
      </c>
      <c r="D195" s="347">
        <v>32087.850994335611</v>
      </c>
      <c r="E195" s="624">
        <v>0</v>
      </c>
      <c r="F195" s="431">
        <f t="shared" si="52"/>
        <v>32087.850994335611</v>
      </c>
      <c r="G195" s="468">
        <f>Allocation!$G$14</f>
        <v>9.8900000000000002E-2</v>
      </c>
      <c r="H195" s="468">
        <f>Allocation!$H$14</f>
        <v>0.49440000000000001</v>
      </c>
      <c r="I195" s="431">
        <f t="shared" si="56"/>
        <v>1568.9726962751931</v>
      </c>
      <c r="K195" s="347">
        <v>65440.53908129943</v>
      </c>
      <c r="L195" s="468">
        <f t="shared" si="57"/>
        <v>9.8900000000000002E-2</v>
      </c>
      <c r="M195" s="468">
        <f t="shared" si="58"/>
        <v>0.49440000000000001</v>
      </c>
      <c r="N195" s="431">
        <f t="shared" si="55"/>
        <v>3199.7910694054704</v>
      </c>
      <c r="P195" s="663"/>
      <c r="R195" s="425"/>
      <c r="S195" s="425"/>
    </row>
    <row r="196" spans="1:19">
      <c r="A196" s="863">
        <f t="shared" si="42"/>
        <v>182</v>
      </c>
      <c r="B196" s="515">
        <v>39420</v>
      </c>
      <c r="C196" s="88" t="s">
        <v>1542</v>
      </c>
      <c r="D196" s="347">
        <v>-16426.899999999991</v>
      </c>
      <c r="E196" s="624">
        <v>0</v>
      </c>
      <c r="F196" s="431">
        <f t="shared" si="52"/>
        <v>-16426.899999999991</v>
      </c>
      <c r="G196" s="468">
        <v>1</v>
      </c>
      <c r="H196" s="468">
        <f>H187</f>
        <v>6.437198999999999E-2</v>
      </c>
      <c r="I196" s="431">
        <f>F196*G196*H196</f>
        <v>-1057.4322425309992</v>
      </c>
      <c r="K196" s="347">
        <v>1264.2892307692362</v>
      </c>
      <c r="L196" s="468">
        <f t="shared" si="57"/>
        <v>1</v>
      </c>
      <c r="M196" s="468">
        <f t="shared" si="58"/>
        <v>6.437198999999999E-2</v>
      </c>
      <c r="N196" s="431">
        <f t="shared" si="55"/>
        <v>81.384813720184951</v>
      </c>
      <c r="P196" s="663"/>
      <c r="R196" s="425"/>
      <c r="S196" s="425"/>
    </row>
    <row r="197" spans="1:19">
      <c r="A197" s="863">
        <f t="shared" si="42"/>
        <v>183</v>
      </c>
      <c r="B197" s="515">
        <v>39500</v>
      </c>
      <c r="C197" s="88" t="s">
        <v>1592</v>
      </c>
      <c r="D197" s="347">
        <v>0</v>
      </c>
      <c r="E197" s="624">
        <v>0</v>
      </c>
      <c r="F197" s="431">
        <f t="shared" si="52"/>
        <v>0</v>
      </c>
      <c r="G197" s="468">
        <f>Allocation!$G$14</f>
        <v>9.8900000000000002E-2</v>
      </c>
      <c r="H197" s="468">
        <f>Allocation!$H$14</f>
        <v>0.49440000000000001</v>
      </c>
      <c r="I197" s="431">
        <f t="shared" si="56"/>
        <v>0</v>
      </c>
      <c r="K197" s="347">
        <v>0</v>
      </c>
      <c r="L197" s="468">
        <f t="shared" si="57"/>
        <v>9.8900000000000002E-2</v>
      </c>
      <c r="M197" s="468">
        <f t="shared" si="58"/>
        <v>0.49440000000000001</v>
      </c>
      <c r="N197" s="431">
        <f t="shared" si="55"/>
        <v>0</v>
      </c>
      <c r="P197" s="663"/>
      <c r="R197" s="425"/>
      <c r="S197" s="425"/>
    </row>
    <row r="198" spans="1:19">
      <c r="A198" s="863">
        <f t="shared" si="42"/>
        <v>184</v>
      </c>
      <c r="B198" s="515">
        <v>39700</v>
      </c>
      <c r="C198" s="88" t="s">
        <v>1575</v>
      </c>
      <c r="D198" s="347">
        <v>1231502.6819450001</v>
      </c>
      <c r="E198" s="624">
        <v>0</v>
      </c>
      <c r="F198" s="431">
        <f t="shared" si="52"/>
        <v>1231502.6819450001</v>
      </c>
      <c r="G198" s="468">
        <f>Allocation!$G$14</f>
        <v>9.8900000000000002E-2</v>
      </c>
      <c r="H198" s="468">
        <f>Allocation!$H$14</f>
        <v>0.49440000000000001</v>
      </c>
      <c r="I198" s="431">
        <f t="shared" si="56"/>
        <v>60215.752176811839</v>
      </c>
      <c r="K198" s="347">
        <v>1214409.3201390386</v>
      </c>
      <c r="L198" s="468">
        <f t="shared" si="57"/>
        <v>9.8900000000000002E-2</v>
      </c>
      <c r="M198" s="468">
        <f t="shared" si="58"/>
        <v>0.49440000000000001</v>
      </c>
      <c r="N198" s="431">
        <f t="shared" si="55"/>
        <v>59379.95242300965</v>
      </c>
      <c r="P198" s="663"/>
      <c r="R198" s="425"/>
      <c r="S198" s="425"/>
    </row>
    <row r="199" spans="1:19">
      <c r="A199" s="863">
        <f t="shared" si="42"/>
        <v>185</v>
      </c>
      <c r="B199" s="515">
        <v>39720</v>
      </c>
      <c r="C199" s="88" t="s">
        <v>1543</v>
      </c>
      <c r="D199" s="347">
        <v>7263.753459999999</v>
      </c>
      <c r="E199" s="624">
        <v>0</v>
      </c>
      <c r="F199" s="431">
        <f t="shared" si="52"/>
        <v>7263.753459999999</v>
      </c>
      <c r="G199" s="468">
        <v>1</v>
      </c>
      <c r="H199" s="468">
        <f>H187</f>
        <v>6.437198999999999E-2</v>
      </c>
      <c r="I199" s="431">
        <f t="shared" si="53"/>
        <v>467.58226508958523</v>
      </c>
      <c r="K199" s="347">
        <v>4278.8724699999993</v>
      </c>
      <c r="L199" s="468">
        <f t="shared" si="57"/>
        <v>1</v>
      </c>
      <c r="M199" s="468">
        <f t="shared" si="58"/>
        <v>6.437198999999999E-2</v>
      </c>
      <c r="N199" s="431">
        <f t="shared" si="55"/>
        <v>275.43953585011519</v>
      </c>
      <c r="P199" s="663"/>
      <c r="R199" s="425"/>
      <c r="S199" s="425"/>
    </row>
    <row r="200" spans="1:19">
      <c r="A200" s="863">
        <f t="shared" si="42"/>
        <v>186</v>
      </c>
      <c r="B200" s="515">
        <v>39800</v>
      </c>
      <c r="C200" s="88" t="s">
        <v>1577</v>
      </c>
      <c r="D200" s="347">
        <v>40572.032915500014</v>
      </c>
      <c r="E200" s="624">
        <v>0</v>
      </c>
      <c r="F200" s="431">
        <f t="shared" si="52"/>
        <v>40572.032915500014</v>
      </c>
      <c r="G200" s="468">
        <f>$G$183</f>
        <v>9.8900000000000002E-2</v>
      </c>
      <c r="H200" s="468">
        <f>$H$183</f>
        <v>0.49440000000000001</v>
      </c>
      <c r="I200" s="431">
        <f t="shared" si="53"/>
        <v>1983.8166129615552</v>
      </c>
      <c r="K200" s="347">
        <v>39725.756169557702</v>
      </c>
      <c r="L200" s="468">
        <f t="shared" si="57"/>
        <v>9.8900000000000002E-2</v>
      </c>
      <c r="M200" s="468">
        <f t="shared" si="58"/>
        <v>0.49440000000000001</v>
      </c>
      <c r="N200" s="431">
        <f t="shared" si="55"/>
        <v>1942.4369297876806</v>
      </c>
      <c r="P200" s="663"/>
      <c r="R200" s="425"/>
      <c r="S200" s="425"/>
    </row>
    <row r="201" spans="1:19">
      <c r="A201" s="863">
        <f t="shared" si="42"/>
        <v>187</v>
      </c>
      <c r="B201" s="515">
        <v>39820</v>
      </c>
      <c r="C201" s="88" t="s">
        <v>1544</v>
      </c>
      <c r="D201" s="347">
        <v>4891.0178065000009</v>
      </c>
      <c r="E201" s="624">
        <v>0</v>
      </c>
      <c r="F201" s="431">
        <f t="shared" si="52"/>
        <v>4891.0178065000009</v>
      </c>
      <c r="G201" s="468">
        <v>1</v>
      </c>
      <c r="H201" s="468">
        <f>H199</f>
        <v>6.437198999999999E-2</v>
      </c>
      <c r="I201" s="431">
        <f t="shared" si="53"/>
        <v>314.84454932983994</v>
      </c>
      <c r="K201" s="347">
        <v>1725.9728709807698</v>
      </c>
      <c r="L201" s="468">
        <f t="shared" si="57"/>
        <v>1</v>
      </c>
      <c r="M201" s="468">
        <f t="shared" si="58"/>
        <v>6.437198999999999E-2</v>
      </c>
      <c r="N201" s="431">
        <f t="shared" si="55"/>
        <v>111.10430839104539</v>
      </c>
      <c r="P201" s="663"/>
      <c r="R201" s="425"/>
      <c r="S201" s="425"/>
    </row>
    <row r="202" spans="1:19">
      <c r="A202" s="863">
        <f t="shared" si="42"/>
        <v>188</v>
      </c>
      <c r="B202" s="515">
        <v>39900</v>
      </c>
      <c r="C202" s="88" t="s">
        <v>1593</v>
      </c>
      <c r="D202" s="347">
        <v>164784.07</v>
      </c>
      <c r="E202" s="624">
        <v>0</v>
      </c>
      <c r="F202" s="431">
        <f t="shared" si="52"/>
        <v>164784.07</v>
      </c>
      <c r="G202" s="468">
        <f>$G$183</f>
        <v>9.8900000000000002E-2</v>
      </c>
      <c r="H202" s="468">
        <f>$H$183</f>
        <v>0.49440000000000001</v>
      </c>
      <c r="I202" s="431">
        <f t="shared" si="53"/>
        <v>8057.3082521712004</v>
      </c>
      <c r="K202" s="347">
        <v>164534.10307692311</v>
      </c>
      <c r="L202" s="468">
        <f t="shared" si="57"/>
        <v>9.8900000000000002E-2</v>
      </c>
      <c r="M202" s="468">
        <f t="shared" si="58"/>
        <v>0.49440000000000001</v>
      </c>
      <c r="N202" s="431">
        <f t="shared" si="55"/>
        <v>8045.0858295057251</v>
      </c>
      <c r="P202" s="663"/>
      <c r="R202" s="425"/>
      <c r="S202" s="425"/>
    </row>
    <row r="203" spans="1:19">
      <c r="A203" s="863">
        <f t="shared" si="42"/>
        <v>189</v>
      </c>
      <c r="B203" s="515">
        <v>39901</v>
      </c>
      <c r="C203" s="80" t="s">
        <v>1586</v>
      </c>
      <c r="D203" s="347">
        <v>19218476.652707987</v>
      </c>
      <c r="E203" s="431">
        <v>0</v>
      </c>
      <c r="F203" s="431">
        <f t="shared" ref="F203" si="59">D203+E203</f>
        <v>19218476.652707987</v>
      </c>
      <c r="G203" s="468">
        <v>1</v>
      </c>
      <c r="H203" s="468">
        <f>$H$198</f>
        <v>0.49440000000000001</v>
      </c>
      <c r="I203" s="431">
        <f t="shared" ref="I203" si="60">F203*G203*H203</f>
        <v>9501614.857098829</v>
      </c>
      <c r="K203" s="347">
        <v>18178041.039575223</v>
      </c>
      <c r="L203" s="468">
        <f t="shared" si="57"/>
        <v>1</v>
      </c>
      <c r="M203" s="468">
        <f t="shared" si="58"/>
        <v>0.49440000000000001</v>
      </c>
      <c r="N203" s="431">
        <f t="shared" ref="N203" si="61">K203*L203*M203</f>
        <v>8987223.4899659902</v>
      </c>
      <c r="P203" s="663"/>
      <c r="R203" s="425"/>
      <c r="S203" s="425"/>
    </row>
    <row r="204" spans="1:19">
      <c r="A204" s="863">
        <f t="shared" si="42"/>
        <v>190</v>
      </c>
      <c r="B204" s="515">
        <v>39902</v>
      </c>
      <c r="C204" s="88" t="s">
        <v>1587</v>
      </c>
      <c r="D204" s="347">
        <v>15943162.631719494</v>
      </c>
      <c r="E204" s="624">
        <v>0</v>
      </c>
      <c r="F204" s="431">
        <f t="shared" si="52"/>
        <v>15943162.631719494</v>
      </c>
      <c r="G204" s="468">
        <f t="shared" ref="G204:G221" si="62">$G$183</f>
        <v>9.8900000000000002E-2</v>
      </c>
      <c r="H204" s="468">
        <f t="shared" ref="H204:H221" si="63">$H$183</f>
        <v>0.49440000000000001</v>
      </c>
      <c r="I204" s="431">
        <f t="shared" si="53"/>
        <v>779559.43094657746</v>
      </c>
      <c r="K204" s="347">
        <v>15625201.039693709</v>
      </c>
      <c r="L204" s="468">
        <f t="shared" si="57"/>
        <v>9.8900000000000002E-2</v>
      </c>
      <c r="M204" s="468">
        <f t="shared" si="58"/>
        <v>0.49440000000000001</v>
      </c>
      <c r="N204" s="431">
        <f t="shared" si="55"/>
        <v>764012.33006902994</v>
      </c>
      <c r="P204" s="663"/>
      <c r="R204" s="425"/>
      <c r="S204" s="425"/>
    </row>
    <row r="205" spans="1:19">
      <c r="A205" s="863">
        <f t="shared" si="42"/>
        <v>191</v>
      </c>
      <c r="B205" s="515">
        <v>39903</v>
      </c>
      <c r="C205" s="88" t="s">
        <v>1578</v>
      </c>
      <c r="D205" s="347">
        <v>2251878.1799999988</v>
      </c>
      <c r="E205" s="624">
        <v>0</v>
      </c>
      <c r="F205" s="431">
        <f t="shared" si="52"/>
        <v>2251878.1799999988</v>
      </c>
      <c r="G205" s="468">
        <f t="shared" si="62"/>
        <v>9.8900000000000002E-2</v>
      </c>
      <c r="H205" s="468">
        <f t="shared" si="63"/>
        <v>0.49440000000000001</v>
      </c>
      <c r="I205" s="431">
        <f t="shared" si="53"/>
        <v>110108.19578978875</v>
      </c>
      <c r="K205" s="347">
        <v>2213188.7976923073</v>
      </c>
      <c r="L205" s="468">
        <f t="shared" si="57"/>
        <v>9.8900000000000002E-2</v>
      </c>
      <c r="M205" s="468">
        <f t="shared" si="58"/>
        <v>0.49440000000000001</v>
      </c>
      <c r="N205" s="431">
        <f t="shared" si="55"/>
        <v>108216.43356217069</v>
      </c>
      <c r="P205" s="663"/>
      <c r="R205" s="425"/>
      <c r="S205" s="425"/>
    </row>
    <row r="206" spans="1:19">
      <c r="A206" s="863">
        <f t="shared" si="42"/>
        <v>192</v>
      </c>
      <c r="B206" s="515">
        <v>39904</v>
      </c>
      <c r="C206" s="88" t="s">
        <v>1594</v>
      </c>
      <c r="D206" s="347">
        <v>0</v>
      </c>
      <c r="E206" s="624">
        <v>0</v>
      </c>
      <c r="F206" s="431">
        <f t="shared" si="52"/>
        <v>0</v>
      </c>
      <c r="G206" s="468">
        <f t="shared" si="62"/>
        <v>9.8900000000000002E-2</v>
      </c>
      <c r="H206" s="468">
        <f t="shared" si="63"/>
        <v>0.49440000000000001</v>
      </c>
      <c r="I206" s="431">
        <f t="shared" si="53"/>
        <v>0</v>
      </c>
      <c r="K206" s="347">
        <v>0</v>
      </c>
      <c r="L206" s="468">
        <f t="shared" si="57"/>
        <v>9.8900000000000002E-2</v>
      </c>
      <c r="M206" s="468">
        <f t="shared" si="58"/>
        <v>0.49440000000000001</v>
      </c>
      <c r="N206" s="431">
        <f t="shared" si="55"/>
        <v>0</v>
      </c>
      <c r="P206" s="663"/>
      <c r="R206" s="425"/>
      <c r="S206" s="425"/>
    </row>
    <row r="207" spans="1:19">
      <c r="A207" s="863">
        <f t="shared" si="42"/>
        <v>193</v>
      </c>
      <c r="B207" s="515">
        <v>39905</v>
      </c>
      <c r="C207" s="88" t="s">
        <v>1595</v>
      </c>
      <c r="D207" s="347">
        <v>0</v>
      </c>
      <c r="E207" s="431">
        <v>0</v>
      </c>
      <c r="F207" s="431">
        <f t="shared" ref="F207" si="64">D207+E207</f>
        <v>0</v>
      </c>
      <c r="G207" s="468">
        <f t="shared" si="62"/>
        <v>9.8900000000000002E-2</v>
      </c>
      <c r="H207" s="468">
        <f t="shared" si="63"/>
        <v>0.49440000000000001</v>
      </c>
      <c r="I207" s="431">
        <f t="shared" ref="I207" si="65">F207*G207*H207</f>
        <v>0</v>
      </c>
      <c r="K207" s="347">
        <v>0</v>
      </c>
      <c r="L207" s="468">
        <f t="shared" si="57"/>
        <v>9.8900000000000002E-2</v>
      </c>
      <c r="M207" s="468">
        <f t="shared" si="58"/>
        <v>0.49440000000000001</v>
      </c>
      <c r="N207" s="431">
        <f t="shared" ref="N207" si="66">K207*L207*M207</f>
        <v>0</v>
      </c>
      <c r="P207" s="663"/>
      <c r="R207" s="425"/>
      <c r="S207" s="425"/>
    </row>
    <row r="208" spans="1:19">
      <c r="A208" s="863">
        <f t="shared" si="42"/>
        <v>194</v>
      </c>
      <c r="B208" s="709">
        <v>39906</v>
      </c>
      <c r="C208" s="88" t="s">
        <v>1579</v>
      </c>
      <c r="D208" s="347">
        <v>945142.21602611046</v>
      </c>
      <c r="E208" s="624">
        <v>0</v>
      </c>
      <c r="F208" s="431">
        <f t="shared" si="52"/>
        <v>945142.21602611046</v>
      </c>
      <c r="G208" s="468">
        <f t="shared" si="62"/>
        <v>9.8900000000000002E-2</v>
      </c>
      <c r="H208" s="468">
        <f t="shared" si="63"/>
        <v>0.49440000000000001</v>
      </c>
      <c r="I208" s="431">
        <f t="shared" si="53"/>
        <v>46213.825017567266</v>
      </c>
      <c r="K208" s="347">
        <v>885643.68061085232</v>
      </c>
      <c r="L208" s="468">
        <f t="shared" si="57"/>
        <v>9.8900000000000002E-2</v>
      </c>
      <c r="M208" s="468">
        <f t="shared" si="58"/>
        <v>0.49440000000000001</v>
      </c>
      <c r="N208" s="431">
        <f t="shared" si="55"/>
        <v>43304.575110137135</v>
      </c>
      <c r="P208" s="663"/>
      <c r="R208" s="425"/>
      <c r="S208" s="425"/>
    </row>
    <row r="209" spans="1:19">
      <c r="A209" s="863">
        <f t="shared" si="42"/>
        <v>195</v>
      </c>
      <c r="B209" s="709">
        <v>39907</v>
      </c>
      <c r="C209" s="88" t="s">
        <v>1580</v>
      </c>
      <c r="D209" s="347">
        <v>2485988.1420179773</v>
      </c>
      <c r="E209" s="624">
        <v>0</v>
      </c>
      <c r="F209" s="431">
        <f t="shared" si="52"/>
        <v>2485988.1420179773</v>
      </c>
      <c r="G209" s="468">
        <f t="shared" si="62"/>
        <v>9.8900000000000002E-2</v>
      </c>
      <c r="H209" s="468">
        <f t="shared" si="63"/>
        <v>0.49440000000000001</v>
      </c>
      <c r="I209" s="431">
        <f t="shared" si="53"/>
        <v>121555.27395021374</v>
      </c>
      <c r="K209" s="347">
        <v>1132176.8166643826</v>
      </c>
      <c r="L209" s="468">
        <f t="shared" si="57"/>
        <v>9.8900000000000002E-2</v>
      </c>
      <c r="M209" s="468">
        <f t="shared" si="58"/>
        <v>0.49440000000000001</v>
      </c>
      <c r="N209" s="431">
        <f t="shared" si="55"/>
        <v>55359.098775912324</v>
      </c>
      <c r="P209" s="663"/>
      <c r="R209" s="425"/>
      <c r="S209" s="425"/>
    </row>
    <row r="210" spans="1:19">
      <c r="A210" s="863">
        <f t="shared" si="42"/>
        <v>196</v>
      </c>
      <c r="B210" s="709">
        <v>39908</v>
      </c>
      <c r="C210" s="88" t="s">
        <v>1581</v>
      </c>
      <c r="D210" s="347">
        <v>29228048.356787995</v>
      </c>
      <c r="E210" s="624">
        <v>0</v>
      </c>
      <c r="F210" s="431">
        <f t="shared" si="52"/>
        <v>29228048.356787995</v>
      </c>
      <c r="G210" s="468">
        <f t="shared" si="62"/>
        <v>9.8900000000000002E-2</v>
      </c>
      <c r="H210" s="468">
        <f t="shared" si="63"/>
        <v>0.49440000000000001</v>
      </c>
      <c r="I210" s="431">
        <f t="shared" si="53"/>
        <v>1429139.328941243</v>
      </c>
      <c r="K210" s="347">
        <v>28650210.947212145</v>
      </c>
      <c r="L210" s="468">
        <f t="shared" si="57"/>
        <v>9.8900000000000002E-2</v>
      </c>
      <c r="M210" s="468">
        <f t="shared" si="58"/>
        <v>0.49440000000000001</v>
      </c>
      <c r="N210" s="431">
        <f t="shared" si="55"/>
        <v>1400885.2985086367</v>
      </c>
      <c r="P210" s="663"/>
      <c r="R210" s="425"/>
      <c r="S210" s="425"/>
    </row>
    <row r="211" spans="1:19">
      <c r="A211" s="863">
        <f t="shared" si="42"/>
        <v>197</v>
      </c>
      <c r="B211" s="709">
        <v>39909</v>
      </c>
      <c r="C211" s="88" t="s">
        <v>1596</v>
      </c>
      <c r="D211" s="347">
        <v>42121.860000000015</v>
      </c>
      <c r="E211" s="624">
        <v>0</v>
      </c>
      <c r="F211" s="431">
        <f t="shared" si="52"/>
        <v>42121.860000000015</v>
      </c>
      <c r="G211" s="468">
        <f t="shared" si="62"/>
        <v>9.8900000000000002E-2</v>
      </c>
      <c r="H211" s="468">
        <f t="shared" si="63"/>
        <v>0.49440000000000001</v>
      </c>
      <c r="I211" s="431">
        <f t="shared" si="53"/>
        <v>2059.5972060576009</v>
      </c>
      <c r="K211" s="347">
        <v>41754.133076923077</v>
      </c>
      <c r="L211" s="468">
        <f t="shared" si="57"/>
        <v>9.8900000000000002E-2</v>
      </c>
      <c r="M211" s="468">
        <f t="shared" si="58"/>
        <v>0.49440000000000001</v>
      </c>
      <c r="N211" s="431">
        <f t="shared" si="55"/>
        <v>2041.6167715905233</v>
      </c>
      <c r="P211" s="663"/>
      <c r="R211" s="425"/>
      <c r="S211" s="425"/>
    </row>
    <row r="212" spans="1:19">
      <c r="A212" s="863">
        <f t="shared" si="42"/>
        <v>198</v>
      </c>
      <c r="B212" s="709">
        <v>39921</v>
      </c>
      <c r="C212" s="88" t="s">
        <v>1545</v>
      </c>
      <c r="D212" s="347">
        <v>1058776.6346179999</v>
      </c>
      <c r="E212" s="624">
        <v>0</v>
      </c>
      <c r="F212" s="431">
        <f t="shared" si="52"/>
        <v>1058776.6346179999</v>
      </c>
      <c r="G212" s="468">
        <v>1</v>
      </c>
      <c r="H212" s="468">
        <f>H186</f>
        <v>6.437198999999999E-2</v>
      </c>
      <c r="I212" s="431">
        <f t="shared" si="53"/>
        <v>68155.558935863533</v>
      </c>
      <c r="K212" s="347">
        <v>1014856.0558586922</v>
      </c>
      <c r="L212" s="468">
        <f t="shared" si="57"/>
        <v>1</v>
      </c>
      <c r="M212" s="468">
        <f t="shared" si="58"/>
        <v>6.437198999999999E-2</v>
      </c>
      <c r="N212" s="431">
        <f t="shared" si="55"/>
        <v>65328.303879175161</v>
      </c>
      <c r="P212" s="663"/>
      <c r="R212" s="425"/>
      <c r="S212" s="425"/>
    </row>
    <row r="213" spans="1:19">
      <c r="A213" s="863">
        <f t="shared" si="42"/>
        <v>199</v>
      </c>
      <c r="B213" s="709">
        <v>39922</v>
      </c>
      <c r="C213" s="88" t="s">
        <v>1546</v>
      </c>
      <c r="D213" s="347">
        <v>393200.795102</v>
      </c>
      <c r="E213" s="624">
        <v>0</v>
      </c>
      <c r="F213" s="431">
        <f t="shared" si="52"/>
        <v>393200.795102</v>
      </c>
      <c r="G213" s="468">
        <v>1</v>
      </c>
      <c r="H213" s="468">
        <f>H186</f>
        <v>6.437198999999999E-2</v>
      </c>
      <c r="I213" s="431">
        <f t="shared" si="53"/>
        <v>25311.117650297991</v>
      </c>
      <c r="K213" s="347">
        <v>378352.14252746163</v>
      </c>
      <c r="L213" s="468">
        <f t="shared" si="57"/>
        <v>1</v>
      </c>
      <c r="M213" s="468">
        <f t="shared" si="58"/>
        <v>6.437198999999999E-2</v>
      </c>
      <c r="N213" s="431">
        <f t="shared" si="55"/>
        <v>24355.280335256331</v>
      </c>
      <c r="P213" s="663"/>
      <c r="R213" s="425"/>
      <c r="S213" s="425"/>
    </row>
    <row r="214" spans="1:19">
      <c r="A214" s="863">
        <f t="shared" si="42"/>
        <v>200</v>
      </c>
      <c r="B214" s="709">
        <v>39923</v>
      </c>
      <c r="C214" s="88" t="s">
        <v>1547</v>
      </c>
      <c r="D214" s="347">
        <v>39028.929999999978</v>
      </c>
      <c r="E214" s="624">
        <v>0</v>
      </c>
      <c r="F214" s="431">
        <f t="shared" si="52"/>
        <v>39028.929999999978</v>
      </c>
      <c r="G214" s="468">
        <v>1</v>
      </c>
      <c r="H214" s="468">
        <f>H186</f>
        <v>6.437198999999999E-2</v>
      </c>
      <c r="I214" s="431">
        <f t="shared" si="53"/>
        <v>2512.3698916706981</v>
      </c>
      <c r="K214" s="347">
        <v>38463.109230769223</v>
      </c>
      <c r="L214" s="468">
        <f t="shared" si="57"/>
        <v>1</v>
      </c>
      <c r="M214" s="468">
        <f t="shared" si="58"/>
        <v>6.437198999999999E-2</v>
      </c>
      <c r="N214" s="431">
        <f t="shared" si="55"/>
        <v>2475.9468827719838</v>
      </c>
      <c r="P214" s="663"/>
      <c r="R214" s="425"/>
      <c r="S214" s="425"/>
    </row>
    <row r="215" spans="1:19">
      <c r="A215" s="863">
        <f t="shared" si="42"/>
        <v>201</v>
      </c>
      <c r="B215" s="709">
        <v>39924</v>
      </c>
      <c r="C215" s="88" t="s">
        <v>1413</v>
      </c>
      <c r="D215" s="347">
        <v>0</v>
      </c>
      <c r="E215" s="624">
        <v>0</v>
      </c>
      <c r="F215" s="431">
        <f t="shared" si="52"/>
        <v>0</v>
      </c>
      <c r="G215" s="468">
        <f t="shared" si="62"/>
        <v>9.8900000000000002E-2</v>
      </c>
      <c r="H215" s="468">
        <f t="shared" si="63"/>
        <v>0.49440000000000001</v>
      </c>
      <c r="I215" s="431">
        <f t="shared" si="53"/>
        <v>0</v>
      </c>
      <c r="K215" s="347">
        <v>0</v>
      </c>
      <c r="L215" s="468">
        <f t="shared" si="57"/>
        <v>9.8900000000000002E-2</v>
      </c>
      <c r="M215" s="468">
        <f t="shared" si="58"/>
        <v>0.49440000000000001</v>
      </c>
      <c r="N215" s="431">
        <f t="shared" si="55"/>
        <v>0</v>
      </c>
      <c r="P215" s="663"/>
      <c r="R215" s="425"/>
      <c r="S215" s="425"/>
    </row>
    <row r="216" spans="1:19">
      <c r="A216" s="863">
        <f t="shared" si="42"/>
        <v>202</v>
      </c>
      <c r="B216" s="709">
        <v>39926</v>
      </c>
      <c r="C216" s="88" t="s">
        <v>1556</v>
      </c>
      <c r="D216" s="347">
        <v>488022.76766599994</v>
      </c>
      <c r="E216" s="624">
        <v>0</v>
      </c>
      <c r="F216" s="431">
        <f t="shared" si="52"/>
        <v>488022.76766599994</v>
      </c>
      <c r="G216" s="468">
        <v>1</v>
      </c>
      <c r="H216" s="468">
        <f>H212</f>
        <v>6.437198999999999E-2</v>
      </c>
      <c r="I216" s="431">
        <f t="shared" si="53"/>
        <v>31414.996719968065</v>
      </c>
      <c r="K216" s="347">
        <v>190537.76839292308</v>
      </c>
      <c r="L216" s="468">
        <f t="shared" si="57"/>
        <v>1</v>
      </c>
      <c r="M216" s="468">
        <f t="shared" si="58"/>
        <v>6.437198999999999E-2</v>
      </c>
      <c r="N216" s="431">
        <f t="shared" si="55"/>
        <v>12265.295321611558</v>
      </c>
      <c r="P216" s="663"/>
      <c r="R216" s="425"/>
      <c r="S216" s="425"/>
    </row>
    <row r="217" spans="1:19">
      <c r="A217" s="863">
        <f t="shared" si="42"/>
        <v>203</v>
      </c>
      <c r="B217" s="709">
        <v>39928</v>
      </c>
      <c r="C217" s="88" t="s">
        <v>1557</v>
      </c>
      <c r="D217" s="347">
        <v>11235896.194776256</v>
      </c>
      <c r="E217" s="624">
        <v>0</v>
      </c>
      <c r="F217" s="431">
        <f t="shared" si="52"/>
        <v>11235896.194776256</v>
      </c>
      <c r="G217" s="468">
        <v>1</v>
      </c>
      <c r="H217" s="468">
        <f>H212</f>
        <v>6.437198999999999E-2</v>
      </c>
      <c r="I217" s="431">
        <f t="shared" si="53"/>
        <v>723276.99749117508</v>
      </c>
      <c r="K217" s="347">
        <v>11053952.16656488</v>
      </c>
      <c r="L217" s="468">
        <f t="shared" si="57"/>
        <v>1</v>
      </c>
      <c r="M217" s="468">
        <f t="shared" si="58"/>
        <v>6.437198999999999E-2</v>
      </c>
      <c r="N217" s="431">
        <f t="shared" si="55"/>
        <v>711564.89832659264</v>
      </c>
      <c r="P217" s="663"/>
      <c r="R217" s="425"/>
      <c r="S217" s="425"/>
    </row>
    <row r="218" spans="1:19">
      <c r="A218" s="863">
        <f t="shared" si="42"/>
        <v>204</v>
      </c>
      <c r="B218" s="709">
        <v>39931</v>
      </c>
      <c r="C218" s="88" t="s">
        <v>1558</v>
      </c>
      <c r="D218" s="347">
        <v>37347.757370826643</v>
      </c>
      <c r="E218" s="624">
        <v>0</v>
      </c>
      <c r="F218" s="431">
        <f t="shared" si="52"/>
        <v>37347.757370826643</v>
      </c>
      <c r="G218" s="468">
        <v>1</v>
      </c>
      <c r="H218" s="325">
        <f>Allocation!$E$23</f>
        <v>0</v>
      </c>
      <c r="I218" s="431">
        <f t="shared" si="53"/>
        <v>0</v>
      </c>
      <c r="K218" s="347">
        <v>26225.754576488209</v>
      </c>
      <c r="L218" s="468">
        <f t="shared" si="57"/>
        <v>1</v>
      </c>
      <c r="M218" s="468">
        <f t="shared" si="58"/>
        <v>0</v>
      </c>
      <c r="N218" s="431">
        <f t="shared" si="55"/>
        <v>0</v>
      </c>
      <c r="P218" s="663"/>
      <c r="R218" s="425"/>
      <c r="S218" s="425"/>
    </row>
    <row r="219" spans="1:19">
      <c r="A219" s="863">
        <f t="shared" si="42"/>
        <v>205</v>
      </c>
      <c r="B219" s="709">
        <v>39932</v>
      </c>
      <c r="C219" s="88" t="s">
        <v>1559</v>
      </c>
      <c r="D219" s="347">
        <v>18754.52</v>
      </c>
      <c r="E219" s="624">
        <v>0</v>
      </c>
      <c r="F219" s="431">
        <f t="shared" si="52"/>
        <v>18754.52</v>
      </c>
      <c r="G219" s="468">
        <v>1</v>
      </c>
      <c r="H219" s="325">
        <f>Allocation!$E$23</f>
        <v>0</v>
      </c>
      <c r="I219" s="431">
        <f t="shared" si="53"/>
        <v>0</v>
      </c>
      <c r="K219" s="347">
        <v>16677.015384615381</v>
      </c>
      <c r="L219" s="468">
        <f t="shared" si="57"/>
        <v>1</v>
      </c>
      <c r="M219" s="468">
        <f t="shared" si="58"/>
        <v>0</v>
      </c>
      <c r="N219" s="431">
        <f t="shared" si="55"/>
        <v>0</v>
      </c>
      <c r="P219" s="663"/>
      <c r="R219" s="425"/>
      <c r="S219" s="425"/>
    </row>
    <row r="220" spans="1:19">
      <c r="A220" s="863">
        <f t="shared" si="42"/>
        <v>206</v>
      </c>
      <c r="B220" s="709">
        <v>39938</v>
      </c>
      <c r="C220" s="88" t="s">
        <v>1560</v>
      </c>
      <c r="D220" s="347">
        <v>2305883.5299999998</v>
      </c>
      <c r="E220" s="624">
        <v>0</v>
      </c>
      <c r="F220" s="431">
        <f t="shared" si="52"/>
        <v>2305883.5299999998</v>
      </c>
      <c r="G220" s="468">
        <v>1</v>
      </c>
      <c r="H220" s="325">
        <f>Allocation!$E$23</f>
        <v>0</v>
      </c>
      <c r="I220" s="431">
        <f t="shared" si="53"/>
        <v>0</v>
      </c>
      <c r="K220" s="347">
        <v>2056104.0661538464</v>
      </c>
      <c r="L220" s="468">
        <f t="shared" si="57"/>
        <v>1</v>
      </c>
      <c r="M220" s="468">
        <f t="shared" si="58"/>
        <v>0</v>
      </c>
      <c r="N220" s="431"/>
      <c r="P220" s="663"/>
      <c r="R220" s="425"/>
      <c r="S220" s="425"/>
    </row>
    <row r="221" spans="1:19">
      <c r="A221" s="863">
        <f t="shared" si="42"/>
        <v>207</v>
      </c>
      <c r="B221" s="709"/>
      <c r="C221" s="88" t="s">
        <v>1153</v>
      </c>
      <c r="D221" s="347">
        <v>0</v>
      </c>
      <c r="E221" s="1071">
        <v>0</v>
      </c>
      <c r="F221" s="431">
        <f t="shared" si="52"/>
        <v>0</v>
      </c>
      <c r="G221" s="468">
        <f t="shared" si="62"/>
        <v>9.8900000000000002E-2</v>
      </c>
      <c r="H221" s="468">
        <f t="shared" si="63"/>
        <v>0.49440000000000001</v>
      </c>
      <c r="I221" s="1054">
        <f t="shared" si="53"/>
        <v>0</v>
      </c>
      <c r="K221" s="347">
        <v>0</v>
      </c>
      <c r="L221" s="468">
        <f>L219</f>
        <v>1</v>
      </c>
      <c r="M221" s="424">
        <f t="shared" si="54"/>
        <v>0.49440000000000001</v>
      </c>
      <c r="N221" s="1054">
        <f t="shared" si="55"/>
        <v>0</v>
      </c>
      <c r="P221" s="663"/>
      <c r="R221" s="425"/>
      <c r="S221" s="425"/>
    </row>
    <row r="222" spans="1:19">
      <c r="A222" s="863">
        <f t="shared" si="42"/>
        <v>208</v>
      </c>
      <c r="B222" s="391"/>
      <c r="C222" s="88"/>
      <c r="D222" s="621"/>
      <c r="E222" s="621"/>
      <c r="F222" s="621"/>
    </row>
    <row r="223" spans="1:19" ht="15.75" thickBot="1">
      <c r="A223" s="863">
        <f t="shared" si="42"/>
        <v>209</v>
      </c>
      <c r="B223" s="391"/>
      <c r="C223" s="234" t="s">
        <v>1344</v>
      </c>
      <c r="D223" s="469">
        <f>SUM(D183:D221)</f>
        <v>102276680.7167282</v>
      </c>
      <c r="E223" s="469">
        <f>SUM(E183:E221)</f>
        <v>0</v>
      </c>
      <c r="F223" s="469">
        <f>SUM(F183:F221)</f>
        <v>102276680.7167282</v>
      </c>
      <c r="I223" s="469">
        <f>SUM(I183:I221)</f>
        <v>13537703.449057415</v>
      </c>
      <c r="K223" s="469">
        <f>SUM(K183:K221)</f>
        <v>98676264.40232639</v>
      </c>
      <c r="N223" s="469">
        <f>SUM(N183:N221)</f>
        <v>12909347.509644628</v>
      </c>
    </row>
    <row r="224" spans="1:19" ht="15.75" thickTop="1">
      <c r="A224" s="863">
        <f t="shared" si="42"/>
        <v>210</v>
      </c>
      <c r="B224" s="1050"/>
      <c r="D224" s="431"/>
    </row>
    <row r="225" spans="1:19" ht="15.75">
      <c r="A225" s="863">
        <f t="shared" si="42"/>
        <v>211</v>
      </c>
      <c r="B225" s="1055" t="s">
        <v>9</v>
      </c>
      <c r="D225" s="431"/>
    </row>
    <row r="226" spans="1:19">
      <c r="A226" s="863">
        <f t="shared" si="42"/>
        <v>212</v>
      </c>
      <c r="B226" s="1050"/>
      <c r="D226" s="431"/>
    </row>
    <row r="227" spans="1:19">
      <c r="A227" s="863">
        <f t="shared" si="42"/>
        <v>213</v>
      </c>
      <c r="B227" s="391"/>
      <c r="C227" s="622" t="s">
        <v>305</v>
      </c>
      <c r="D227" s="431"/>
    </row>
    <row r="228" spans="1:19">
      <c r="A228" s="863">
        <f t="shared" si="42"/>
        <v>214</v>
      </c>
      <c r="B228" s="515">
        <v>38900</v>
      </c>
      <c r="C228" s="88" t="s">
        <v>1597</v>
      </c>
      <c r="D228" s="347">
        <v>0</v>
      </c>
      <c r="E228" s="347">
        <v>0</v>
      </c>
      <c r="F228" s="347">
        <f t="shared" ref="F228:F257" si="67">D228+E228</f>
        <v>0</v>
      </c>
      <c r="G228" s="468">
        <f>Allocation!$G$15</f>
        <v>0.10929999999999999</v>
      </c>
      <c r="H228" s="468">
        <f>Allocation!$H$15</f>
        <v>0.51883860656465508</v>
      </c>
      <c r="I228" s="347">
        <f t="shared" ref="I228:I257" si="68">F228*G228*H228</f>
        <v>0</v>
      </c>
      <c r="K228" s="347">
        <v>0</v>
      </c>
      <c r="L228" s="468">
        <f t="shared" ref="L228:L257" si="69">G228</f>
        <v>0.10929999999999999</v>
      </c>
      <c r="M228" s="468">
        <f t="shared" ref="M228:M257" si="70">H228</f>
        <v>0.51883860656465508</v>
      </c>
      <c r="N228" s="347">
        <f t="shared" ref="N228:N257" si="71">K228*L228*M228</f>
        <v>0</v>
      </c>
      <c r="P228" s="663"/>
      <c r="R228" s="425"/>
      <c r="S228" s="425"/>
    </row>
    <row r="229" spans="1:19">
      <c r="A229" s="863">
        <f t="shared" si="42"/>
        <v>215</v>
      </c>
      <c r="B229" s="515">
        <v>38910</v>
      </c>
      <c r="C229" s="88" t="s">
        <v>1598</v>
      </c>
      <c r="D229" s="347">
        <v>0</v>
      </c>
      <c r="E229" s="431">
        <v>0</v>
      </c>
      <c r="F229" s="431">
        <f t="shared" si="67"/>
        <v>0</v>
      </c>
      <c r="G229" s="468">
        <v>1</v>
      </c>
      <c r="H229" s="468">
        <f>Allocation!$I$21</f>
        <v>2.3324339999999999E-2</v>
      </c>
      <c r="I229" s="431">
        <f t="shared" si="68"/>
        <v>0</v>
      </c>
      <c r="K229" s="347">
        <v>0</v>
      </c>
      <c r="L229" s="468">
        <f t="shared" si="69"/>
        <v>1</v>
      </c>
      <c r="M229" s="468">
        <f t="shared" si="70"/>
        <v>2.3324339999999999E-2</v>
      </c>
      <c r="N229" s="431">
        <f t="shared" si="71"/>
        <v>0</v>
      </c>
      <c r="P229" s="663"/>
      <c r="R229" s="425"/>
      <c r="S229" s="425"/>
    </row>
    <row r="230" spans="1:19">
      <c r="A230" s="863">
        <f t="shared" si="42"/>
        <v>216</v>
      </c>
      <c r="B230" s="515">
        <v>39000</v>
      </c>
      <c r="C230" s="88" t="s">
        <v>1563</v>
      </c>
      <c r="D230" s="347">
        <v>1609708.7221630008</v>
      </c>
      <c r="E230" s="431">
        <v>0</v>
      </c>
      <c r="F230" s="431">
        <f t="shared" si="67"/>
        <v>1609708.7221630008</v>
      </c>
      <c r="G230" s="468">
        <f>$G$228</f>
        <v>0.10929999999999999</v>
      </c>
      <c r="H230" s="468">
        <f>$H$228</f>
        <v>0.51883860656465508</v>
      </c>
      <c r="I230" s="431">
        <f t="shared" si="68"/>
        <v>91285.06802075509</v>
      </c>
      <c r="K230" s="347">
        <v>1416352.7632746543</v>
      </c>
      <c r="L230" s="468">
        <f t="shared" si="69"/>
        <v>0.10929999999999999</v>
      </c>
      <c r="M230" s="468">
        <f t="shared" si="70"/>
        <v>0.51883860656465508</v>
      </c>
      <c r="N230" s="431">
        <f t="shared" si="71"/>
        <v>80320.033405285256</v>
      </c>
      <c r="P230" s="663"/>
      <c r="R230" s="425"/>
      <c r="S230" s="425"/>
    </row>
    <row r="231" spans="1:19">
      <c r="A231" s="863">
        <f t="shared" si="42"/>
        <v>217</v>
      </c>
      <c r="B231" s="515">
        <v>39009</v>
      </c>
      <c r="C231" s="88" t="s">
        <v>1567</v>
      </c>
      <c r="D231" s="347">
        <v>1591254.3101874995</v>
      </c>
      <c r="E231" s="431">
        <v>0</v>
      </c>
      <c r="F231" s="431">
        <f t="shared" si="67"/>
        <v>1591254.3101874995</v>
      </c>
      <c r="G231" s="468">
        <f>$G$228</f>
        <v>0.10929999999999999</v>
      </c>
      <c r="H231" s="468">
        <f>$H$228</f>
        <v>0.51883860656465508</v>
      </c>
      <c r="I231" s="431">
        <f t="shared" si="68"/>
        <v>90238.535670353813</v>
      </c>
      <c r="K231" s="347">
        <v>1543296.3558197112</v>
      </c>
      <c r="L231" s="468">
        <f t="shared" ref="L231:L256" si="72">G231</f>
        <v>0.10929999999999999</v>
      </c>
      <c r="M231" s="468">
        <f t="shared" ref="M231:M256" si="73">H231</f>
        <v>0.51883860656465508</v>
      </c>
      <c r="N231" s="431">
        <f t="shared" si="71"/>
        <v>87518.885173140137</v>
      </c>
      <c r="P231" s="663"/>
      <c r="R231" s="425"/>
      <c r="S231" s="425"/>
    </row>
    <row r="232" spans="1:19">
      <c r="A232" s="863">
        <f t="shared" ref="A232:A244" si="74">A231+1</f>
        <v>218</v>
      </c>
      <c r="B232" s="515">
        <v>39010</v>
      </c>
      <c r="C232" s="88" t="s">
        <v>1599</v>
      </c>
      <c r="D232" s="347">
        <v>2562060.2035212498</v>
      </c>
      <c r="E232" s="431">
        <v>0</v>
      </c>
      <c r="F232" s="431">
        <f t="shared" si="67"/>
        <v>2562060.2035212498</v>
      </c>
      <c r="G232" s="468">
        <v>1</v>
      </c>
      <c r="H232" s="468">
        <f>Allocation!$I$21</f>
        <v>2.3324339999999999E-2</v>
      </c>
      <c r="I232" s="431">
        <f t="shared" si="68"/>
        <v>59758.363287398824</v>
      </c>
      <c r="K232" s="347">
        <v>2356589.6862157737</v>
      </c>
      <c r="L232" s="468">
        <f t="shared" si="72"/>
        <v>1</v>
      </c>
      <c r="M232" s="468">
        <f t="shared" si="73"/>
        <v>2.3324339999999999E-2</v>
      </c>
      <c r="N232" s="431">
        <f t="shared" si="71"/>
        <v>54965.899081790019</v>
      </c>
      <c r="P232" s="663"/>
      <c r="R232" s="425"/>
      <c r="S232" s="425"/>
    </row>
    <row r="233" spans="1:19">
      <c r="A233" s="863">
        <f t="shared" si="74"/>
        <v>219</v>
      </c>
      <c r="B233" s="515">
        <v>39100</v>
      </c>
      <c r="C233" s="88" t="s">
        <v>1568</v>
      </c>
      <c r="D233" s="347">
        <v>776041.88750602922</v>
      </c>
      <c r="E233" s="431">
        <v>0</v>
      </c>
      <c r="F233" s="431">
        <f t="shared" si="67"/>
        <v>776041.88750602922</v>
      </c>
      <c r="G233" s="468">
        <f t="shared" ref="G233:G236" si="75">$G$228</f>
        <v>0.10929999999999999</v>
      </c>
      <c r="H233" s="468">
        <f t="shared" ref="H233:H236" si="76">$H$228</f>
        <v>0.51883860656465508</v>
      </c>
      <c r="I233" s="431">
        <f t="shared" si="68"/>
        <v>44008.605726353031</v>
      </c>
      <c r="K233" s="347">
        <v>729487.19157028082</v>
      </c>
      <c r="L233" s="468">
        <f t="shared" si="72"/>
        <v>0.10929999999999999</v>
      </c>
      <c r="M233" s="468">
        <f t="shared" si="73"/>
        <v>0.51883860656465508</v>
      </c>
      <c r="N233" s="431">
        <f t="shared" si="71"/>
        <v>41368.532695332928</v>
      </c>
      <c r="P233" s="663"/>
      <c r="R233" s="425"/>
      <c r="S233" s="425"/>
    </row>
    <row r="234" spans="1:19">
      <c r="A234" s="863">
        <f t="shared" si="74"/>
        <v>220</v>
      </c>
      <c r="B234" s="515">
        <v>39101</v>
      </c>
      <c r="C234" s="88" t="s">
        <v>1538</v>
      </c>
      <c r="D234" s="347">
        <v>0</v>
      </c>
      <c r="E234" s="431">
        <v>0</v>
      </c>
      <c r="F234" s="431">
        <f t="shared" si="67"/>
        <v>0</v>
      </c>
      <c r="G234" s="468">
        <f t="shared" si="75"/>
        <v>0.10929999999999999</v>
      </c>
      <c r="H234" s="468">
        <f t="shared" si="76"/>
        <v>0.51883860656465508</v>
      </c>
      <c r="I234" s="431">
        <f t="shared" si="68"/>
        <v>0</v>
      </c>
      <c r="K234" s="347">
        <v>0</v>
      </c>
      <c r="L234" s="468">
        <f t="shared" si="72"/>
        <v>0.10929999999999999</v>
      </c>
      <c r="M234" s="468">
        <f t="shared" si="73"/>
        <v>0.51883860656465508</v>
      </c>
      <c r="N234" s="431">
        <f t="shared" si="71"/>
        <v>0</v>
      </c>
      <c r="P234" s="663"/>
      <c r="R234" s="425"/>
      <c r="S234" s="425"/>
    </row>
    <row r="235" spans="1:19">
      <c r="A235" s="863">
        <f t="shared" si="74"/>
        <v>221</v>
      </c>
      <c r="B235" s="515">
        <v>39102</v>
      </c>
      <c r="C235" s="88" t="s">
        <v>1548</v>
      </c>
      <c r="D235" s="347">
        <v>0</v>
      </c>
      <c r="E235" s="431">
        <v>0</v>
      </c>
      <c r="F235" s="431">
        <f t="shared" si="67"/>
        <v>0</v>
      </c>
      <c r="G235" s="468">
        <f t="shared" si="75"/>
        <v>0.10929999999999999</v>
      </c>
      <c r="H235" s="468">
        <f t="shared" si="76"/>
        <v>0.51883860656465508</v>
      </c>
      <c r="I235" s="431">
        <f t="shared" si="68"/>
        <v>0</v>
      </c>
      <c r="K235" s="347">
        <v>0</v>
      </c>
      <c r="L235" s="468">
        <f t="shared" si="72"/>
        <v>0.10929999999999999</v>
      </c>
      <c r="M235" s="468">
        <f t="shared" si="73"/>
        <v>0.51883860656465508</v>
      </c>
      <c r="N235" s="431">
        <f t="shared" si="71"/>
        <v>0</v>
      </c>
      <c r="P235" s="663"/>
      <c r="R235" s="425"/>
      <c r="S235" s="425"/>
    </row>
    <row r="236" spans="1:19">
      <c r="A236" s="863">
        <f t="shared" si="74"/>
        <v>222</v>
      </c>
      <c r="B236" s="515">
        <v>39103</v>
      </c>
      <c r="C236" s="88" t="s">
        <v>1342</v>
      </c>
      <c r="D236" s="347">
        <v>0</v>
      </c>
      <c r="E236" s="431">
        <v>0</v>
      </c>
      <c r="F236" s="431">
        <f t="shared" si="67"/>
        <v>0</v>
      </c>
      <c r="G236" s="468">
        <f t="shared" si="75"/>
        <v>0.10929999999999999</v>
      </c>
      <c r="H236" s="468">
        <f t="shared" si="76"/>
        <v>0.51883860656465508</v>
      </c>
      <c r="I236" s="431">
        <f t="shared" si="68"/>
        <v>0</v>
      </c>
      <c r="K236" s="347">
        <v>0</v>
      </c>
      <c r="L236" s="468">
        <f t="shared" si="72"/>
        <v>0.10929999999999999</v>
      </c>
      <c r="M236" s="468">
        <f t="shared" si="73"/>
        <v>0.51883860656465508</v>
      </c>
      <c r="N236" s="431">
        <f t="shared" si="71"/>
        <v>0</v>
      </c>
      <c r="P236" s="663"/>
      <c r="R236" s="425"/>
      <c r="S236" s="425"/>
    </row>
    <row r="237" spans="1:19">
      <c r="A237" s="863">
        <f t="shared" si="74"/>
        <v>223</v>
      </c>
      <c r="B237" s="515">
        <v>39110</v>
      </c>
      <c r="C237" s="88" t="s">
        <v>1549</v>
      </c>
      <c r="D237" s="347">
        <v>35809.322112440314</v>
      </c>
      <c r="E237" s="431">
        <v>0</v>
      </c>
      <c r="F237" s="431">
        <f t="shared" si="67"/>
        <v>35809.322112440314</v>
      </c>
      <c r="G237" s="468">
        <v>1</v>
      </c>
      <c r="H237" s="468">
        <f>Allocation!$I$21</f>
        <v>2.3324339999999999E-2</v>
      </c>
      <c r="I237" s="431">
        <f t="shared" si="68"/>
        <v>835.22880412007612</v>
      </c>
      <c r="K237" s="347">
        <v>26220.305556440966</v>
      </c>
      <c r="L237" s="468">
        <f t="shared" si="72"/>
        <v>1</v>
      </c>
      <c r="M237" s="468">
        <f t="shared" si="73"/>
        <v>2.3324339999999999E-2</v>
      </c>
      <c r="N237" s="431">
        <f t="shared" si="71"/>
        <v>611.5713217023183</v>
      </c>
      <c r="P237" s="663"/>
      <c r="R237" s="425"/>
      <c r="S237" s="425"/>
    </row>
    <row r="238" spans="1:19">
      <c r="A238" s="863">
        <f t="shared" si="74"/>
        <v>224</v>
      </c>
      <c r="B238" s="515">
        <v>39210</v>
      </c>
      <c r="C238" s="88" t="s">
        <v>1550</v>
      </c>
      <c r="D238" s="347">
        <v>93580.902174000061</v>
      </c>
      <c r="E238" s="431">
        <v>0</v>
      </c>
      <c r="F238" s="431">
        <f t="shared" si="67"/>
        <v>93580.902174000061</v>
      </c>
      <c r="G238" s="468">
        <v>1</v>
      </c>
      <c r="H238" s="468">
        <f>Allocation!$I$21</f>
        <v>2.3324339999999999E-2</v>
      </c>
      <c r="I238" s="431">
        <f t="shared" si="68"/>
        <v>2182.7127798131164</v>
      </c>
      <c r="K238" s="347">
        <v>89588.819816076968</v>
      </c>
      <c r="L238" s="468">
        <f t="shared" si="72"/>
        <v>1</v>
      </c>
      <c r="M238" s="468">
        <f t="shared" si="73"/>
        <v>2.3324339999999999E-2</v>
      </c>
      <c r="N238" s="431">
        <f t="shared" si="71"/>
        <v>2089.6000935889165</v>
      </c>
      <c r="P238" s="663"/>
      <c r="R238" s="425"/>
      <c r="S238" s="425"/>
    </row>
    <row r="239" spans="1:19">
      <c r="A239" s="863">
        <f t="shared" si="74"/>
        <v>225</v>
      </c>
      <c r="B239" s="515">
        <v>39410</v>
      </c>
      <c r="C239" s="88" t="s">
        <v>1551</v>
      </c>
      <c r="D239" s="347">
        <v>100279.01282499995</v>
      </c>
      <c r="E239" s="431">
        <v>0</v>
      </c>
      <c r="F239" s="431">
        <f t="shared" si="67"/>
        <v>100279.01282499995</v>
      </c>
      <c r="G239" s="468">
        <v>1</v>
      </c>
      <c r="H239" s="468">
        <f>Allocation!$I$21</f>
        <v>2.3324339999999999E-2</v>
      </c>
      <c r="I239" s="431">
        <f t="shared" si="68"/>
        <v>2338.9417899946593</v>
      </c>
      <c r="K239" s="347">
        <v>85529.135375961501</v>
      </c>
      <c r="L239" s="468">
        <f t="shared" si="72"/>
        <v>1</v>
      </c>
      <c r="M239" s="468">
        <f t="shared" si="73"/>
        <v>2.3324339999999999E-2</v>
      </c>
      <c r="N239" s="431">
        <f t="shared" si="71"/>
        <v>1994.9106334149537</v>
      </c>
      <c r="P239" s="663"/>
      <c r="R239" s="425"/>
      <c r="S239" s="425"/>
    </row>
    <row r="240" spans="1:19">
      <c r="A240" s="863">
        <f t="shared" si="74"/>
        <v>226</v>
      </c>
      <c r="B240" s="515">
        <v>39510</v>
      </c>
      <c r="C240" s="88" t="s">
        <v>1552</v>
      </c>
      <c r="D240" s="347">
        <v>15154.481517500002</v>
      </c>
      <c r="E240" s="431">
        <v>0</v>
      </c>
      <c r="F240" s="431">
        <f t="shared" si="67"/>
        <v>15154.481517500002</v>
      </c>
      <c r="G240" s="468">
        <v>1</v>
      </c>
      <c r="H240" s="468">
        <f>Allocation!$I$21</f>
        <v>2.3324339999999999E-2</v>
      </c>
      <c r="I240" s="431">
        <f t="shared" si="68"/>
        <v>353.468279437886</v>
      </c>
      <c r="K240" s="347">
        <v>14215.833870096158</v>
      </c>
      <c r="L240" s="468">
        <f t="shared" si="72"/>
        <v>1</v>
      </c>
      <c r="M240" s="468">
        <f t="shared" si="73"/>
        <v>2.3324339999999999E-2</v>
      </c>
      <c r="N240" s="431">
        <f t="shared" si="71"/>
        <v>331.57494256963861</v>
      </c>
      <c r="P240" s="663"/>
      <c r="R240" s="425"/>
      <c r="S240" s="425"/>
    </row>
    <row r="241" spans="1:19">
      <c r="A241" s="863">
        <f t="shared" si="74"/>
        <v>227</v>
      </c>
      <c r="B241" s="515">
        <v>39700</v>
      </c>
      <c r="C241" s="88" t="s">
        <v>1575</v>
      </c>
      <c r="D241" s="347">
        <v>981312.56546750001</v>
      </c>
      <c r="E241" s="431">
        <v>0</v>
      </c>
      <c r="F241" s="431">
        <f t="shared" si="67"/>
        <v>981312.56546750001</v>
      </c>
      <c r="G241" s="468">
        <f t="shared" ref="G241" si="77">$G$228</f>
        <v>0.10929999999999999</v>
      </c>
      <c r="H241" s="468">
        <f t="shared" ref="H241" si="78">$H$228</f>
        <v>0.51883860656465508</v>
      </c>
      <c r="I241" s="431">
        <f t="shared" si="68"/>
        <v>55649.312857019824</v>
      </c>
      <c r="K241" s="347">
        <v>925778.18031817325</v>
      </c>
      <c r="L241" s="468">
        <f t="shared" si="72"/>
        <v>0.10929999999999999</v>
      </c>
      <c r="M241" s="468">
        <f t="shared" si="73"/>
        <v>0.51883860656465508</v>
      </c>
      <c r="N241" s="431">
        <f t="shared" si="71"/>
        <v>52500.010094321755</v>
      </c>
      <c r="P241" s="663"/>
      <c r="R241" s="425"/>
      <c r="S241" s="425"/>
    </row>
    <row r="242" spans="1:19">
      <c r="A242" s="863">
        <f t="shared" si="74"/>
        <v>228</v>
      </c>
      <c r="B242" s="515">
        <v>39710</v>
      </c>
      <c r="C242" s="88" t="s">
        <v>1600</v>
      </c>
      <c r="D242" s="347">
        <v>144727.9639125001</v>
      </c>
      <c r="E242" s="431">
        <v>0</v>
      </c>
      <c r="F242" s="431">
        <f t="shared" si="67"/>
        <v>144727.9639125001</v>
      </c>
      <c r="G242" s="468">
        <v>1</v>
      </c>
      <c r="H242" s="468">
        <f>Allocation!$I$21</f>
        <v>2.3324339999999999E-2</v>
      </c>
      <c r="I242" s="431">
        <f t="shared" si="68"/>
        <v>3375.6842378028823</v>
      </c>
      <c r="K242" s="347">
        <v>136221.62797644234</v>
      </c>
      <c r="L242" s="468">
        <f t="shared" si="72"/>
        <v>1</v>
      </c>
      <c r="M242" s="468">
        <f t="shared" si="73"/>
        <v>2.3324339999999999E-2</v>
      </c>
      <c r="N242" s="431">
        <f t="shared" si="71"/>
        <v>3177.2795662760527</v>
      </c>
      <c r="P242" s="663"/>
      <c r="R242" s="425"/>
      <c r="S242" s="425"/>
    </row>
    <row r="243" spans="1:19">
      <c r="A243" s="863">
        <f t="shared" si="74"/>
        <v>229</v>
      </c>
      <c r="B243" s="515">
        <v>39800</v>
      </c>
      <c r="C243" s="88" t="s">
        <v>1577</v>
      </c>
      <c r="D243" s="347">
        <v>11835.514207000011</v>
      </c>
      <c r="E243" s="431">
        <v>0</v>
      </c>
      <c r="F243" s="431">
        <f t="shared" si="67"/>
        <v>11835.514207000011</v>
      </c>
      <c r="G243" s="468">
        <f>$G$228</f>
        <v>0.10929999999999999</v>
      </c>
      <c r="H243" s="468">
        <f>$H$228</f>
        <v>0.51883860656465508</v>
      </c>
      <c r="I243" s="431">
        <f t="shared" si="68"/>
        <v>671.1808817155719</v>
      </c>
      <c r="K243" s="347">
        <v>10253.14690188462</v>
      </c>
      <c r="L243" s="468">
        <f t="shared" si="72"/>
        <v>0.10929999999999999</v>
      </c>
      <c r="M243" s="468">
        <f t="shared" si="73"/>
        <v>0.51883860656465508</v>
      </c>
      <c r="N243" s="431">
        <f t="shared" ref="N243" si="79">K243*L243*M243</f>
        <v>581.44631974638435</v>
      </c>
      <c r="P243" s="663"/>
      <c r="R243" s="425"/>
      <c r="S243" s="425"/>
    </row>
    <row r="244" spans="1:19">
      <c r="A244" s="863">
        <f t="shared" si="74"/>
        <v>230</v>
      </c>
      <c r="B244" s="709">
        <v>39810</v>
      </c>
      <c r="C244" s="88" t="s">
        <v>1553</v>
      </c>
      <c r="D244" s="347">
        <v>137839.42138250003</v>
      </c>
      <c r="E244" s="431">
        <v>0</v>
      </c>
      <c r="F244" s="431">
        <f t="shared" si="67"/>
        <v>137839.42138250003</v>
      </c>
      <c r="G244" s="468">
        <v>1</v>
      </c>
      <c r="H244" s="468">
        <f>Allocation!$I$21</f>
        <v>2.3324339999999999E-2</v>
      </c>
      <c r="I244" s="431">
        <f t="shared" si="68"/>
        <v>3215.0135297287006</v>
      </c>
      <c r="K244" s="347">
        <v>126381.01075682694</v>
      </c>
      <c r="L244" s="468">
        <f t="shared" si="72"/>
        <v>1</v>
      </c>
      <c r="M244" s="468">
        <f t="shared" si="73"/>
        <v>2.3324339999999999E-2</v>
      </c>
      <c r="N244" s="431">
        <f t="shared" si="71"/>
        <v>2947.7536644358888</v>
      </c>
      <c r="P244" s="663"/>
      <c r="R244" s="425"/>
      <c r="S244" s="425"/>
    </row>
    <row r="245" spans="1:19">
      <c r="A245" s="863">
        <f t="shared" ref="A245:A261" si="80">A244+1</f>
        <v>231</v>
      </c>
      <c r="B245" s="709">
        <v>39900</v>
      </c>
      <c r="C245" s="88" t="s">
        <v>1585</v>
      </c>
      <c r="D245" s="347">
        <v>416242.89983800001</v>
      </c>
      <c r="E245" s="431">
        <v>0</v>
      </c>
      <c r="F245" s="431">
        <f t="shared" si="67"/>
        <v>416242.89983800001</v>
      </c>
      <c r="G245" s="468">
        <f t="shared" ref="G245:G251" si="81">$G$228</f>
        <v>0.10929999999999999</v>
      </c>
      <c r="H245" s="468">
        <f t="shared" ref="H245:H251" si="82">$H$228</f>
        <v>0.51883860656465508</v>
      </c>
      <c r="I245" s="431">
        <f t="shared" si="68"/>
        <v>23604.743455580647</v>
      </c>
      <c r="K245" s="347">
        <v>374710.72034100001</v>
      </c>
      <c r="L245" s="468">
        <f t="shared" si="72"/>
        <v>0.10929999999999999</v>
      </c>
      <c r="M245" s="468">
        <f t="shared" si="73"/>
        <v>0.51883860656465508</v>
      </c>
      <c r="N245" s="431">
        <f t="shared" si="71"/>
        <v>21249.492609117293</v>
      </c>
      <c r="P245" s="663"/>
      <c r="R245" s="425"/>
      <c r="S245" s="425"/>
    </row>
    <row r="246" spans="1:19">
      <c r="A246" s="863">
        <f t="shared" si="80"/>
        <v>232</v>
      </c>
      <c r="B246" s="709">
        <v>39901</v>
      </c>
      <c r="C246" s="88" t="s">
        <v>1586</v>
      </c>
      <c r="D246" s="347">
        <v>4361559.2536857566</v>
      </c>
      <c r="E246" s="431">
        <v>0</v>
      </c>
      <c r="F246" s="431">
        <f t="shared" si="67"/>
        <v>4361559.2536857566</v>
      </c>
      <c r="G246" s="468">
        <f t="shared" si="81"/>
        <v>0.10929999999999999</v>
      </c>
      <c r="H246" s="468">
        <f t="shared" si="82"/>
        <v>0.51883860656465508</v>
      </c>
      <c r="I246" s="431">
        <f t="shared" si="68"/>
        <v>247339.92409152238</v>
      </c>
      <c r="K246" s="347">
        <v>3930579.7809931082</v>
      </c>
      <c r="L246" s="468">
        <f t="shared" si="72"/>
        <v>0.10929999999999999</v>
      </c>
      <c r="M246" s="468">
        <f t="shared" si="73"/>
        <v>0.51883860656465508</v>
      </c>
      <c r="N246" s="431">
        <f t="shared" si="71"/>
        <v>222899.48344619066</v>
      </c>
      <c r="P246" s="663"/>
      <c r="R246" s="425"/>
      <c r="S246" s="425"/>
    </row>
    <row r="247" spans="1:19">
      <c r="A247" s="863">
        <f t="shared" si="80"/>
        <v>233</v>
      </c>
      <c r="B247" s="709">
        <v>39902</v>
      </c>
      <c r="C247" s="88" t="s">
        <v>1587</v>
      </c>
      <c r="D247" s="347">
        <v>1061156.5908550003</v>
      </c>
      <c r="E247" s="431">
        <v>0</v>
      </c>
      <c r="F247" s="431">
        <f t="shared" si="67"/>
        <v>1061156.5908550003</v>
      </c>
      <c r="G247" s="468">
        <f t="shared" si="81"/>
        <v>0.10929999999999999</v>
      </c>
      <c r="H247" s="468">
        <f t="shared" si="82"/>
        <v>0.51883860656465508</v>
      </c>
      <c r="I247" s="431">
        <f t="shared" si="68"/>
        <v>60177.192459209618</v>
      </c>
      <c r="K247" s="347">
        <v>977603.79138403863</v>
      </c>
      <c r="L247" s="468">
        <f t="shared" si="72"/>
        <v>0.10929999999999999</v>
      </c>
      <c r="M247" s="468">
        <f t="shared" si="73"/>
        <v>0.51883860656465508</v>
      </c>
      <c r="N247" s="431">
        <f t="shared" si="71"/>
        <v>55438.991766116204</v>
      </c>
      <c r="P247" s="663"/>
      <c r="R247" s="425"/>
      <c r="S247" s="425"/>
    </row>
    <row r="248" spans="1:19">
      <c r="A248" s="863">
        <f t="shared" si="80"/>
        <v>234</v>
      </c>
      <c r="B248" s="709">
        <v>39903</v>
      </c>
      <c r="C248" s="88" t="s">
        <v>1578</v>
      </c>
      <c r="D248" s="347">
        <v>322529.6154190001</v>
      </c>
      <c r="E248" s="431">
        <v>0</v>
      </c>
      <c r="F248" s="431">
        <f t="shared" si="67"/>
        <v>322529.6154190001</v>
      </c>
      <c r="G248" s="468">
        <f t="shared" si="81"/>
        <v>0.10929999999999999</v>
      </c>
      <c r="H248" s="468">
        <f t="shared" si="82"/>
        <v>0.51883860656465508</v>
      </c>
      <c r="I248" s="431">
        <f t="shared" si="68"/>
        <v>18290.351215013212</v>
      </c>
      <c r="K248" s="347">
        <v>299516.60953588469</v>
      </c>
      <c r="L248" s="468">
        <f t="shared" si="72"/>
        <v>0.10929999999999999</v>
      </c>
      <c r="M248" s="468">
        <f t="shared" si="73"/>
        <v>0.51883860656465508</v>
      </c>
      <c r="N248" s="431">
        <f t="shared" si="71"/>
        <v>16985.305290568314</v>
      </c>
      <c r="P248" s="663"/>
      <c r="R248" s="425"/>
      <c r="S248" s="425"/>
    </row>
    <row r="249" spans="1:19">
      <c r="A249" s="863">
        <f t="shared" si="80"/>
        <v>235</v>
      </c>
      <c r="B249" s="709">
        <v>39906</v>
      </c>
      <c r="C249" s="88" t="s">
        <v>1579</v>
      </c>
      <c r="D249" s="347">
        <v>488219.95434090408</v>
      </c>
      <c r="E249" s="431">
        <v>0</v>
      </c>
      <c r="F249" s="431">
        <f t="shared" si="67"/>
        <v>488219.95434090408</v>
      </c>
      <c r="G249" s="468">
        <f t="shared" si="81"/>
        <v>0.10929999999999999</v>
      </c>
      <c r="H249" s="468">
        <f t="shared" si="82"/>
        <v>0.51883860656465508</v>
      </c>
      <c r="I249" s="431">
        <f t="shared" si="68"/>
        <v>27686.494536237253</v>
      </c>
      <c r="K249" s="347">
        <v>444327.01846303942</v>
      </c>
      <c r="L249" s="468">
        <f t="shared" si="72"/>
        <v>0.10929999999999999</v>
      </c>
      <c r="M249" s="468">
        <f t="shared" si="73"/>
        <v>0.51883860656465508</v>
      </c>
      <c r="N249" s="431">
        <f t="shared" si="71"/>
        <v>25197.367415240151</v>
      </c>
      <c r="P249" s="663"/>
      <c r="R249" s="425"/>
      <c r="S249" s="425"/>
    </row>
    <row r="250" spans="1:19">
      <c r="A250" s="863">
        <f t="shared" si="80"/>
        <v>236</v>
      </c>
      <c r="B250" s="709">
        <v>39907</v>
      </c>
      <c r="C250" s="88" t="s">
        <v>1580</v>
      </c>
      <c r="D250" s="347">
        <v>124642.87705549996</v>
      </c>
      <c r="E250" s="431">
        <v>0</v>
      </c>
      <c r="F250" s="431">
        <f t="shared" si="67"/>
        <v>124642.87705549996</v>
      </c>
      <c r="G250" s="468">
        <f t="shared" si="81"/>
        <v>0.10929999999999999</v>
      </c>
      <c r="H250" s="468">
        <f t="shared" si="82"/>
        <v>0.51883860656465508</v>
      </c>
      <c r="I250" s="431">
        <f t="shared" si="68"/>
        <v>7068.3803558105938</v>
      </c>
      <c r="K250" s="347">
        <v>118336.55266878847</v>
      </c>
      <c r="L250" s="468">
        <f t="shared" si="72"/>
        <v>0.10929999999999999</v>
      </c>
      <c r="M250" s="468">
        <f t="shared" si="73"/>
        <v>0.51883860656465508</v>
      </c>
      <c r="N250" s="431">
        <f t="shared" si="71"/>
        <v>6710.7546296926657</v>
      </c>
      <c r="P250" s="663"/>
      <c r="R250" s="425"/>
      <c r="S250" s="425"/>
    </row>
    <row r="251" spans="1:19">
      <c r="A251" s="863">
        <f t="shared" si="80"/>
        <v>237</v>
      </c>
      <c r="B251" s="709">
        <v>39908</v>
      </c>
      <c r="C251" s="88" t="s">
        <v>1581</v>
      </c>
      <c r="D251" s="347">
        <v>25976081.594470952</v>
      </c>
      <c r="E251" s="431">
        <v>0</v>
      </c>
      <c r="F251" s="431">
        <f t="shared" si="67"/>
        <v>25976081.594470952</v>
      </c>
      <c r="G251" s="468">
        <f t="shared" si="81"/>
        <v>0.10929999999999999</v>
      </c>
      <c r="H251" s="468">
        <f t="shared" si="82"/>
        <v>0.51883860656465508</v>
      </c>
      <c r="I251" s="431">
        <f t="shared" si="68"/>
        <v>1473079.1618484205</v>
      </c>
      <c r="K251" s="347">
        <v>23087625.996291075</v>
      </c>
      <c r="L251" s="468">
        <f t="shared" si="72"/>
        <v>0.10929999999999999</v>
      </c>
      <c r="M251" s="468">
        <f t="shared" si="73"/>
        <v>0.51883860656465508</v>
      </c>
      <c r="N251" s="431">
        <f t="shared" si="71"/>
        <v>1309277.5608976111</v>
      </c>
      <c r="P251" s="663"/>
      <c r="R251" s="425"/>
      <c r="S251" s="425"/>
    </row>
    <row r="252" spans="1:19">
      <c r="A252" s="863">
        <f t="shared" si="80"/>
        <v>238</v>
      </c>
      <c r="B252" s="709">
        <v>39910</v>
      </c>
      <c r="C252" s="88" t="s">
        <v>1601</v>
      </c>
      <c r="D252" s="347">
        <v>109374.06504026496</v>
      </c>
      <c r="E252" s="431">
        <v>0</v>
      </c>
      <c r="F252" s="431">
        <f t="shared" si="67"/>
        <v>109374.06504026496</v>
      </c>
      <c r="G252" s="468">
        <v>1</v>
      </c>
      <c r="H252" s="468">
        <f>$H$229</f>
        <v>2.3324339999999999E-2</v>
      </c>
      <c r="I252" s="431">
        <f t="shared" si="68"/>
        <v>2551.0778801812535</v>
      </c>
      <c r="K252" s="347">
        <v>100449.28092524249</v>
      </c>
      <c r="L252" s="468">
        <f t="shared" si="72"/>
        <v>1</v>
      </c>
      <c r="M252" s="468">
        <f t="shared" si="73"/>
        <v>2.3324339999999999E-2</v>
      </c>
      <c r="N252" s="431">
        <f t="shared" si="71"/>
        <v>2342.9131810558702</v>
      </c>
      <c r="P252" s="663"/>
      <c r="R252" s="425"/>
      <c r="S252" s="425"/>
    </row>
    <row r="253" spans="1:19">
      <c r="A253" s="863">
        <f t="shared" si="80"/>
        <v>239</v>
      </c>
      <c r="B253" s="709">
        <v>39916</v>
      </c>
      <c r="C253" s="88" t="s">
        <v>1602</v>
      </c>
      <c r="D253" s="347">
        <v>226855.75604247276</v>
      </c>
      <c r="E253" s="431">
        <v>0</v>
      </c>
      <c r="F253" s="431">
        <f t="shared" si="67"/>
        <v>226855.75604247276</v>
      </c>
      <c r="G253" s="468">
        <v>1</v>
      </c>
      <c r="H253" s="468">
        <f>$H$229</f>
        <v>2.3324339999999999E-2</v>
      </c>
      <c r="I253" s="431">
        <f t="shared" si="68"/>
        <v>5291.2607848916887</v>
      </c>
      <c r="K253" s="347">
        <v>214061.67843198564</v>
      </c>
      <c r="L253" s="468">
        <f t="shared" si="72"/>
        <v>1</v>
      </c>
      <c r="M253" s="468">
        <f t="shared" si="73"/>
        <v>2.3324339999999999E-2</v>
      </c>
      <c r="N253" s="431">
        <f t="shared" si="71"/>
        <v>4992.8473687182995</v>
      </c>
      <c r="P253" s="663"/>
      <c r="R253" s="425"/>
      <c r="S253" s="425"/>
    </row>
    <row r="254" spans="1:19">
      <c r="A254" s="863">
        <f t="shared" si="80"/>
        <v>240</v>
      </c>
      <c r="B254" s="709">
        <v>39917</v>
      </c>
      <c r="C254" s="88" t="s">
        <v>1603</v>
      </c>
      <c r="D254" s="347">
        <v>69710.173994984478</v>
      </c>
      <c r="E254" s="431">
        <v>0</v>
      </c>
      <c r="F254" s="431">
        <f t="shared" si="67"/>
        <v>69710.173994984478</v>
      </c>
      <c r="G254" s="468">
        <v>1</v>
      </c>
      <c r="H254" s="468">
        <f>$H$229</f>
        <v>2.3324339999999999E-2</v>
      </c>
      <c r="I254" s="431">
        <f t="shared" si="68"/>
        <v>1625.9437997181763</v>
      </c>
      <c r="K254" s="347">
        <v>66208.56340055191</v>
      </c>
      <c r="L254" s="468">
        <f t="shared" si="72"/>
        <v>1</v>
      </c>
      <c r="M254" s="468">
        <f t="shared" si="73"/>
        <v>2.3324339999999999E-2</v>
      </c>
      <c r="N254" s="431">
        <f t="shared" si="71"/>
        <v>1544.2710436660288</v>
      </c>
      <c r="P254" s="663"/>
      <c r="R254" s="425"/>
      <c r="S254" s="425"/>
    </row>
    <row r="255" spans="1:19">
      <c r="A255" s="863">
        <f t="shared" si="80"/>
        <v>241</v>
      </c>
      <c r="B255" s="709">
        <v>39918</v>
      </c>
      <c r="C255" s="88" t="s">
        <v>1554</v>
      </c>
      <c r="D255" s="347">
        <v>9699.1612160000059</v>
      </c>
      <c r="E255" s="431">
        <v>0</v>
      </c>
      <c r="F255" s="431">
        <f t="shared" ref="F255:F256" si="83">D255+E255</f>
        <v>9699.1612160000059</v>
      </c>
      <c r="G255" s="468">
        <v>1</v>
      </c>
      <c r="H255" s="468">
        <f>$H$229</f>
        <v>2.3324339999999999E-2</v>
      </c>
      <c r="I255" s="431">
        <f t="shared" ref="I255:I256" si="84">F255*G255*H255</f>
        <v>226.22653391679756</v>
      </c>
      <c r="K255" s="347">
        <v>9028.6580196923096</v>
      </c>
      <c r="L255" s="468">
        <f t="shared" si="72"/>
        <v>1</v>
      </c>
      <c r="M255" s="468">
        <f t="shared" si="73"/>
        <v>2.3324339999999999E-2</v>
      </c>
      <c r="N255" s="431">
        <f t="shared" ref="N255:N256" si="85">K255*L255*M255</f>
        <v>210.5874893950301</v>
      </c>
      <c r="P255" s="663"/>
      <c r="R255" s="425"/>
      <c r="S255" s="425"/>
    </row>
    <row r="256" spans="1:19">
      <c r="A256" s="863">
        <f t="shared" si="80"/>
        <v>242</v>
      </c>
      <c r="B256" s="709">
        <v>39924</v>
      </c>
      <c r="C256" s="88" t="s">
        <v>1555</v>
      </c>
      <c r="D256" s="347">
        <v>0</v>
      </c>
      <c r="E256" s="431">
        <v>0</v>
      </c>
      <c r="F256" s="431">
        <f t="shared" si="83"/>
        <v>0</v>
      </c>
      <c r="G256" s="468">
        <f t="shared" ref="G256" si="86">$G$228</f>
        <v>0.10929999999999999</v>
      </c>
      <c r="H256" s="468">
        <f t="shared" ref="H256" si="87">$H$228</f>
        <v>0.51883860656465508</v>
      </c>
      <c r="I256" s="431">
        <f t="shared" si="84"/>
        <v>0</v>
      </c>
      <c r="K256" s="347">
        <v>0</v>
      </c>
      <c r="L256" s="468">
        <f t="shared" si="72"/>
        <v>0.10929999999999999</v>
      </c>
      <c r="M256" s="468">
        <f t="shared" si="73"/>
        <v>0.51883860656465508</v>
      </c>
      <c r="N256" s="431">
        <f t="shared" si="85"/>
        <v>0</v>
      </c>
      <c r="P256" s="663"/>
      <c r="R256" s="425"/>
      <c r="S256" s="425"/>
    </row>
    <row r="257" spans="1:19">
      <c r="A257" s="863">
        <f t="shared" si="80"/>
        <v>243</v>
      </c>
      <c r="B257" s="709"/>
      <c r="C257" s="88" t="s">
        <v>1604</v>
      </c>
      <c r="D257" s="347">
        <v>0</v>
      </c>
      <c r="E257" s="382">
        <v>0</v>
      </c>
      <c r="F257" s="431">
        <f t="shared" si="67"/>
        <v>0</v>
      </c>
      <c r="G257" s="468">
        <f>$G$228</f>
        <v>0.10929999999999999</v>
      </c>
      <c r="H257" s="468">
        <f>$H$228</f>
        <v>0.51883860656465508</v>
      </c>
      <c r="I257" s="1054">
        <f t="shared" si="68"/>
        <v>0</v>
      </c>
      <c r="K257" s="347">
        <v>0</v>
      </c>
      <c r="L257" s="468">
        <f t="shared" si="69"/>
        <v>0.10929999999999999</v>
      </c>
      <c r="M257" s="468">
        <f t="shared" si="70"/>
        <v>0.51883860656465508</v>
      </c>
      <c r="N257" s="1054">
        <f t="shared" si="71"/>
        <v>0</v>
      </c>
      <c r="P257" s="663"/>
      <c r="R257" s="425"/>
      <c r="S257" s="425"/>
    </row>
    <row r="258" spans="1:19">
      <c r="A258" s="863">
        <f t="shared" si="80"/>
        <v>244</v>
      </c>
      <c r="B258" s="81"/>
      <c r="C258" s="88"/>
      <c r="D258" s="1068"/>
      <c r="E258" s="621"/>
      <c r="F258" s="621"/>
    </row>
    <row r="259" spans="1:19" ht="15.75" thickBot="1">
      <c r="A259" s="863">
        <f t="shared" si="80"/>
        <v>245</v>
      </c>
      <c r="B259" s="81"/>
      <c r="C259" s="234" t="s">
        <v>1345</v>
      </c>
      <c r="D259" s="469">
        <f>SUM(D228:D258)</f>
        <v>41225676.248935051</v>
      </c>
      <c r="E259" s="469">
        <f>SUM(E228:E258)</f>
        <v>0</v>
      </c>
      <c r="F259" s="469">
        <f>SUM(F228:F258)</f>
        <v>41225676.248935051</v>
      </c>
      <c r="I259" s="469">
        <f>SUM(I228:I258)</f>
        <v>2220852.8728249958</v>
      </c>
      <c r="K259" s="469">
        <f>SUM(K228:K258)</f>
        <v>37082362.707906738</v>
      </c>
      <c r="N259" s="469">
        <f>SUM(N228:N258)</f>
        <v>1995257.0721289758</v>
      </c>
    </row>
    <row r="260" spans="1:19" ht="15.75" thickTop="1">
      <c r="A260" s="863">
        <f t="shared" si="80"/>
        <v>246</v>
      </c>
    </row>
    <row r="261" spans="1:19" ht="30.75" thickBot="1">
      <c r="A261" s="863">
        <f t="shared" si="80"/>
        <v>247</v>
      </c>
      <c r="C261" s="617" t="s">
        <v>1155</v>
      </c>
      <c r="D261" s="469">
        <f>D259+D223+D178+D117</f>
        <v>319572986.22634143</v>
      </c>
      <c r="E261" s="469">
        <f>E259+E223+E178+E117</f>
        <v>0</v>
      </c>
      <c r="F261" s="469">
        <f>F259+F223+F178+F117</f>
        <v>319520468.92634141</v>
      </c>
      <c r="I261" s="469">
        <f>I259+I223+I178+I117</f>
        <v>190820118.53911278</v>
      </c>
      <c r="K261" s="469">
        <f>K259+K223+K178+K117</f>
        <v>306758495.80896485</v>
      </c>
      <c r="N261" s="469">
        <f>N259+N223+N178+N117</f>
        <v>184933468.19820723</v>
      </c>
      <c r="P261" s="673"/>
    </row>
    <row r="262" spans="1:19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75" top="1" bottom="0.94" header="0.5" footer="0.5"/>
  <pageSetup scale="54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7" max="13" man="1"/>
    <brk id="150" max="13" man="1"/>
    <brk id="178" max="13" man="1"/>
    <brk id="2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T264"/>
  <sheetViews>
    <sheetView view="pageBreakPreview" zoomScale="60" zoomScaleNormal="70" workbookViewId="0">
      <pane ySplit="12" topLeftCell="A13" activePane="bottomLeft" state="frozen"/>
      <selection activeCell="C29" sqref="C29"/>
      <selection pane="bottomLeft" sqref="A1:XFD1048576"/>
    </sheetView>
  </sheetViews>
  <sheetFormatPr defaultRowHeight="15"/>
  <cols>
    <col min="1" max="1" width="5" style="80" customWidth="1"/>
    <col min="2" max="2" width="9.33203125" style="80" customWidth="1"/>
    <col min="3" max="3" width="33.88671875" style="80" customWidth="1"/>
    <col min="4" max="4" width="13.6640625" style="80" customWidth="1"/>
    <col min="5" max="5" width="10.33203125" style="80" customWidth="1"/>
    <col min="6" max="6" width="14.33203125" style="80" customWidth="1"/>
    <col min="7" max="7" width="12.6640625" style="862" bestFit="1" customWidth="1"/>
    <col min="8" max="8" width="13.5546875" style="862" customWidth="1"/>
    <col min="9" max="9" width="13.109375" style="80" bestFit="1" customWidth="1"/>
    <col min="10" max="10" width="3.21875" style="80" customWidth="1"/>
    <col min="11" max="11" width="13.109375" style="80" bestFit="1" customWidth="1"/>
    <col min="12" max="12" width="12.6640625" style="862" bestFit="1" customWidth="1"/>
    <col min="13" max="13" width="9.77734375" style="862" bestFit="1" customWidth="1"/>
    <col min="14" max="14" width="14.77734375" style="80" bestFit="1" customWidth="1"/>
    <col min="15" max="15" width="6.21875" style="80" customWidth="1"/>
    <col min="16" max="17" width="12" style="80" bestFit="1" customWidth="1"/>
    <col min="18" max="18" width="1.77734375" style="80" customWidth="1"/>
    <col min="19" max="19" width="7.77734375" style="80" customWidth="1"/>
    <col min="20" max="20" width="7.109375" style="80" bestFit="1" customWidth="1"/>
    <col min="21" max="16384" width="8.88671875" style="80"/>
  </cols>
  <sheetData>
    <row r="1" spans="1:19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9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9">
      <c r="A3" s="1162" t="s">
        <v>1127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9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9" ht="15.75">
      <c r="A5" s="150"/>
      <c r="B5" s="150"/>
      <c r="C5" s="150"/>
      <c r="D5" s="734"/>
      <c r="E5" s="150"/>
      <c r="F5" s="150"/>
      <c r="G5" s="865"/>
      <c r="H5" s="865"/>
      <c r="I5" s="81"/>
      <c r="J5" s="81"/>
      <c r="K5" s="150"/>
      <c r="P5" s="911"/>
    </row>
    <row r="6" spans="1:19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1065" t="s">
        <v>1445</v>
      </c>
    </row>
    <row r="7" spans="1:19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1038"/>
      <c r="K7" s="81"/>
      <c r="N7" s="1038" t="s">
        <v>1019</v>
      </c>
    </row>
    <row r="8" spans="1:19">
      <c r="A8" s="1038" t="str">
        <f>'B.1 F 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8" t="str">
        <f>'B.1 B'!F8</f>
        <v>Witness:   Waller</v>
      </c>
    </row>
    <row r="9" spans="1:19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9">
      <c r="A10" s="1044"/>
      <c r="B10" s="74"/>
      <c r="C10" s="1062"/>
      <c r="D10" s="1046"/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9" ht="15.75">
      <c r="A11" s="1044" t="s">
        <v>94</v>
      </c>
      <c r="B11" s="75" t="s">
        <v>269</v>
      </c>
      <c r="C11" s="487" t="s">
        <v>217</v>
      </c>
      <c r="D11" s="1066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9" ht="15.75">
      <c r="A12" s="1048" t="s">
        <v>100</v>
      </c>
      <c r="B12" s="186" t="s">
        <v>100</v>
      </c>
      <c r="C12" s="1049" t="s">
        <v>300</v>
      </c>
      <c r="D12" s="1067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67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9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9" ht="15.75">
      <c r="B14" s="951" t="s">
        <v>6</v>
      </c>
      <c r="J14" s="812"/>
    </row>
    <row r="15" spans="1:19">
      <c r="A15" s="863">
        <v>1</v>
      </c>
      <c r="B15" s="81"/>
      <c r="C15" s="622" t="s">
        <v>301</v>
      </c>
    </row>
    <row r="16" spans="1:19">
      <c r="A16" s="863">
        <f>A15+1</f>
        <v>2</v>
      </c>
      <c r="B16" s="515">
        <v>30100</v>
      </c>
      <c r="C16" s="88" t="s">
        <v>295</v>
      </c>
      <c r="D16" s="347">
        <v>8329.7199999999993</v>
      </c>
      <c r="E16" s="361">
        <v>0</v>
      </c>
      <c r="F16" s="361">
        <f>D16-E16</f>
        <v>8329.7199999999993</v>
      </c>
      <c r="G16" s="467">
        <v>1</v>
      </c>
      <c r="H16" s="467">
        <f>$G$16</f>
        <v>1</v>
      </c>
      <c r="I16" s="361">
        <f>F16*G16*H16</f>
        <v>8329.7199999999993</v>
      </c>
      <c r="J16" s="925"/>
      <c r="K16" s="347">
        <v>8329.7199999999993</v>
      </c>
      <c r="L16" s="467">
        <f t="shared" ref="L16:M17" si="0">$G$16</f>
        <v>1</v>
      </c>
      <c r="M16" s="467">
        <f t="shared" si="0"/>
        <v>1</v>
      </c>
      <c r="N16" s="361">
        <f>K16*L16*M16</f>
        <v>8329.7199999999993</v>
      </c>
      <c r="S16" s="515"/>
    </row>
    <row r="17" spans="1:19">
      <c r="A17" s="863">
        <f t="shared" ref="A17:A80" si="1">A16+1</f>
        <v>3</v>
      </c>
      <c r="B17" s="515">
        <v>30200</v>
      </c>
      <c r="C17" s="88" t="s">
        <v>154</v>
      </c>
      <c r="D17" s="347">
        <v>119852.69</v>
      </c>
      <c r="E17" s="619">
        <v>0</v>
      </c>
      <c r="F17" s="619">
        <f t="shared" ref="F17:F75" si="2">D17-E17</f>
        <v>119852.69</v>
      </c>
      <c r="G17" s="467">
        <f>$G$16</f>
        <v>1</v>
      </c>
      <c r="H17" s="467">
        <f>$G$16</f>
        <v>1</v>
      </c>
      <c r="I17" s="619">
        <f>F17*G17*H17</f>
        <v>119852.69</v>
      </c>
      <c r="K17" s="347">
        <v>119852.68999999996</v>
      </c>
      <c r="L17" s="467">
        <f t="shared" si="0"/>
        <v>1</v>
      </c>
      <c r="M17" s="467">
        <f t="shared" si="0"/>
        <v>1</v>
      </c>
      <c r="N17" s="619">
        <f>K17*L17*M17</f>
        <v>119852.68999999996</v>
      </c>
      <c r="S17" s="515"/>
    </row>
    <row r="18" spans="1:19">
      <c r="A18" s="863">
        <f t="shared" si="1"/>
        <v>4</v>
      </c>
      <c r="B18" s="515"/>
      <c r="C18" s="88"/>
      <c r="D18" s="1072"/>
      <c r="E18" s="1072"/>
      <c r="F18" s="1072"/>
      <c r="G18" s="467"/>
      <c r="H18" s="467"/>
      <c r="I18" s="1072"/>
      <c r="K18" s="1072"/>
      <c r="N18" s="1072"/>
    </row>
    <row r="19" spans="1:19">
      <c r="A19" s="863">
        <f t="shared" si="1"/>
        <v>5</v>
      </c>
      <c r="B19" s="709"/>
      <c r="C19" s="88" t="s">
        <v>1407</v>
      </c>
      <c r="D19" s="361">
        <f>SUM(D16:D18)</f>
        <v>128182.41</v>
      </c>
      <c r="E19" s="361">
        <f>SUM(E16:E18)</f>
        <v>0</v>
      </c>
      <c r="F19" s="361">
        <f>SUM(F16:F18)</f>
        <v>128182.41</v>
      </c>
      <c r="G19" s="467"/>
      <c r="H19" s="467"/>
      <c r="I19" s="361">
        <f>SUM(I16:I18)</f>
        <v>128182.41</v>
      </c>
      <c r="K19" s="361">
        <f>SUM(K16:K18)</f>
        <v>128182.40999999996</v>
      </c>
      <c r="N19" s="361">
        <f>SUM(N16:N17)</f>
        <v>128182.40999999996</v>
      </c>
    </row>
    <row r="20" spans="1:19">
      <c r="A20" s="863">
        <f t="shared" si="1"/>
        <v>6</v>
      </c>
      <c r="B20" s="709"/>
      <c r="C20" s="81"/>
      <c r="D20" s="619"/>
      <c r="E20" s="619"/>
      <c r="F20" s="619"/>
      <c r="G20" s="467"/>
      <c r="H20" s="467"/>
      <c r="I20" s="619"/>
      <c r="K20" s="619"/>
      <c r="N20" s="619"/>
    </row>
    <row r="21" spans="1:19">
      <c r="A21" s="863">
        <f t="shared" si="1"/>
        <v>7</v>
      </c>
      <c r="B21" s="709"/>
      <c r="C21" s="622" t="s">
        <v>155</v>
      </c>
      <c r="D21" s="619"/>
      <c r="E21" s="619"/>
      <c r="F21" s="619"/>
      <c r="G21" s="467"/>
      <c r="H21" s="467"/>
      <c r="I21" s="619"/>
      <c r="K21" s="619"/>
      <c r="N21" s="619"/>
    </row>
    <row r="22" spans="1:19">
      <c r="A22" s="863">
        <f t="shared" si="1"/>
        <v>8</v>
      </c>
      <c r="B22" s="515">
        <v>32540</v>
      </c>
      <c r="C22" s="88" t="s">
        <v>162</v>
      </c>
      <c r="D22" s="347">
        <v>0</v>
      </c>
      <c r="E22" s="361">
        <v>0</v>
      </c>
      <c r="F22" s="361">
        <f t="shared" si="2"/>
        <v>0</v>
      </c>
      <c r="G22" s="467">
        <f t="shared" ref="G22:H24" si="3">$G$16</f>
        <v>1</v>
      </c>
      <c r="H22" s="467">
        <f t="shared" si="3"/>
        <v>1</v>
      </c>
      <c r="I22" s="361">
        <f t="shared" ref="I22:I24" si="4">F22*G22*H22</f>
        <v>0</v>
      </c>
      <c r="K22" s="347">
        <v>0</v>
      </c>
      <c r="L22" s="467">
        <f t="shared" ref="L22:M24" si="5">$G$16</f>
        <v>1</v>
      </c>
      <c r="M22" s="467">
        <f t="shared" si="5"/>
        <v>1</v>
      </c>
      <c r="N22" s="361">
        <f t="shared" ref="N22:N24" si="6">K22*L22*M22</f>
        <v>0</v>
      </c>
      <c r="S22" s="515"/>
    </row>
    <row r="23" spans="1:19">
      <c r="A23" s="863">
        <f t="shared" si="1"/>
        <v>9</v>
      </c>
      <c r="B23" s="515">
        <v>33202</v>
      </c>
      <c r="C23" s="88" t="s">
        <v>602</v>
      </c>
      <c r="D23" s="347">
        <v>0</v>
      </c>
      <c r="E23" s="619">
        <v>0</v>
      </c>
      <c r="F23" s="619">
        <f t="shared" si="2"/>
        <v>0</v>
      </c>
      <c r="G23" s="467">
        <f t="shared" si="3"/>
        <v>1</v>
      </c>
      <c r="H23" s="467">
        <f t="shared" si="3"/>
        <v>1</v>
      </c>
      <c r="I23" s="619">
        <f t="shared" si="4"/>
        <v>0</v>
      </c>
      <c r="K23" s="347">
        <v>0</v>
      </c>
      <c r="L23" s="467">
        <f t="shared" si="5"/>
        <v>1</v>
      </c>
      <c r="M23" s="467">
        <f t="shared" si="5"/>
        <v>1</v>
      </c>
      <c r="N23" s="619">
        <f t="shared" si="6"/>
        <v>0</v>
      </c>
      <c r="S23" s="515"/>
    </row>
    <row r="24" spans="1:19">
      <c r="A24" s="863">
        <f t="shared" si="1"/>
        <v>10</v>
      </c>
      <c r="B24" s="515">
        <v>33400</v>
      </c>
      <c r="C24" s="88" t="s">
        <v>1129</v>
      </c>
      <c r="D24" s="347">
        <v>0</v>
      </c>
      <c r="E24" s="619">
        <v>0</v>
      </c>
      <c r="F24" s="619">
        <f t="shared" si="2"/>
        <v>0</v>
      </c>
      <c r="G24" s="467">
        <f t="shared" si="3"/>
        <v>1</v>
      </c>
      <c r="H24" s="467">
        <f t="shared" si="3"/>
        <v>1</v>
      </c>
      <c r="I24" s="619">
        <f t="shared" si="4"/>
        <v>0</v>
      </c>
      <c r="K24" s="347">
        <v>0</v>
      </c>
      <c r="L24" s="467">
        <f t="shared" si="5"/>
        <v>1</v>
      </c>
      <c r="M24" s="467">
        <f t="shared" si="5"/>
        <v>1</v>
      </c>
      <c r="N24" s="619">
        <f t="shared" si="6"/>
        <v>0</v>
      </c>
      <c r="S24" s="515"/>
    </row>
    <row r="25" spans="1:19">
      <c r="A25" s="863">
        <f t="shared" si="1"/>
        <v>11</v>
      </c>
      <c r="B25" s="515"/>
      <c r="C25" s="81"/>
      <c r="D25" s="1072"/>
      <c r="E25" s="619"/>
      <c r="F25" s="619"/>
      <c r="G25" s="467"/>
      <c r="H25" s="467"/>
      <c r="I25" s="619"/>
      <c r="K25" s="1072"/>
      <c r="N25" s="619"/>
    </row>
    <row r="26" spans="1:19">
      <c r="A26" s="863">
        <f t="shared" si="1"/>
        <v>12</v>
      </c>
      <c r="B26" s="515"/>
      <c r="C26" s="81" t="s">
        <v>1406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467"/>
      <c r="H26" s="46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9">
      <c r="A27" s="863">
        <f t="shared" si="1"/>
        <v>13</v>
      </c>
      <c r="B27" s="515"/>
      <c r="C27" s="88"/>
      <c r="D27" s="619"/>
      <c r="E27" s="619"/>
      <c r="F27" s="619"/>
      <c r="G27" s="467"/>
      <c r="H27" s="467"/>
      <c r="I27" s="619"/>
      <c r="K27" s="619"/>
      <c r="N27" s="619"/>
    </row>
    <row r="28" spans="1:19">
      <c r="A28" s="863">
        <f t="shared" si="1"/>
        <v>14</v>
      </c>
      <c r="B28" s="515"/>
      <c r="C28" s="622" t="s">
        <v>280</v>
      </c>
      <c r="D28" s="619"/>
      <c r="E28" s="619"/>
      <c r="F28" s="619"/>
      <c r="G28" s="467"/>
      <c r="H28" s="467"/>
      <c r="I28" s="619"/>
      <c r="K28" s="619"/>
      <c r="N28" s="619"/>
    </row>
    <row r="29" spans="1:19">
      <c r="A29" s="863">
        <f t="shared" si="1"/>
        <v>15</v>
      </c>
      <c r="B29" s="515">
        <v>35010</v>
      </c>
      <c r="C29" s="88" t="s">
        <v>296</v>
      </c>
      <c r="D29" s="347">
        <v>0</v>
      </c>
      <c r="E29" s="361">
        <v>0</v>
      </c>
      <c r="F29" s="361">
        <f t="shared" si="2"/>
        <v>0</v>
      </c>
      <c r="G29" s="467">
        <f t="shared" ref="G29:H45" si="7">$G$16</f>
        <v>1</v>
      </c>
      <c r="H29" s="467">
        <f t="shared" si="7"/>
        <v>1</v>
      </c>
      <c r="I29" s="361">
        <f t="shared" ref="I29:I45" si="8">F29*G29*H29</f>
        <v>0</v>
      </c>
      <c r="K29" s="347">
        <v>0</v>
      </c>
      <c r="L29" s="467">
        <f t="shared" ref="L29:M45" si="9">$G$16</f>
        <v>1</v>
      </c>
      <c r="M29" s="467">
        <f t="shared" si="9"/>
        <v>1</v>
      </c>
      <c r="N29" s="361">
        <f t="shared" ref="N29:N45" si="10">K29*L29*M29</f>
        <v>0</v>
      </c>
      <c r="S29" s="515"/>
    </row>
    <row r="30" spans="1:19">
      <c r="A30" s="863">
        <f t="shared" si="1"/>
        <v>16</v>
      </c>
      <c r="B30" s="515">
        <v>35020</v>
      </c>
      <c r="C30" s="88" t="s">
        <v>799</v>
      </c>
      <c r="D30" s="347">
        <v>4442.281912499996</v>
      </c>
      <c r="E30" s="619">
        <v>0</v>
      </c>
      <c r="F30" s="619">
        <f t="shared" si="2"/>
        <v>4442.281912499996</v>
      </c>
      <c r="G30" s="467">
        <f t="shared" si="7"/>
        <v>1</v>
      </c>
      <c r="H30" s="467">
        <f t="shared" si="7"/>
        <v>1</v>
      </c>
      <c r="I30" s="619">
        <f t="shared" si="8"/>
        <v>4442.281912499996</v>
      </c>
      <c r="K30" s="347">
        <v>4436.4299374999964</v>
      </c>
      <c r="L30" s="467">
        <f t="shared" si="9"/>
        <v>1</v>
      </c>
      <c r="M30" s="467">
        <f t="shared" si="9"/>
        <v>1</v>
      </c>
      <c r="N30" s="619">
        <f t="shared" si="10"/>
        <v>4436.4299374999964</v>
      </c>
      <c r="S30" s="515"/>
    </row>
    <row r="31" spans="1:19">
      <c r="A31" s="863">
        <f t="shared" si="1"/>
        <v>17</v>
      </c>
      <c r="B31" s="515">
        <v>35100</v>
      </c>
      <c r="C31" s="88" t="s">
        <v>977</v>
      </c>
      <c r="D31" s="347">
        <v>6139.9306527499948</v>
      </c>
      <c r="E31" s="619">
        <v>0</v>
      </c>
      <c r="F31" s="619">
        <f t="shared" si="2"/>
        <v>6139.9306527499948</v>
      </c>
      <c r="G31" s="467">
        <f t="shared" si="7"/>
        <v>1</v>
      </c>
      <c r="H31" s="467">
        <f t="shared" si="7"/>
        <v>1</v>
      </c>
      <c r="I31" s="619">
        <f t="shared" si="8"/>
        <v>6139.9306527499948</v>
      </c>
      <c r="K31" s="347">
        <v>5990.3304662499968</v>
      </c>
      <c r="L31" s="467">
        <f t="shared" si="9"/>
        <v>1</v>
      </c>
      <c r="M31" s="467">
        <f t="shared" si="9"/>
        <v>1</v>
      </c>
      <c r="N31" s="619">
        <f t="shared" si="10"/>
        <v>5990.3304662499968</v>
      </c>
      <c r="S31" s="515"/>
    </row>
    <row r="32" spans="1:19">
      <c r="A32" s="863">
        <f t="shared" si="1"/>
        <v>18</v>
      </c>
      <c r="B32" s="515">
        <v>35102</v>
      </c>
      <c r="C32" s="88" t="s">
        <v>281</v>
      </c>
      <c r="D32" s="347">
        <v>112786.51166499994</v>
      </c>
      <c r="E32" s="619">
        <v>0</v>
      </c>
      <c r="F32" s="619">
        <f t="shared" si="2"/>
        <v>112786.51166499994</v>
      </c>
      <c r="G32" s="467">
        <f t="shared" si="7"/>
        <v>1</v>
      </c>
      <c r="H32" s="467">
        <f t="shared" si="7"/>
        <v>1</v>
      </c>
      <c r="I32" s="619">
        <f t="shared" si="8"/>
        <v>112786.51166499994</v>
      </c>
      <c r="K32" s="347">
        <v>111820.96547499996</v>
      </c>
      <c r="L32" s="467">
        <f t="shared" si="9"/>
        <v>1</v>
      </c>
      <c r="M32" s="467">
        <f t="shared" si="9"/>
        <v>1</v>
      </c>
      <c r="N32" s="619">
        <f t="shared" si="10"/>
        <v>111820.96547499996</v>
      </c>
      <c r="S32" s="515"/>
    </row>
    <row r="33" spans="1:19">
      <c r="A33" s="863">
        <f t="shared" si="1"/>
        <v>19</v>
      </c>
      <c r="B33" s="515">
        <v>35103</v>
      </c>
      <c r="C33" s="88" t="s">
        <v>591</v>
      </c>
      <c r="D33" s="347">
        <v>20379.037918000002</v>
      </c>
      <c r="E33" s="619">
        <v>0</v>
      </c>
      <c r="F33" s="619">
        <f t="shared" si="2"/>
        <v>20379.037918000002</v>
      </c>
      <c r="G33" s="467">
        <f t="shared" si="7"/>
        <v>1</v>
      </c>
      <c r="H33" s="467">
        <f t="shared" si="7"/>
        <v>1</v>
      </c>
      <c r="I33" s="619">
        <f t="shared" si="8"/>
        <v>20379.037918000002</v>
      </c>
      <c r="K33" s="347">
        <v>20272.601370000008</v>
      </c>
      <c r="L33" s="467">
        <f t="shared" si="9"/>
        <v>1</v>
      </c>
      <c r="M33" s="467">
        <f t="shared" si="9"/>
        <v>1</v>
      </c>
      <c r="N33" s="619">
        <f t="shared" si="10"/>
        <v>20272.601370000008</v>
      </c>
      <c r="S33" s="515"/>
    </row>
    <row r="34" spans="1:19">
      <c r="A34" s="863">
        <f t="shared" si="1"/>
        <v>20</v>
      </c>
      <c r="B34" s="515">
        <v>35104</v>
      </c>
      <c r="C34" s="88" t="s">
        <v>592</v>
      </c>
      <c r="D34" s="347">
        <v>99257.477557500009</v>
      </c>
      <c r="E34" s="619">
        <v>0</v>
      </c>
      <c r="F34" s="619">
        <f t="shared" si="2"/>
        <v>99257.477557500009</v>
      </c>
      <c r="G34" s="467">
        <f t="shared" si="7"/>
        <v>1</v>
      </c>
      <c r="H34" s="467">
        <f t="shared" si="7"/>
        <v>1</v>
      </c>
      <c r="I34" s="619">
        <f t="shared" si="8"/>
        <v>99257.477557500009</v>
      </c>
      <c r="K34" s="347">
        <v>98364.101112500008</v>
      </c>
      <c r="L34" s="467">
        <f t="shared" si="9"/>
        <v>1</v>
      </c>
      <c r="M34" s="467">
        <f t="shared" si="9"/>
        <v>1</v>
      </c>
      <c r="N34" s="619">
        <f t="shared" si="10"/>
        <v>98364.101112500008</v>
      </c>
      <c r="S34" s="515"/>
    </row>
    <row r="35" spans="1:19">
      <c r="A35" s="863">
        <f t="shared" si="1"/>
        <v>21</v>
      </c>
      <c r="B35" s="515">
        <v>35200</v>
      </c>
      <c r="C35" s="88" t="s">
        <v>446</v>
      </c>
      <c r="D35" s="347">
        <v>1239192.4588235002</v>
      </c>
      <c r="E35" s="619">
        <v>0</v>
      </c>
      <c r="F35" s="619">
        <f t="shared" si="2"/>
        <v>1239192.4588235002</v>
      </c>
      <c r="G35" s="467">
        <f t="shared" si="7"/>
        <v>1</v>
      </c>
      <c r="H35" s="467">
        <f t="shared" si="7"/>
        <v>1</v>
      </c>
      <c r="I35" s="619">
        <f t="shared" si="8"/>
        <v>1239192.4588235002</v>
      </c>
      <c r="K35" s="347">
        <v>1167489.7363025001</v>
      </c>
      <c r="L35" s="467">
        <f t="shared" si="9"/>
        <v>1</v>
      </c>
      <c r="M35" s="467">
        <f t="shared" si="9"/>
        <v>1</v>
      </c>
      <c r="N35" s="619">
        <f t="shared" si="10"/>
        <v>1167489.7363025001</v>
      </c>
      <c r="S35" s="515"/>
    </row>
    <row r="36" spans="1:19">
      <c r="A36" s="863">
        <f t="shared" si="1"/>
        <v>22</v>
      </c>
      <c r="B36" s="515">
        <v>35201</v>
      </c>
      <c r="C36" s="88" t="s">
        <v>593</v>
      </c>
      <c r="D36" s="347">
        <v>1406590.5014195</v>
      </c>
      <c r="E36" s="619">
        <v>0</v>
      </c>
      <c r="F36" s="619">
        <f t="shared" si="2"/>
        <v>1406590.5014195</v>
      </c>
      <c r="G36" s="467">
        <f t="shared" si="7"/>
        <v>1</v>
      </c>
      <c r="H36" s="467">
        <f t="shared" si="7"/>
        <v>1</v>
      </c>
      <c r="I36" s="619">
        <f t="shared" si="8"/>
        <v>1406590.5014195</v>
      </c>
      <c r="K36" s="347">
        <v>1393755.5124424996</v>
      </c>
      <c r="L36" s="467">
        <f t="shared" si="9"/>
        <v>1</v>
      </c>
      <c r="M36" s="467">
        <f t="shared" si="9"/>
        <v>1</v>
      </c>
      <c r="N36" s="619">
        <f t="shared" si="10"/>
        <v>1393755.5124424996</v>
      </c>
      <c r="S36" s="515"/>
    </row>
    <row r="37" spans="1:19">
      <c r="A37" s="863">
        <f t="shared" si="1"/>
        <v>23</v>
      </c>
      <c r="B37" s="515">
        <v>35202</v>
      </c>
      <c r="C37" s="88" t="s">
        <v>594</v>
      </c>
      <c r="D37" s="347">
        <v>458146.14000000007</v>
      </c>
      <c r="E37" s="619">
        <v>0</v>
      </c>
      <c r="F37" s="619">
        <f t="shared" si="2"/>
        <v>458146.14000000007</v>
      </c>
      <c r="G37" s="467">
        <f t="shared" si="7"/>
        <v>1</v>
      </c>
      <c r="H37" s="467">
        <f t="shared" si="7"/>
        <v>1</v>
      </c>
      <c r="I37" s="619">
        <f t="shared" si="8"/>
        <v>458146.14000000007</v>
      </c>
      <c r="K37" s="347">
        <v>458146.13999999996</v>
      </c>
      <c r="L37" s="467">
        <f t="shared" si="9"/>
        <v>1</v>
      </c>
      <c r="M37" s="467">
        <f t="shared" si="9"/>
        <v>1</v>
      </c>
      <c r="N37" s="619">
        <f t="shared" si="10"/>
        <v>458146.13999999996</v>
      </c>
      <c r="S37" s="515"/>
    </row>
    <row r="38" spans="1:19">
      <c r="A38" s="863">
        <f t="shared" si="1"/>
        <v>24</v>
      </c>
      <c r="B38" s="515">
        <v>35203</v>
      </c>
      <c r="C38" s="88" t="s">
        <v>347</v>
      </c>
      <c r="D38" s="347">
        <v>746899.51824000094</v>
      </c>
      <c r="E38" s="619">
        <v>0</v>
      </c>
      <c r="F38" s="619">
        <f t="shared" si="2"/>
        <v>746899.51824000094</v>
      </c>
      <c r="G38" s="467">
        <f t="shared" si="7"/>
        <v>1</v>
      </c>
      <c r="H38" s="467">
        <f t="shared" si="7"/>
        <v>1</v>
      </c>
      <c r="I38" s="619">
        <f t="shared" si="8"/>
        <v>746899.51824000094</v>
      </c>
      <c r="K38" s="347">
        <v>731646.02160000068</v>
      </c>
      <c r="L38" s="467">
        <f t="shared" si="9"/>
        <v>1</v>
      </c>
      <c r="M38" s="467">
        <f t="shared" si="9"/>
        <v>1</v>
      </c>
      <c r="N38" s="619">
        <f t="shared" si="10"/>
        <v>731646.02160000068</v>
      </c>
      <c r="S38" s="515"/>
    </row>
    <row r="39" spans="1:19">
      <c r="A39" s="863">
        <f t="shared" si="1"/>
        <v>25</v>
      </c>
      <c r="B39" s="515">
        <v>35210</v>
      </c>
      <c r="C39" s="88" t="s">
        <v>595</v>
      </c>
      <c r="D39" s="347">
        <v>167784.99680125012</v>
      </c>
      <c r="E39" s="619">
        <v>0</v>
      </c>
      <c r="F39" s="619">
        <f t="shared" si="2"/>
        <v>167784.99680125012</v>
      </c>
      <c r="G39" s="467">
        <f t="shared" si="7"/>
        <v>1</v>
      </c>
      <c r="H39" s="467">
        <f t="shared" si="7"/>
        <v>1</v>
      </c>
      <c r="I39" s="619">
        <f t="shared" si="8"/>
        <v>167784.99680125012</v>
      </c>
      <c r="K39" s="347">
        <v>167472.56914375009</v>
      </c>
      <c r="L39" s="467">
        <f t="shared" si="9"/>
        <v>1</v>
      </c>
      <c r="M39" s="467">
        <f t="shared" si="9"/>
        <v>1</v>
      </c>
      <c r="N39" s="619">
        <f t="shared" si="10"/>
        <v>167472.56914375009</v>
      </c>
      <c r="S39" s="515"/>
    </row>
    <row r="40" spans="1:19">
      <c r="A40" s="863">
        <f t="shared" si="1"/>
        <v>26</v>
      </c>
      <c r="B40" s="515">
        <v>35211</v>
      </c>
      <c r="C40" s="88" t="s">
        <v>596</v>
      </c>
      <c r="D40" s="347">
        <v>43715.31975800002</v>
      </c>
      <c r="E40" s="619">
        <v>0</v>
      </c>
      <c r="F40" s="619">
        <f t="shared" si="2"/>
        <v>43715.31975800002</v>
      </c>
      <c r="G40" s="467">
        <f t="shared" si="7"/>
        <v>1</v>
      </c>
      <c r="H40" s="467">
        <f t="shared" si="7"/>
        <v>1</v>
      </c>
      <c r="I40" s="619">
        <f t="shared" si="8"/>
        <v>43715.31975800002</v>
      </c>
      <c r="K40" s="347">
        <v>43475.016970000011</v>
      </c>
      <c r="L40" s="467">
        <f t="shared" si="9"/>
        <v>1</v>
      </c>
      <c r="M40" s="467">
        <f t="shared" si="9"/>
        <v>1</v>
      </c>
      <c r="N40" s="619">
        <f t="shared" si="10"/>
        <v>43475.016970000011</v>
      </c>
      <c r="S40" s="515"/>
    </row>
    <row r="41" spans="1:19">
      <c r="A41" s="863">
        <f t="shared" si="1"/>
        <v>27</v>
      </c>
      <c r="B41" s="515">
        <v>35301</v>
      </c>
      <c r="C41" s="81" t="s">
        <v>163</v>
      </c>
      <c r="D41" s="347">
        <v>140942.65355750002</v>
      </c>
      <c r="E41" s="619">
        <v>0</v>
      </c>
      <c r="F41" s="619">
        <f t="shared" si="2"/>
        <v>140942.65355750002</v>
      </c>
      <c r="G41" s="467">
        <f t="shared" si="7"/>
        <v>1</v>
      </c>
      <c r="H41" s="467">
        <f t="shared" si="7"/>
        <v>1</v>
      </c>
      <c r="I41" s="619">
        <f t="shared" si="8"/>
        <v>140942.65355750002</v>
      </c>
      <c r="K41" s="347">
        <v>140219.74111249999</v>
      </c>
      <c r="L41" s="467">
        <f t="shared" si="9"/>
        <v>1</v>
      </c>
      <c r="M41" s="467">
        <f t="shared" si="9"/>
        <v>1</v>
      </c>
      <c r="N41" s="619">
        <f t="shared" si="10"/>
        <v>140219.74111249999</v>
      </c>
      <c r="S41" s="515"/>
    </row>
    <row r="42" spans="1:19">
      <c r="A42" s="863">
        <f t="shared" si="1"/>
        <v>28</v>
      </c>
      <c r="B42" s="515">
        <v>35302</v>
      </c>
      <c r="C42" s="88" t="s">
        <v>602</v>
      </c>
      <c r="D42" s="347">
        <v>196235.11012675005</v>
      </c>
      <c r="E42" s="619">
        <v>0</v>
      </c>
      <c r="F42" s="619">
        <f t="shared" si="2"/>
        <v>196235.11012675005</v>
      </c>
      <c r="G42" s="467">
        <f t="shared" si="7"/>
        <v>1</v>
      </c>
      <c r="H42" s="467">
        <f t="shared" si="7"/>
        <v>1</v>
      </c>
      <c r="I42" s="619">
        <f t="shared" si="8"/>
        <v>196235.11012675005</v>
      </c>
      <c r="K42" s="347">
        <v>195386.80437625007</v>
      </c>
      <c r="L42" s="467">
        <f t="shared" si="9"/>
        <v>1</v>
      </c>
      <c r="M42" s="467">
        <f t="shared" si="9"/>
        <v>1</v>
      </c>
      <c r="N42" s="619">
        <f t="shared" si="10"/>
        <v>195386.80437625007</v>
      </c>
      <c r="S42" s="515"/>
    </row>
    <row r="43" spans="1:19">
      <c r="A43" s="863">
        <f t="shared" si="1"/>
        <v>29</v>
      </c>
      <c r="B43" s="515">
        <v>35400</v>
      </c>
      <c r="C43" s="88" t="s">
        <v>597</v>
      </c>
      <c r="D43" s="347">
        <v>490003.39057499956</v>
      </c>
      <c r="E43" s="619">
        <v>0</v>
      </c>
      <c r="F43" s="619">
        <f t="shared" si="2"/>
        <v>490003.39057499956</v>
      </c>
      <c r="G43" s="467">
        <f t="shared" si="7"/>
        <v>1</v>
      </c>
      <c r="H43" s="467">
        <f t="shared" si="7"/>
        <v>1</v>
      </c>
      <c r="I43" s="619">
        <f t="shared" si="8"/>
        <v>490003.39057499956</v>
      </c>
      <c r="K43" s="347">
        <v>481692.37612499972</v>
      </c>
      <c r="L43" s="467">
        <f t="shared" si="9"/>
        <v>1</v>
      </c>
      <c r="M43" s="467">
        <f t="shared" si="9"/>
        <v>1</v>
      </c>
      <c r="N43" s="619">
        <f t="shared" si="10"/>
        <v>481692.37612499972</v>
      </c>
      <c r="S43" s="515"/>
    </row>
    <row r="44" spans="1:19">
      <c r="A44" s="863">
        <f t="shared" si="1"/>
        <v>30</v>
      </c>
      <c r="B44" s="515">
        <v>35500</v>
      </c>
      <c r="C44" s="88" t="s">
        <v>1000</v>
      </c>
      <c r="D44" s="347">
        <v>185889.8323527906</v>
      </c>
      <c r="E44" s="619">
        <v>0</v>
      </c>
      <c r="F44" s="619">
        <f t="shared" si="2"/>
        <v>185889.8323527906</v>
      </c>
      <c r="G44" s="467">
        <f t="shared" si="7"/>
        <v>1</v>
      </c>
      <c r="H44" s="467">
        <f t="shared" si="7"/>
        <v>1</v>
      </c>
      <c r="I44" s="619">
        <f t="shared" si="8"/>
        <v>185889.8323527906</v>
      </c>
      <c r="K44" s="347">
        <v>188423.91339525761</v>
      </c>
      <c r="L44" s="467">
        <f t="shared" si="9"/>
        <v>1</v>
      </c>
      <c r="M44" s="467">
        <f t="shared" si="9"/>
        <v>1</v>
      </c>
      <c r="N44" s="619">
        <f t="shared" si="10"/>
        <v>188423.91339525761</v>
      </c>
      <c r="S44" s="515"/>
    </row>
    <row r="45" spans="1:19">
      <c r="A45" s="863">
        <f t="shared" si="1"/>
        <v>31</v>
      </c>
      <c r="B45" s="515">
        <v>35600</v>
      </c>
      <c r="C45" s="88" t="s">
        <v>1049</v>
      </c>
      <c r="D45" s="347">
        <v>187692.36126875007</v>
      </c>
      <c r="E45" s="1057">
        <v>0</v>
      </c>
      <c r="F45" s="1057">
        <f t="shared" si="2"/>
        <v>187692.36126875007</v>
      </c>
      <c r="G45" s="467">
        <f t="shared" si="7"/>
        <v>1</v>
      </c>
      <c r="H45" s="467">
        <f t="shared" si="7"/>
        <v>1</v>
      </c>
      <c r="I45" s="1057">
        <f t="shared" si="8"/>
        <v>187692.36126875007</v>
      </c>
      <c r="K45" s="347">
        <v>183442.06090625003</v>
      </c>
      <c r="L45" s="467">
        <f t="shared" si="9"/>
        <v>1</v>
      </c>
      <c r="M45" s="467">
        <f t="shared" si="9"/>
        <v>1</v>
      </c>
      <c r="N45" s="1057">
        <f t="shared" si="10"/>
        <v>183442.06090625003</v>
      </c>
      <c r="S45" s="515"/>
    </row>
    <row r="46" spans="1:19">
      <c r="A46" s="863">
        <f t="shared" si="1"/>
        <v>32</v>
      </c>
      <c r="B46" s="515"/>
      <c r="C46" s="88"/>
      <c r="D46" s="1072"/>
      <c r="E46" s="619"/>
      <c r="F46" s="619"/>
      <c r="G46" s="467"/>
      <c r="H46" s="467"/>
      <c r="I46" s="619"/>
      <c r="K46" s="1072"/>
      <c r="N46" s="619"/>
    </row>
    <row r="47" spans="1:19">
      <c r="A47" s="863">
        <f t="shared" si="1"/>
        <v>33</v>
      </c>
      <c r="B47" s="515"/>
      <c r="C47" s="88" t="s">
        <v>1405</v>
      </c>
      <c r="D47" s="361">
        <f>SUM(D29:D46)</f>
        <v>5506097.5226287916</v>
      </c>
      <c r="E47" s="361">
        <f>SUM(E29:E46)</f>
        <v>0</v>
      </c>
      <c r="F47" s="361">
        <f>SUM(F29:F46)</f>
        <v>5506097.5226287916</v>
      </c>
      <c r="G47" s="467"/>
      <c r="H47" s="467"/>
      <c r="I47" s="361">
        <f>SUM(I29:I46)</f>
        <v>5506097.5226287916</v>
      </c>
      <c r="K47" s="361">
        <f>SUM(K29:K46)</f>
        <v>5392034.320735259</v>
      </c>
      <c r="N47" s="361">
        <f>SUM(N29:N46)</f>
        <v>5392034.320735259</v>
      </c>
    </row>
    <row r="48" spans="1:19">
      <c r="A48" s="863">
        <f t="shared" si="1"/>
        <v>34</v>
      </c>
      <c r="B48" s="515"/>
      <c r="C48" s="88"/>
      <c r="D48" s="619"/>
      <c r="E48" s="619"/>
      <c r="F48" s="619"/>
      <c r="G48" s="467"/>
      <c r="H48" s="467"/>
      <c r="I48" s="619"/>
      <c r="K48" s="619"/>
      <c r="N48" s="619"/>
    </row>
    <row r="49" spans="1:19">
      <c r="A49" s="863">
        <f t="shared" si="1"/>
        <v>35</v>
      </c>
      <c r="B49" s="515"/>
      <c r="C49" s="622" t="s">
        <v>1001</v>
      </c>
      <c r="D49" s="619"/>
      <c r="E49" s="619"/>
      <c r="F49" s="619"/>
      <c r="G49" s="467"/>
      <c r="H49" s="467"/>
      <c r="I49" s="619"/>
      <c r="K49" s="619"/>
      <c r="N49" s="619"/>
    </row>
    <row r="50" spans="1:19">
      <c r="A50" s="863">
        <f t="shared" si="1"/>
        <v>36</v>
      </c>
      <c r="B50" s="515">
        <v>36510</v>
      </c>
      <c r="C50" s="88" t="s">
        <v>296</v>
      </c>
      <c r="D50" s="347">
        <v>0</v>
      </c>
      <c r="E50" s="361">
        <v>0</v>
      </c>
      <c r="F50" s="361">
        <f t="shared" si="2"/>
        <v>0</v>
      </c>
      <c r="G50" s="467">
        <f t="shared" ref="G50:H57" si="11">$G$16</f>
        <v>1</v>
      </c>
      <c r="H50" s="467">
        <f t="shared" si="11"/>
        <v>1</v>
      </c>
      <c r="I50" s="361">
        <f t="shared" ref="I50:I57" si="12">F50*G50*H50</f>
        <v>0</v>
      </c>
      <c r="K50" s="347">
        <v>0</v>
      </c>
      <c r="L50" s="467">
        <f t="shared" ref="L50:M57" si="13">$G$16</f>
        <v>1</v>
      </c>
      <c r="M50" s="467">
        <f t="shared" si="13"/>
        <v>1</v>
      </c>
      <c r="N50" s="361">
        <f t="shared" ref="N50:N57" si="14">K50*L50*M50</f>
        <v>0</v>
      </c>
      <c r="S50" s="515"/>
    </row>
    <row r="51" spans="1:19">
      <c r="A51" s="863">
        <f t="shared" si="1"/>
        <v>37</v>
      </c>
      <c r="B51" s="515">
        <v>36520</v>
      </c>
      <c r="C51" s="88" t="s">
        <v>799</v>
      </c>
      <c r="D51" s="347">
        <v>423539.77329999977</v>
      </c>
      <c r="E51" s="619">
        <v>0</v>
      </c>
      <c r="F51" s="619">
        <f t="shared" si="2"/>
        <v>423539.77329999977</v>
      </c>
      <c r="G51" s="467">
        <f t="shared" si="11"/>
        <v>1</v>
      </c>
      <c r="H51" s="467">
        <f t="shared" si="11"/>
        <v>1</v>
      </c>
      <c r="I51" s="619">
        <f t="shared" si="12"/>
        <v>423539.77329999977</v>
      </c>
      <c r="K51" s="347">
        <v>417769.08949999983</v>
      </c>
      <c r="L51" s="467">
        <f t="shared" si="13"/>
        <v>1</v>
      </c>
      <c r="M51" s="467">
        <f t="shared" si="13"/>
        <v>1</v>
      </c>
      <c r="N51" s="619">
        <f t="shared" si="14"/>
        <v>417769.08949999983</v>
      </c>
      <c r="S51" s="515"/>
    </row>
    <row r="52" spans="1:19">
      <c r="A52" s="863">
        <f t="shared" si="1"/>
        <v>38</v>
      </c>
      <c r="B52" s="515">
        <v>36602</v>
      </c>
      <c r="C52" s="88" t="s">
        <v>863</v>
      </c>
      <c r="D52" s="347">
        <v>16533.673578000013</v>
      </c>
      <c r="E52" s="619">
        <v>0</v>
      </c>
      <c r="F52" s="619">
        <f t="shared" si="2"/>
        <v>16533.673578000013</v>
      </c>
      <c r="G52" s="467">
        <f t="shared" si="11"/>
        <v>1</v>
      </c>
      <c r="H52" s="467">
        <f t="shared" si="11"/>
        <v>1</v>
      </c>
      <c r="I52" s="619">
        <f t="shared" si="12"/>
        <v>16533.673578000013</v>
      </c>
      <c r="K52" s="347">
        <v>16097.55827000001</v>
      </c>
      <c r="L52" s="467">
        <f t="shared" si="13"/>
        <v>1</v>
      </c>
      <c r="M52" s="467">
        <f t="shared" si="13"/>
        <v>1</v>
      </c>
      <c r="N52" s="619">
        <f t="shared" si="14"/>
        <v>16097.55827000001</v>
      </c>
      <c r="S52" s="515"/>
    </row>
    <row r="53" spans="1:19">
      <c r="A53" s="863">
        <f t="shared" si="1"/>
        <v>39</v>
      </c>
      <c r="B53" s="515">
        <v>36603</v>
      </c>
      <c r="C53" s="88" t="s">
        <v>1002</v>
      </c>
      <c r="D53" s="347">
        <v>52688.728933500046</v>
      </c>
      <c r="E53" s="619">
        <v>0</v>
      </c>
      <c r="F53" s="619">
        <f t="shared" si="2"/>
        <v>52688.728933500046</v>
      </c>
      <c r="G53" s="467">
        <f t="shared" si="11"/>
        <v>1</v>
      </c>
      <c r="H53" s="467">
        <f t="shared" si="11"/>
        <v>1</v>
      </c>
      <c r="I53" s="619">
        <f t="shared" si="12"/>
        <v>52688.728933500046</v>
      </c>
      <c r="K53" s="347">
        <v>52147.374952500031</v>
      </c>
      <c r="L53" s="467">
        <f t="shared" si="13"/>
        <v>1</v>
      </c>
      <c r="M53" s="467">
        <f t="shared" si="13"/>
        <v>1</v>
      </c>
      <c r="N53" s="619">
        <f t="shared" si="14"/>
        <v>52147.374952500031</v>
      </c>
      <c r="S53" s="515"/>
    </row>
    <row r="54" spans="1:19">
      <c r="A54" s="863">
        <f t="shared" si="1"/>
        <v>40</v>
      </c>
      <c r="B54" s="515">
        <v>36700</v>
      </c>
      <c r="C54" s="88" t="s">
        <v>851</v>
      </c>
      <c r="D54" s="347">
        <v>116852.0159999999</v>
      </c>
      <c r="E54" s="619">
        <v>0</v>
      </c>
      <c r="F54" s="619">
        <f t="shared" si="2"/>
        <v>116852.0159999999</v>
      </c>
      <c r="G54" s="467">
        <f t="shared" si="11"/>
        <v>1</v>
      </c>
      <c r="H54" s="467">
        <f t="shared" si="11"/>
        <v>1</v>
      </c>
      <c r="I54" s="619">
        <f t="shared" si="12"/>
        <v>116852.0159999999</v>
      </c>
      <c r="K54" s="347">
        <v>112878.87999999995</v>
      </c>
      <c r="L54" s="467">
        <f t="shared" si="13"/>
        <v>1</v>
      </c>
      <c r="M54" s="467">
        <f t="shared" si="13"/>
        <v>1</v>
      </c>
      <c r="N54" s="619">
        <f t="shared" si="14"/>
        <v>112878.87999999995</v>
      </c>
      <c r="S54" s="515"/>
    </row>
    <row r="55" spans="1:19">
      <c r="A55" s="863">
        <f t="shared" si="1"/>
        <v>41</v>
      </c>
      <c r="B55" s="515">
        <v>36701</v>
      </c>
      <c r="C55" s="88" t="s">
        <v>16</v>
      </c>
      <c r="D55" s="347">
        <v>18918325.221912291</v>
      </c>
      <c r="E55" s="619">
        <v>0</v>
      </c>
      <c r="F55" s="619">
        <f t="shared" si="2"/>
        <v>18918325.221912291</v>
      </c>
      <c r="G55" s="467">
        <f t="shared" si="11"/>
        <v>1</v>
      </c>
      <c r="H55" s="467">
        <f t="shared" si="11"/>
        <v>1</v>
      </c>
      <c r="I55" s="619">
        <f t="shared" si="12"/>
        <v>18918325.221912291</v>
      </c>
      <c r="K55" s="347">
        <v>18657094.69850878</v>
      </c>
      <c r="L55" s="467">
        <f t="shared" si="13"/>
        <v>1</v>
      </c>
      <c r="M55" s="467">
        <f t="shared" si="13"/>
        <v>1</v>
      </c>
      <c r="N55" s="619">
        <f t="shared" si="14"/>
        <v>18657094.69850878</v>
      </c>
      <c r="S55" s="515"/>
    </row>
    <row r="56" spans="1:19">
      <c r="A56" s="863">
        <f t="shared" si="1"/>
        <v>42</v>
      </c>
      <c r="B56" s="515">
        <v>36900</v>
      </c>
      <c r="C56" s="88" t="s">
        <v>1003</v>
      </c>
      <c r="D56" s="347">
        <v>347836.8356680001</v>
      </c>
      <c r="E56" s="619">
        <v>0</v>
      </c>
      <c r="F56" s="619">
        <f t="shared" si="2"/>
        <v>347836.8356680001</v>
      </c>
      <c r="G56" s="467">
        <f t="shared" si="11"/>
        <v>1</v>
      </c>
      <c r="H56" s="467">
        <f t="shared" si="11"/>
        <v>1</v>
      </c>
      <c r="I56" s="619">
        <f t="shared" si="12"/>
        <v>347836.8356680001</v>
      </c>
      <c r="K56" s="347">
        <v>340010.14262000012</v>
      </c>
      <c r="L56" s="467">
        <f t="shared" si="13"/>
        <v>1</v>
      </c>
      <c r="M56" s="467">
        <f t="shared" si="13"/>
        <v>1</v>
      </c>
      <c r="N56" s="619">
        <f t="shared" si="14"/>
        <v>340010.14262000012</v>
      </c>
      <c r="S56" s="515"/>
    </row>
    <row r="57" spans="1:19">
      <c r="A57" s="863">
        <f t="shared" si="1"/>
        <v>43</v>
      </c>
      <c r="B57" s="515">
        <v>36901</v>
      </c>
      <c r="C57" s="88" t="s">
        <v>1003</v>
      </c>
      <c r="D57" s="347">
        <v>1756775.2888294971</v>
      </c>
      <c r="E57" s="1057">
        <v>0</v>
      </c>
      <c r="F57" s="1057">
        <f t="shared" si="2"/>
        <v>1756775.2888294971</v>
      </c>
      <c r="G57" s="467">
        <f t="shared" si="11"/>
        <v>1</v>
      </c>
      <c r="H57" s="467">
        <f t="shared" si="11"/>
        <v>1</v>
      </c>
      <c r="I57" s="1057">
        <f t="shared" si="12"/>
        <v>1756775.2888294971</v>
      </c>
      <c r="K57" s="347">
        <v>1732491.0405924977</v>
      </c>
      <c r="L57" s="467">
        <f t="shared" si="13"/>
        <v>1</v>
      </c>
      <c r="M57" s="467">
        <f t="shared" si="13"/>
        <v>1</v>
      </c>
      <c r="N57" s="1057">
        <f t="shared" si="14"/>
        <v>1732491.0405924977</v>
      </c>
      <c r="S57" s="515"/>
    </row>
    <row r="58" spans="1:19">
      <c r="A58" s="863">
        <f t="shared" si="1"/>
        <v>44</v>
      </c>
      <c r="B58" s="515"/>
      <c r="C58" s="88"/>
      <c r="D58" s="1072"/>
      <c r="E58" s="619"/>
      <c r="F58" s="619"/>
      <c r="G58" s="467"/>
      <c r="H58" s="467"/>
      <c r="I58" s="619"/>
      <c r="K58" s="1072"/>
      <c r="N58" s="619"/>
    </row>
    <row r="59" spans="1:19">
      <c r="A59" s="863">
        <f t="shared" si="1"/>
        <v>45</v>
      </c>
      <c r="B59" s="709"/>
      <c r="C59" s="88" t="s">
        <v>1404</v>
      </c>
      <c r="D59" s="361">
        <f>SUM(D50:D58)</f>
        <v>21632551.538221288</v>
      </c>
      <c r="E59" s="361">
        <f>SUM(E50:E58)</f>
        <v>0</v>
      </c>
      <c r="F59" s="361">
        <f>SUM(F50:F58)</f>
        <v>21632551.538221288</v>
      </c>
      <c r="G59" s="467"/>
      <c r="H59" s="467"/>
      <c r="I59" s="361">
        <f>SUM(I50:I58)</f>
        <v>21632551.538221288</v>
      </c>
      <c r="K59" s="361">
        <f>SUM(K50:K58)</f>
        <v>21328488.784443781</v>
      </c>
      <c r="N59" s="361">
        <f>SUM(N50:N58)</f>
        <v>21328488.784443781</v>
      </c>
    </row>
    <row r="60" spans="1:19">
      <c r="A60" s="863">
        <f t="shared" si="1"/>
        <v>46</v>
      </c>
      <c r="B60" s="709"/>
      <c r="C60" s="81"/>
      <c r="D60" s="619"/>
      <c r="E60" s="619"/>
      <c r="F60" s="619"/>
      <c r="G60" s="467"/>
      <c r="H60" s="467"/>
      <c r="I60" s="619"/>
      <c r="K60" s="619"/>
      <c r="N60" s="619"/>
    </row>
    <row r="61" spans="1:19">
      <c r="A61" s="863">
        <f t="shared" si="1"/>
        <v>47</v>
      </c>
      <c r="B61" s="709"/>
      <c r="C61" s="622" t="s">
        <v>303</v>
      </c>
      <c r="D61" s="619"/>
      <c r="E61" s="619"/>
      <c r="F61" s="619"/>
      <c r="G61" s="467"/>
      <c r="H61" s="467"/>
      <c r="I61" s="619"/>
      <c r="K61" s="619"/>
      <c r="N61" s="619"/>
    </row>
    <row r="62" spans="1:19">
      <c r="A62" s="863">
        <f t="shared" si="1"/>
        <v>48</v>
      </c>
      <c r="B62" s="515">
        <v>37400</v>
      </c>
      <c r="C62" s="88" t="s">
        <v>1157</v>
      </c>
      <c r="D62" s="347">
        <v>0</v>
      </c>
      <c r="E62" s="361">
        <v>0</v>
      </c>
      <c r="F62" s="361">
        <f t="shared" si="2"/>
        <v>0</v>
      </c>
      <c r="G62" s="467">
        <f t="shared" ref="G62:H81" si="15">$G$16</f>
        <v>1</v>
      </c>
      <c r="H62" s="467">
        <f t="shared" si="15"/>
        <v>1</v>
      </c>
      <c r="I62" s="361">
        <f t="shared" ref="I62:I81" si="16">F62*G62*H62</f>
        <v>0</v>
      </c>
      <c r="K62" s="347">
        <v>0</v>
      </c>
      <c r="L62" s="467">
        <f t="shared" ref="L62:M81" si="17">$G$16</f>
        <v>1</v>
      </c>
      <c r="M62" s="467">
        <f t="shared" si="17"/>
        <v>1</v>
      </c>
      <c r="N62" s="361">
        <f t="shared" ref="N62:N81" si="18">K62*L62*M62</f>
        <v>0</v>
      </c>
      <c r="S62" s="515"/>
    </row>
    <row r="63" spans="1:19">
      <c r="A63" s="863">
        <f t="shared" si="1"/>
        <v>49</v>
      </c>
      <c r="B63" s="515">
        <v>37401</v>
      </c>
      <c r="C63" s="88" t="s">
        <v>296</v>
      </c>
      <c r="D63" s="347">
        <v>0</v>
      </c>
      <c r="E63" s="619">
        <v>0</v>
      </c>
      <c r="F63" s="619">
        <f t="shared" si="2"/>
        <v>0</v>
      </c>
      <c r="G63" s="467">
        <f t="shared" si="15"/>
        <v>1</v>
      </c>
      <c r="H63" s="467">
        <f t="shared" si="15"/>
        <v>1</v>
      </c>
      <c r="I63" s="619">
        <f t="shared" si="16"/>
        <v>0</v>
      </c>
      <c r="K63" s="347">
        <v>0</v>
      </c>
      <c r="L63" s="467">
        <f t="shared" si="17"/>
        <v>1</v>
      </c>
      <c r="M63" s="467">
        <f t="shared" si="17"/>
        <v>1</v>
      </c>
      <c r="N63" s="619">
        <f t="shared" si="18"/>
        <v>0</v>
      </c>
      <c r="S63" s="515"/>
    </row>
    <row r="64" spans="1:19">
      <c r="A64" s="863">
        <f t="shared" si="1"/>
        <v>50</v>
      </c>
      <c r="B64" s="515">
        <v>37402</v>
      </c>
      <c r="C64" s="88" t="s">
        <v>1007</v>
      </c>
      <c r="D64" s="347">
        <v>216547.71293282337</v>
      </c>
      <c r="E64" s="619">
        <v>0</v>
      </c>
      <c r="F64" s="619">
        <f t="shared" si="2"/>
        <v>216547.71293282337</v>
      </c>
      <c r="G64" s="467">
        <f t="shared" si="15"/>
        <v>1</v>
      </c>
      <c r="H64" s="467">
        <f t="shared" si="15"/>
        <v>1</v>
      </c>
      <c r="I64" s="619">
        <f t="shared" si="16"/>
        <v>216547.71293282337</v>
      </c>
      <c r="K64" s="347">
        <v>192102.93774563668</v>
      </c>
      <c r="L64" s="467">
        <f t="shared" si="17"/>
        <v>1</v>
      </c>
      <c r="M64" s="467">
        <f t="shared" si="17"/>
        <v>1</v>
      </c>
      <c r="N64" s="619">
        <f t="shared" si="18"/>
        <v>192102.93774563668</v>
      </c>
      <c r="S64" s="515"/>
    </row>
    <row r="65" spans="1:19">
      <c r="A65" s="863">
        <f t="shared" si="1"/>
        <v>51</v>
      </c>
      <c r="B65" s="515">
        <v>37403</v>
      </c>
      <c r="C65" s="88" t="s">
        <v>1004</v>
      </c>
      <c r="D65" s="347">
        <v>0</v>
      </c>
      <c r="E65" s="619">
        <v>0</v>
      </c>
      <c r="F65" s="619">
        <f t="shared" si="2"/>
        <v>0</v>
      </c>
      <c r="G65" s="467">
        <f t="shared" si="15"/>
        <v>1</v>
      </c>
      <c r="H65" s="467">
        <f t="shared" si="15"/>
        <v>1</v>
      </c>
      <c r="I65" s="619">
        <f t="shared" si="16"/>
        <v>0</v>
      </c>
      <c r="K65" s="347">
        <v>0</v>
      </c>
      <c r="L65" s="467">
        <f t="shared" si="17"/>
        <v>1</v>
      </c>
      <c r="M65" s="467">
        <f t="shared" si="17"/>
        <v>1</v>
      </c>
      <c r="N65" s="619">
        <f t="shared" si="18"/>
        <v>0</v>
      </c>
      <c r="S65" s="515"/>
    </row>
    <row r="66" spans="1:19">
      <c r="A66" s="863">
        <f t="shared" si="1"/>
        <v>52</v>
      </c>
      <c r="B66" s="515">
        <v>37500</v>
      </c>
      <c r="C66" s="88" t="s">
        <v>863</v>
      </c>
      <c r="D66" s="347">
        <v>110686.41981699987</v>
      </c>
      <c r="E66" s="619">
        <v>0</v>
      </c>
      <c r="F66" s="619">
        <f t="shared" si="2"/>
        <v>110686.41981699987</v>
      </c>
      <c r="G66" s="467">
        <f t="shared" si="15"/>
        <v>1</v>
      </c>
      <c r="H66" s="467">
        <f t="shared" si="15"/>
        <v>1</v>
      </c>
      <c r="I66" s="619">
        <f t="shared" si="16"/>
        <v>110686.41981699987</v>
      </c>
      <c r="K66" s="347">
        <v>107223.89415499989</v>
      </c>
      <c r="L66" s="467">
        <f t="shared" si="17"/>
        <v>1</v>
      </c>
      <c r="M66" s="467">
        <f t="shared" si="17"/>
        <v>1</v>
      </c>
      <c r="N66" s="619">
        <f t="shared" si="18"/>
        <v>107223.89415499989</v>
      </c>
      <c r="S66" s="515"/>
    </row>
    <row r="67" spans="1:19">
      <c r="A67" s="863">
        <f t="shared" si="1"/>
        <v>53</v>
      </c>
      <c r="B67" s="515">
        <v>37501</v>
      </c>
      <c r="C67" s="88" t="s">
        <v>1005</v>
      </c>
      <c r="D67" s="347">
        <v>70555.583586500128</v>
      </c>
      <c r="E67" s="619">
        <v>0</v>
      </c>
      <c r="F67" s="619">
        <f t="shared" si="2"/>
        <v>70555.583586500128</v>
      </c>
      <c r="G67" s="467">
        <f t="shared" si="15"/>
        <v>1</v>
      </c>
      <c r="H67" s="467">
        <f t="shared" si="15"/>
        <v>1</v>
      </c>
      <c r="I67" s="619">
        <f t="shared" si="16"/>
        <v>70555.583586500128</v>
      </c>
      <c r="K67" s="347">
        <v>69527.4568475001</v>
      </c>
      <c r="L67" s="467">
        <f t="shared" si="17"/>
        <v>1</v>
      </c>
      <c r="M67" s="467">
        <f t="shared" si="17"/>
        <v>1</v>
      </c>
      <c r="N67" s="619">
        <f t="shared" si="18"/>
        <v>69527.4568475001</v>
      </c>
      <c r="S67" s="515"/>
    </row>
    <row r="68" spans="1:19">
      <c r="A68" s="863">
        <f t="shared" si="1"/>
        <v>54</v>
      </c>
      <c r="B68" s="515">
        <v>37502</v>
      </c>
      <c r="C68" s="88" t="s">
        <v>1007</v>
      </c>
      <c r="D68" s="347">
        <v>34985.294049500022</v>
      </c>
      <c r="E68" s="619">
        <v>0</v>
      </c>
      <c r="F68" s="619">
        <f t="shared" si="2"/>
        <v>34985.294049500022</v>
      </c>
      <c r="G68" s="467">
        <f t="shared" si="15"/>
        <v>1</v>
      </c>
      <c r="H68" s="467">
        <f t="shared" si="15"/>
        <v>1</v>
      </c>
      <c r="I68" s="619">
        <f t="shared" si="16"/>
        <v>34985.294049500022</v>
      </c>
      <c r="K68" s="347">
        <v>34508.772892500012</v>
      </c>
      <c r="L68" s="467">
        <f t="shared" si="17"/>
        <v>1</v>
      </c>
      <c r="M68" s="467">
        <f t="shared" si="17"/>
        <v>1</v>
      </c>
      <c r="N68" s="619">
        <f t="shared" si="18"/>
        <v>34508.772892500012</v>
      </c>
      <c r="S68" s="515"/>
    </row>
    <row r="69" spans="1:19">
      <c r="A69" s="863">
        <f t="shared" si="1"/>
        <v>55</v>
      </c>
      <c r="B69" s="515">
        <v>37503</v>
      </c>
      <c r="C69" s="88" t="s">
        <v>1006</v>
      </c>
      <c r="D69" s="347">
        <v>1884.3731339999979</v>
      </c>
      <c r="E69" s="619">
        <v>0</v>
      </c>
      <c r="F69" s="619">
        <f t="shared" si="2"/>
        <v>1884.3731339999979</v>
      </c>
      <c r="G69" s="467">
        <f t="shared" si="15"/>
        <v>1</v>
      </c>
      <c r="H69" s="467">
        <f t="shared" si="15"/>
        <v>1</v>
      </c>
      <c r="I69" s="619">
        <f t="shared" si="16"/>
        <v>1884.3731339999979</v>
      </c>
      <c r="K69" s="347">
        <v>1843.1208099999981</v>
      </c>
      <c r="L69" s="467">
        <f t="shared" si="17"/>
        <v>1</v>
      </c>
      <c r="M69" s="467">
        <f t="shared" si="17"/>
        <v>1</v>
      </c>
      <c r="N69" s="619">
        <f t="shared" si="18"/>
        <v>1843.1208099999981</v>
      </c>
      <c r="S69" s="515"/>
    </row>
    <row r="70" spans="1:19">
      <c r="A70" s="863">
        <f t="shared" si="1"/>
        <v>56</v>
      </c>
      <c r="B70" s="515">
        <v>37600</v>
      </c>
      <c r="C70" s="88" t="s">
        <v>851</v>
      </c>
      <c r="D70" s="347">
        <v>12924122.285679964</v>
      </c>
      <c r="E70" s="619">
        <v>0</v>
      </c>
      <c r="F70" s="619">
        <f t="shared" si="2"/>
        <v>12924122.285679964</v>
      </c>
      <c r="G70" s="467">
        <f t="shared" si="15"/>
        <v>1</v>
      </c>
      <c r="H70" s="467">
        <f t="shared" si="15"/>
        <v>1</v>
      </c>
      <c r="I70" s="619">
        <f t="shared" si="16"/>
        <v>12924122.285679964</v>
      </c>
      <c r="K70" s="347">
        <v>12595264.582505703</v>
      </c>
      <c r="L70" s="467">
        <f t="shared" si="17"/>
        <v>1</v>
      </c>
      <c r="M70" s="467">
        <f t="shared" si="17"/>
        <v>1</v>
      </c>
      <c r="N70" s="619">
        <f t="shared" si="18"/>
        <v>12595264.582505703</v>
      </c>
      <c r="S70" s="515"/>
    </row>
    <row r="71" spans="1:19">
      <c r="A71" s="863">
        <f t="shared" si="1"/>
        <v>57</v>
      </c>
      <c r="B71" s="515">
        <v>37601</v>
      </c>
      <c r="C71" s="88" t="s">
        <v>16</v>
      </c>
      <c r="D71" s="347">
        <v>29863767.451184731</v>
      </c>
      <c r="E71" s="619">
        <v>0</v>
      </c>
      <c r="F71" s="619">
        <f t="shared" si="2"/>
        <v>29863767.451184731</v>
      </c>
      <c r="G71" s="467">
        <f t="shared" si="15"/>
        <v>1</v>
      </c>
      <c r="H71" s="467">
        <f t="shared" si="15"/>
        <v>1</v>
      </c>
      <c r="I71" s="619">
        <f t="shared" si="16"/>
        <v>29863767.451184731</v>
      </c>
      <c r="K71" s="347">
        <v>29171776.814593829</v>
      </c>
      <c r="L71" s="467">
        <f t="shared" si="17"/>
        <v>1</v>
      </c>
      <c r="M71" s="467">
        <f t="shared" si="17"/>
        <v>1</v>
      </c>
      <c r="N71" s="619">
        <f t="shared" si="18"/>
        <v>29171776.814593829</v>
      </c>
      <c r="S71" s="515"/>
    </row>
    <row r="72" spans="1:19">
      <c r="A72" s="863">
        <f t="shared" si="1"/>
        <v>58</v>
      </c>
      <c r="B72" s="515">
        <v>37602</v>
      </c>
      <c r="C72" s="88" t="s">
        <v>852</v>
      </c>
      <c r="D72" s="347">
        <v>17845677.158033997</v>
      </c>
      <c r="E72" s="619">
        <v>0</v>
      </c>
      <c r="F72" s="619">
        <f t="shared" si="2"/>
        <v>17845677.158033997</v>
      </c>
      <c r="G72" s="467">
        <f t="shared" si="15"/>
        <v>1</v>
      </c>
      <c r="H72" s="467">
        <f t="shared" si="15"/>
        <v>1</v>
      </c>
      <c r="I72" s="619">
        <f t="shared" si="16"/>
        <v>17845677.158033997</v>
      </c>
      <c r="K72" s="347">
        <v>16572436.947456446</v>
      </c>
      <c r="L72" s="467">
        <f t="shared" si="17"/>
        <v>1</v>
      </c>
      <c r="M72" s="467">
        <f t="shared" si="17"/>
        <v>1</v>
      </c>
      <c r="N72" s="619">
        <f t="shared" si="18"/>
        <v>16572436.947456446</v>
      </c>
      <c r="S72" s="515"/>
    </row>
    <row r="73" spans="1:19">
      <c r="A73" s="863">
        <f t="shared" si="1"/>
        <v>59</v>
      </c>
      <c r="B73" s="515">
        <v>37800</v>
      </c>
      <c r="C73" s="88" t="s">
        <v>230</v>
      </c>
      <c r="D73" s="347">
        <v>2755115.6609372706</v>
      </c>
      <c r="E73" s="619">
        <v>0</v>
      </c>
      <c r="F73" s="619">
        <f t="shared" si="2"/>
        <v>2755115.6609372706</v>
      </c>
      <c r="G73" s="467">
        <f t="shared" si="15"/>
        <v>1</v>
      </c>
      <c r="H73" s="467">
        <f t="shared" si="15"/>
        <v>1</v>
      </c>
      <c r="I73" s="619">
        <f t="shared" si="16"/>
        <v>2755115.6609372706</v>
      </c>
      <c r="K73" s="347">
        <v>2554129.5580904442</v>
      </c>
      <c r="L73" s="467">
        <f t="shared" si="17"/>
        <v>1</v>
      </c>
      <c r="M73" s="467">
        <f t="shared" si="17"/>
        <v>1</v>
      </c>
      <c r="N73" s="619">
        <f t="shared" si="18"/>
        <v>2554129.5580904442</v>
      </c>
      <c r="S73" s="515"/>
    </row>
    <row r="74" spans="1:19">
      <c r="A74" s="863">
        <f t="shared" si="1"/>
        <v>60</v>
      </c>
      <c r="B74" s="515">
        <v>37900</v>
      </c>
      <c r="C74" s="88" t="s">
        <v>1200</v>
      </c>
      <c r="D74" s="347">
        <v>1013389.2239786354</v>
      </c>
      <c r="E74" s="619">
        <v>0</v>
      </c>
      <c r="F74" s="619">
        <f t="shared" si="2"/>
        <v>1013389.2239786354</v>
      </c>
      <c r="G74" s="467">
        <f t="shared" si="15"/>
        <v>1</v>
      </c>
      <c r="H74" s="467">
        <f t="shared" si="15"/>
        <v>1</v>
      </c>
      <c r="I74" s="619">
        <f t="shared" si="16"/>
        <v>1013389.2239786354</v>
      </c>
      <c r="K74" s="347">
        <v>939544.6280162594</v>
      </c>
      <c r="L74" s="467">
        <f t="shared" si="17"/>
        <v>1</v>
      </c>
      <c r="M74" s="467">
        <f t="shared" si="17"/>
        <v>1</v>
      </c>
      <c r="N74" s="619">
        <f t="shared" si="18"/>
        <v>939544.6280162594</v>
      </c>
      <c r="S74" s="515"/>
    </row>
    <row r="75" spans="1:19">
      <c r="A75" s="863">
        <f t="shared" si="1"/>
        <v>61</v>
      </c>
      <c r="B75" s="515">
        <v>37905</v>
      </c>
      <c r="C75" s="88" t="s">
        <v>732</v>
      </c>
      <c r="D75" s="347">
        <v>1059556.8021444918</v>
      </c>
      <c r="E75" s="619">
        <v>0</v>
      </c>
      <c r="F75" s="619">
        <f t="shared" si="2"/>
        <v>1059556.8021444918</v>
      </c>
      <c r="G75" s="467">
        <f t="shared" si="15"/>
        <v>1</v>
      </c>
      <c r="H75" s="467">
        <f t="shared" si="15"/>
        <v>1</v>
      </c>
      <c r="I75" s="619">
        <f t="shared" si="16"/>
        <v>1059556.8021444918</v>
      </c>
      <c r="K75" s="347">
        <v>1018244.5664553276</v>
      </c>
      <c r="L75" s="467">
        <f t="shared" si="17"/>
        <v>1</v>
      </c>
      <c r="M75" s="467">
        <f t="shared" si="17"/>
        <v>1</v>
      </c>
      <c r="N75" s="619">
        <f t="shared" si="18"/>
        <v>1018244.5664553276</v>
      </c>
      <c r="S75" s="515"/>
    </row>
    <row r="76" spans="1:19">
      <c r="A76" s="863">
        <f t="shared" si="1"/>
        <v>62</v>
      </c>
      <c r="B76" s="515">
        <v>38000</v>
      </c>
      <c r="C76" s="88" t="s">
        <v>1061</v>
      </c>
      <c r="D76" s="347">
        <v>38681263.191491581</v>
      </c>
      <c r="E76" s="619">
        <v>0</v>
      </c>
      <c r="F76" s="619">
        <f t="shared" ref="F76:F110" si="19">D76-E76</f>
        <v>38681263.191491581</v>
      </c>
      <c r="G76" s="467">
        <f t="shared" si="15"/>
        <v>1</v>
      </c>
      <c r="H76" s="467">
        <f t="shared" si="15"/>
        <v>1</v>
      </c>
      <c r="I76" s="619">
        <f t="shared" si="16"/>
        <v>38681263.191491581</v>
      </c>
      <c r="K76" s="347">
        <v>37374098.806804746</v>
      </c>
      <c r="L76" s="467">
        <f t="shared" si="17"/>
        <v>1</v>
      </c>
      <c r="M76" s="467">
        <f t="shared" si="17"/>
        <v>1</v>
      </c>
      <c r="N76" s="619">
        <f t="shared" si="18"/>
        <v>37374098.806804746</v>
      </c>
      <c r="S76" s="515"/>
    </row>
    <row r="77" spans="1:19">
      <c r="A77" s="863">
        <f t="shared" si="1"/>
        <v>63</v>
      </c>
      <c r="B77" s="515">
        <v>38100</v>
      </c>
      <c r="C77" s="88" t="s">
        <v>853</v>
      </c>
      <c r="D77" s="347">
        <v>20656076.452329051</v>
      </c>
      <c r="E77" s="619">
        <v>0</v>
      </c>
      <c r="F77" s="619">
        <f t="shared" si="19"/>
        <v>20656076.452329051</v>
      </c>
      <c r="G77" s="467">
        <f t="shared" si="15"/>
        <v>1</v>
      </c>
      <c r="H77" s="467">
        <f t="shared" si="15"/>
        <v>1</v>
      </c>
      <c r="I77" s="619">
        <f t="shared" si="16"/>
        <v>20656076.452329051</v>
      </c>
      <c r="K77" s="347">
        <v>19024487.557569709</v>
      </c>
      <c r="L77" s="467">
        <f t="shared" si="17"/>
        <v>1</v>
      </c>
      <c r="M77" s="467">
        <f t="shared" si="17"/>
        <v>1</v>
      </c>
      <c r="N77" s="619">
        <f t="shared" si="18"/>
        <v>19024487.557569709</v>
      </c>
      <c r="S77" s="515"/>
    </row>
    <row r="78" spans="1:19">
      <c r="A78" s="863">
        <f t="shared" si="1"/>
        <v>64</v>
      </c>
      <c r="B78" s="515">
        <v>38200</v>
      </c>
      <c r="C78" s="88" t="s">
        <v>447</v>
      </c>
      <c r="D78" s="347">
        <v>25825004.857517008</v>
      </c>
      <c r="E78" s="619">
        <v>0</v>
      </c>
      <c r="F78" s="619">
        <f t="shared" si="19"/>
        <v>25825004.857517008</v>
      </c>
      <c r="G78" s="467">
        <f t="shared" si="15"/>
        <v>1</v>
      </c>
      <c r="H78" s="467">
        <f t="shared" si="15"/>
        <v>1</v>
      </c>
      <c r="I78" s="619">
        <f t="shared" si="16"/>
        <v>25825004.857517008</v>
      </c>
      <c r="K78" s="347">
        <v>24993490.739980765</v>
      </c>
      <c r="L78" s="467">
        <f t="shared" si="17"/>
        <v>1</v>
      </c>
      <c r="M78" s="467">
        <f t="shared" si="17"/>
        <v>1</v>
      </c>
      <c r="N78" s="619">
        <f t="shared" si="18"/>
        <v>24993490.739980765</v>
      </c>
      <c r="S78" s="515"/>
    </row>
    <row r="79" spans="1:19">
      <c r="A79" s="863">
        <f t="shared" si="1"/>
        <v>65</v>
      </c>
      <c r="B79" s="515">
        <v>38300</v>
      </c>
      <c r="C79" s="88" t="s">
        <v>1062</v>
      </c>
      <c r="D79" s="347">
        <v>4158943.6824368746</v>
      </c>
      <c r="E79" s="619">
        <v>0</v>
      </c>
      <c r="F79" s="619">
        <f t="shared" si="19"/>
        <v>4158943.6824368746</v>
      </c>
      <c r="G79" s="467">
        <f t="shared" si="15"/>
        <v>1</v>
      </c>
      <c r="H79" s="467">
        <f t="shared" si="15"/>
        <v>1</v>
      </c>
      <c r="I79" s="619">
        <f t="shared" si="16"/>
        <v>4158943.6824368746</v>
      </c>
      <c r="K79" s="347">
        <v>3972596.4628011356</v>
      </c>
      <c r="L79" s="467">
        <f t="shared" si="17"/>
        <v>1</v>
      </c>
      <c r="M79" s="467">
        <f t="shared" si="17"/>
        <v>1</v>
      </c>
      <c r="N79" s="619">
        <f t="shared" si="18"/>
        <v>3972596.4628011356</v>
      </c>
      <c r="S79" s="515"/>
    </row>
    <row r="80" spans="1:19">
      <c r="A80" s="863">
        <f t="shared" si="1"/>
        <v>66</v>
      </c>
      <c r="B80" s="515">
        <v>38400</v>
      </c>
      <c r="C80" s="88" t="s">
        <v>448</v>
      </c>
      <c r="D80" s="347">
        <v>90956.283299827119</v>
      </c>
      <c r="E80" s="619">
        <v>0</v>
      </c>
      <c r="F80" s="619">
        <f t="shared" si="19"/>
        <v>90956.283299827119</v>
      </c>
      <c r="G80" s="467">
        <f t="shared" si="15"/>
        <v>1</v>
      </c>
      <c r="H80" s="467">
        <f t="shared" si="15"/>
        <v>1</v>
      </c>
      <c r="I80" s="619">
        <f t="shared" si="16"/>
        <v>90956.283299827119</v>
      </c>
      <c r="K80" s="347">
        <v>87938.682196943642</v>
      </c>
      <c r="L80" s="467">
        <f t="shared" si="17"/>
        <v>1</v>
      </c>
      <c r="M80" s="467">
        <f t="shared" si="17"/>
        <v>1</v>
      </c>
      <c r="N80" s="619">
        <f t="shared" si="18"/>
        <v>87938.682196943642</v>
      </c>
      <c r="S80" s="515"/>
    </row>
    <row r="81" spans="1:19">
      <c r="A81" s="863">
        <f t="shared" ref="A81:A150" si="20">A80+1</f>
        <v>67</v>
      </c>
      <c r="B81" s="515">
        <v>38500</v>
      </c>
      <c r="C81" s="88" t="s">
        <v>449</v>
      </c>
      <c r="D81" s="347">
        <v>2904067.3458352396</v>
      </c>
      <c r="E81" s="619">
        <v>0</v>
      </c>
      <c r="F81" s="619">
        <f t="shared" si="19"/>
        <v>2904067.3458352396</v>
      </c>
      <c r="G81" s="467">
        <f t="shared" si="15"/>
        <v>1</v>
      </c>
      <c r="H81" s="467">
        <f t="shared" si="15"/>
        <v>1</v>
      </c>
      <c r="I81" s="619">
        <f t="shared" si="16"/>
        <v>2904067.3458352396</v>
      </c>
      <c r="K81" s="347">
        <v>2832946.2697525355</v>
      </c>
      <c r="L81" s="467">
        <f t="shared" si="17"/>
        <v>1</v>
      </c>
      <c r="M81" s="467">
        <f t="shared" si="17"/>
        <v>1</v>
      </c>
      <c r="N81" s="619">
        <f t="shared" si="18"/>
        <v>2832946.2697525355</v>
      </c>
      <c r="S81" s="515"/>
    </row>
    <row r="82" spans="1:19">
      <c r="A82" s="863">
        <f t="shared" si="20"/>
        <v>68</v>
      </c>
      <c r="B82" s="515"/>
      <c r="C82" s="88"/>
      <c r="D82" s="1072"/>
      <c r="E82" s="1072"/>
      <c r="F82" s="1072"/>
      <c r="G82" s="467"/>
      <c r="H82" s="467"/>
      <c r="I82" s="1072"/>
      <c r="K82" s="1072"/>
      <c r="N82" s="1072"/>
    </row>
    <row r="83" spans="1:19">
      <c r="A83" s="863">
        <f t="shared" si="20"/>
        <v>69</v>
      </c>
      <c r="B83" s="515"/>
      <c r="C83" s="88" t="s">
        <v>1403</v>
      </c>
      <c r="D83" s="361">
        <f>SUM(D62:D82)</f>
        <v>158212599.77838853</v>
      </c>
      <c r="E83" s="361">
        <f>SUM(E62:E82)</f>
        <v>0</v>
      </c>
      <c r="F83" s="361">
        <f>SUM(F62:F82)</f>
        <v>158212599.77838853</v>
      </c>
      <c r="G83" s="467"/>
      <c r="H83" s="467"/>
      <c r="I83" s="361">
        <f>SUM(I62:I82)</f>
        <v>158212599.77838853</v>
      </c>
      <c r="K83" s="361">
        <f>SUM(K62:K82)</f>
        <v>151542161.79867446</v>
      </c>
      <c r="N83" s="361">
        <f>SUM(N62:N82)</f>
        <v>151542161.79867446</v>
      </c>
    </row>
    <row r="84" spans="1:19">
      <c r="A84" s="863">
        <f t="shared" si="20"/>
        <v>70</v>
      </c>
      <c r="B84" s="515"/>
      <c r="C84" s="88"/>
      <c r="D84" s="619"/>
      <c r="E84" s="619"/>
      <c r="F84" s="619"/>
      <c r="G84" s="467"/>
      <c r="H84" s="467"/>
      <c r="I84" s="619"/>
      <c r="K84" s="619"/>
      <c r="N84" s="619"/>
    </row>
    <row r="85" spans="1:19">
      <c r="A85" s="863">
        <f t="shared" si="20"/>
        <v>71</v>
      </c>
      <c r="B85" s="709"/>
      <c r="C85" s="622" t="s">
        <v>305</v>
      </c>
      <c r="D85" s="619"/>
      <c r="E85" s="619"/>
      <c r="F85" s="619"/>
      <c r="G85" s="467"/>
      <c r="H85" s="467"/>
      <c r="I85" s="619"/>
      <c r="K85" s="619"/>
      <c r="N85" s="619"/>
    </row>
    <row r="86" spans="1:19">
      <c r="A86" s="863">
        <f t="shared" si="20"/>
        <v>72</v>
      </c>
      <c r="B86" s="515">
        <v>38900</v>
      </c>
      <c r="C86" s="88" t="s">
        <v>1562</v>
      </c>
      <c r="D86" s="347">
        <v>0</v>
      </c>
      <c r="E86" s="361">
        <v>0</v>
      </c>
      <c r="F86" s="361">
        <f t="shared" si="19"/>
        <v>0</v>
      </c>
      <c r="G86" s="467">
        <f t="shared" ref="G86:H104" si="21">$G$16</f>
        <v>1</v>
      </c>
      <c r="H86" s="467">
        <f t="shared" si="21"/>
        <v>1</v>
      </c>
      <c r="I86" s="361">
        <f t="shared" ref="I86:I110" si="22">F86*G86*H86</f>
        <v>0</v>
      </c>
      <c r="K86" s="347">
        <v>0</v>
      </c>
      <c r="L86" s="467">
        <f t="shared" ref="L86:M104" si="23">$G$16</f>
        <v>1</v>
      </c>
      <c r="M86" s="467">
        <f t="shared" si="23"/>
        <v>1</v>
      </c>
      <c r="N86" s="361">
        <f t="shared" ref="N86:N110" si="24">K86*L86*M86</f>
        <v>0</v>
      </c>
      <c r="S86" s="515"/>
    </row>
    <row r="87" spans="1:19">
      <c r="A87" s="863">
        <f t="shared" si="20"/>
        <v>73</v>
      </c>
      <c r="B87" s="515">
        <v>39000</v>
      </c>
      <c r="C87" s="88" t="s">
        <v>1563</v>
      </c>
      <c r="D87" s="347">
        <v>1123624.4495535207</v>
      </c>
      <c r="E87" s="619">
        <v>0</v>
      </c>
      <c r="F87" s="619">
        <f t="shared" si="19"/>
        <v>1123624.4495535207</v>
      </c>
      <c r="G87" s="467">
        <f t="shared" si="21"/>
        <v>1</v>
      </c>
      <c r="H87" s="467">
        <f t="shared" si="21"/>
        <v>1</v>
      </c>
      <c r="I87" s="619">
        <f t="shared" si="22"/>
        <v>1123624.4495535207</v>
      </c>
      <c r="K87" s="347">
        <v>989221.66228965647</v>
      </c>
      <c r="L87" s="467">
        <f t="shared" si="23"/>
        <v>1</v>
      </c>
      <c r="M87" s="467">
        <f t="shared" si="23"/>
        <v>1</v>
      </c>
      <c r="N87" s="619">
        <f t="shared" si="24"/>
        <v>989221.66228965647</v>
      </c>
      <c r="S87" s="515"/>
    </row>
    <row r="88" spans="1:19">
      <c r="A88" s="863">
        <f t="shared" si="20"/>
        <v>74</v>
      </c>
      <c r="B88" s="515">
        <v>39002</v>
      </c>
      <c r="C88" s="88" t="s">
        <v>1564</v>
      </c>
      <c r="D88" s="347">
        <v>104795.54712999989</v>
      </c>
      <c r="E88" s="619">
        <v>0</v>
      </c>
      <c r="F88" s="619">
        <f t="shared" si="19"/>
        <v>104795.54712999989</v>
      </c>
      <c r="G88" s="467">
        <f t="shared" si="21"/>
        <v>1</v>
      </c>
      <c r="H88" s="467">
        <f t="shared" si="21"/>
        <v>1</v>
      </c>
      <c r="I88" s="619">
        <f t="shared" si="22"/>
        <v>104795.54712999989</v>
      </c>
      <c r="K88" s="347">
        <v>101540.98794999989</v>
      </c>
      <c r="L88" s="467">
        <f t="shared" si="23"/>
        <v>1</v>
      </c>
      <c r="M88" s="467">
        <f t="shared" si="23"/>
        <v>1</v>
      </c>
      <c r="N88" s="619">
        <f t="shared" si="24"/>
        <v>101540.98794999989</v>
      </c>
      <c r="S88" s="515"/>
    </row>
    <row r="89" spans="1:19">
      <c r="A89" s="863">
        <f t="shared" si="20"/>
        <v>75</v>
      </c>
      <c r="B89" s="515">
        <v>39003</v>
      </c>
      <c r="C89" s="88" t="s">
        <v>1565</v>
      </c>
      <c r="D89" s="347">
        <v>281311.78604400012</v>
      </c>
      <c r="E89" s="619">
        <v>0</v>
      </c>
      <c r="F89" s="619">
        <f t="shared" si="19"/>
        <v>281311.78604400012</v>
      </c>
      <c r="G89" s="467">
        <f t="shared" si="21"/>
        <v>1</v>
      </c>
      <c r="H89" s="467">
        <f t="shared" si="21"/>
        <v>1</v>
      </c>
      <c r="I89" s="619">
        <f t="shared" si="22"/>
        <v>281311.78604400012</v>
      </c>
      <c r="K89" s="347">
        <v>267978.84146000014</v>
      </c>
      <c r="L89" s="467">
        <f t="shared" si="23"/>
        <v>1</v>
      </c>
      <c r="M89" s="467">
        <f t="shared" si="23"/>
        <v>1</v>
      </c>
      <c r="N89" s="619">
        <f t="shared" si="24"/>
        <v>267978.84146000014</v>
      </c>
      <c r="S89" s="515"/>
    </row>
    <row r="90" spans="1:19">
      <c r="A90" s="863">
        <f t="shared" si="20"/>
        <v>76</v>
      </c>
      <c r="B90" s="515">
        <v>39004</v>
      </c>
      <c r="C90" s="88" t="s">
        <v>1566</v>
      </c>
      <c r="D90" s="347">
        <v>4684.0918920000067</v>
      </c>
      <c r="E90" s="619">
        <v>0</v>
      </c>
      <c r="F90" s="619">
        <f t="shared" si="19"/>
        <v>4684.0918920000067</v>
      </c>
      <c r="G90" s="467">
        <f t="shared" si="21"/>
        <v>1</v>
      </c>
      <c r="H90" s="467">
        <f t="shared" si="21"/>
        <v>1</v>
      </c>
      <c r="I90" s="619">
        <f t="shared" si="22"/>
        <v>4684.0918920000067</v>
      </c>
      <c r="K90" s="347">
        <v>4440.5427800000043</v>
      </c>
      <c r="L90" s="467">
        <f t="shared" si="23"/>
        <v>1</v>
      </c>
      <c r="M90" s="467">
        <f t="shared" si="23"/>
        <v>1</v>
      </c>
      <c r="N90" s="619">
        <f t="shared" si="24"/>
        <v>4440.5427800000043</v>
      </c>
      <c r="S90" s="515"/>
    </row>
    <row r="91" spans="1:19">
      <c r="A91" s="863">
        <f t="shared" si="20"/>
        <v>77</v>
      </c>
      <c r="B91" s="515">
        <v>39009</v>
      </c>
      <c r="C91" s="88" t="s">
        <v>1567</v>
      </c>
      <c r="D91" s="347">
        <v>1248109.8595909993</v>
      </c>
      <c r="E91" s="619">
        <v>0</v>
      </c>
      <c r="F91" s="619">
        <f t="shared" si="19"/>
        <v>1248109.8595909993</v>
      </c>
      <c r="G91" s="467">
        <f t="shared" si="21"/>
        <v>1</v>
      </c>
      <c r="H91" s="467">
        <f t="shared" si="21"/>
        <v>1</v>
      </c>
      <c r="I91" s="619">
        <f t="shared" si="22"/>
        <v>1248109.8595909993</v>
      </c>
      <c r="K91" s="347">
        <v>1225690.3469873457</v>
      </c>
      <c r="L91" s="467">
        <f t="shared" si="23"/>
        <v>1</v>
      </c>
      <c r="M91" s="467">
        <f t="shared" si="23"/>
        <v>1</v>
      </c>
      <c r="N91" s="619">
        <f t="shared" si="24"/>
        <v>1225690.3469873457</v>
      </c>
      <c r="S91" s="515"/>
    </row>
    <row r="92" spans="1:19">
      <c r="A92" s="863">
        <f t="shared" si="20"/>
        <v>78</v>
      </c>
      <c r="B92" s="515">
        <v>39100</v>
      </c>
      <c r="C92" s="88" t="s">
        <v>1568</v>
      </c>
      <c r="D92" s="347">
        <v>1048771.6444475006</v>
      </c>
      <c r="E92" s="619">
        <v>0</v>
      </c>
      <c r="F92" s="619">
        <f t="shared" si="19"/>
        <v>1048771.6444475006</v>
      </c>
      <c r="G92" s="467">
        <f t="shared" si="21"/>
        <v>1</v>
      </c>
      <c r="H92" s="467">
        <f t="shared" si="21"/>
        <v>1</v>
      </c>
      <c r="I92" s="619">
        <f t="shared" si="22"/>
        <v>1048771.6444475006</v>
      </c>
      <c r="K92" s="347">
        <v>988921.09746250056</v>
      </c>
      <c r="L92" s="467">
        <f t="shared" si="23"/>
        <v>1</v>
      </c>
      <c r="M92" s="467">
        <f t="shared" si="23"/>
        <v>1</v>
      </c>
      <c r="N92" s="619">
        <f t="shared" si="24"/>
        <v>988921.09746250056</v>
      </c>
      <c r="S92" s="515"/>
    </row>
    <row r="93" spans="1:19">
      <c r="A93" s="863">
        <f t="shared" si="20"/>
        <v>79</v>
      </c>
      <c r="B93" s="515">
        <v>39103</v>
      </c>
      <c r="C93" s="88" t="s">
        <v>787</v>
      </c>
      <c r="D93" s="347">
        <v>0</v>
      </c>
      <c r="E93" s="619">
        <v>0</v>
      </c>
      <c r="F93" s="619">
        <f t="shared" si="19"/>
        <v>0</v>
      </c>
      <c r="G93" s="467">
        <f t="shared" si="21"/>
        <v>1</v>
      </c>
      <c r="H93" s="467">
        <f t="shared" si="21"/>
        <v>1</v>
      </c>
      <c r="I93" s="619">
        <f t="shared" ref="I93:I97" si="25">F93*G93*H93</f>
        <v>0</v>
      </c>
      <c r="K93" s="347">
        <v>0</v>
      </c>
      <c r="L93" s="467">
        <f t="shared" si="23"/>
        <v>1</v>
      </c>
      <c r="M93" s="467">
        <f t="shared" si="23"/>
        <v>1</v>
      </c>
      <c r="N93" s="619">
        <f t="shared" ref="N93:N99" si="26">K93*L93*M93</f>
        <v>0</v>
      </c>
      <c r="S93" s="515"/>
    </row>
    <row r="94" spans="1:19">
      <c r="A94" s="863">
        <f t="shared" si="20"/>
        <v>80</v>
      </c>
      <c r="B94" s="515">
        <v>39200</v>
      </c>
      <c r="C94" s="88" t="s">
        <v>1569</v>
      </c>
      <c r="D94" s="347">
        <v>107529.04915499997</v>
      </c>
      <c r="E94" s="619">
        <v>0</v>
      </c>
      <c r="F94" s="619">
        <f t="shared" si="19"/>
        <v>107529.04915499997</v>
      </c>
      <c r="G94" s="467">
        <f t="shared" si="21"/>
        <v>1</v>
      </c>
      <c r="H94" s="467">
        <f t="shared" si="21"/>
        <v>1</v>
      </c>
      <c r="I94" s="619">
        <f t="shared" si="25"/>
        <v>107529.04915499997</v>
      </c>
      <c r="K94" s="347">
        <v>90800.340824999977</v>
      </c>
      <c r="L94" s="467">
        <f t="shared" si="23"/>
        <v>1</v>
      </c>
      <c r="M94" s="467">
        <f t="shared" si="23"/>
        <v>1</v>
      </c>
      <c r="N94" s="619">
        <f t="shared" si="26"/>
        <v>90800.340824999977</v>
      </c>
      <c r="S94" s="515"/>
    </row>
    <row r="95" spans="1:19">
      <c r="A95" s="863">
        <f t="shared" si="20"/>
        <v>81</v>
      </c>
      <c r="B95" s="515">
        <v>39202</v>
      </c>
      <c r="C95" s="88" t="s">
        <v>1570</v>
      </c>
      <c r="D95" s="347">
        <v>-2549.7600000000002</v>
      </c>
      <c r="E95" s="619">
        <v>0</v>
      </c>
      <c r="F95" s="619">
        <f t="shared" si="19"/>
        <v>-2549.7600000000002</v>
      </c>
      <c r="G95" s="467">
        <f t="shared" si="21"/>
        <v>1</v>
      </c>
      <c r="H95" s="467">
        <f t="shared" si="21"/>
        <v>1</v>
      </c>
      <c r="I95" s="619">
        <f t="shared" si="25"/>
        <v>-2549.7600000000002</v>
      </c>
      <c r="K95" s="347">
        <v>-2549.7600000000011</v>
      </c>
      <c r="L95" s="467">
        <f t="shared" si="23"/>
        <v>1</v>
      </c>
      <c r="M95" s="467">
        <f t="shared" si="23"/>
        <v>1</v>
      </c>
      <c r="N95" s="619">
        <f t="shared" si="26"/>
        <v>-2549.7600000000011</v>
      </c>
      <c r="S95" s="515"/>
    </row>
    <row r="96" spans="1:19">
      <c r="A96" s="863">
        <f t="shared" si="20"/>
        <v>82</v>
      </c>
      <c r="B96" s="515">
        <v>39400</v>
      </c>
      <c r="C96" s="88" t="s">
        <v>1571</v>
      </c>
      <c r="D96" s="347">
        <v>1354205.5736513922</v>
      </c>
      <c r="E96" s="619">
        <v>0</v>
      </c>
      <c r="F96" s="619">
        <f t="shared" si="19"/>
        <v>1354205.5736513922</v>
      </c>
      <c r="G96" s="467">
        <f t="shared" si="21"/>
        <v>1</v>
      </c>
      <c r="H96" s="467">
        <f t="shared" si="21"/>
        <v>1</v>
      </c>
      <c r="I96" s="619">
        <f t="shared" si="25"/>
        <v>1354205.5736513922</v>
      </c>
      <c r="K96" s="347">
        <v>1181288.5442582623</v>
      </c>
      <c r="L96" s="467">
        <f t="shared" si="23"/>
        <v>1</v>
      </c>
      <c r="M96" s="467">
        <f t="shared" si="23"/>
        <v>1</v>
      </c>
      <c r="N96" s="619">
        <f t="shared" si="26"/>
        <v>1181288.5442582623</v>
      </c>
      <c r="S96" s="515"/>
    </row>
    <row r="97" spans="1:19">
      <c r="A97" s="863">
        <f t="shared" si="20"/>
        <v>83</v>
      </c>
      <c r="B97" s="515">
        <v>39603</v>
      </c>
      <c r="C97" s="88" t="s">
        <v>1572</v>
      </c>
      <c r="D97" s="347">
        <v>39760.799671999972</v>
      </c>
      <c r="E97" s="619">
        <v>0</v>
      </c>
      <c r="F97" s="619">
        <f t="shared" si="19"/>
        <v>39760.799671999972</v>
      </c>
      <c r="G97" s="467">
        <f t="shared" si="21"/>
        <v>1</v>
      </c>
      <c r="H97" s="467">
        <f t="shared" si="21"/>
        <v>1</v>
      </c>
      <c r="I97" s="619">
        <f t="shared" si="25"/>
        <v>39760.799671999972</v>
      </c>
      <c r="K97" s="347">
        <v>39019.253270461522</v>
      </c>
      <c r="L97" s="467">
        <f t="shared" si="23"/>
        <v>1</v>
      </c>
      <c r="M97" s="467">
        <f t="shared" si="23"/>
        <v>1</v>
      </c>
      <c r="N97" s="619">
        <f t="shared" si="26"/>
        <v>39019.253270461522</v>
      </c>
      <c r="S97" s="515"/>
    </row>
    <row r="98" spans="1:19">
      <c r="A98" s="863">
        <f t="shared" si="20"/>
        <v>84</v>
      </c>
      <c r="B98" s="515">
        <v>39604</v>
      </c>
      <c r="C98" s="88" t="s">
        <v>1573</v>
      </c>
      <c r="D98" s="347">
        <v>62887.10692349996</v>
      </c>
      <c r="E98" s="619">
        <v>0</v>
      </c>
      <c r="F98" s="619">
        <f t="shared" si="19"/>
        <v>62887.10692349996</v>
      </c>
      <c r="G98" s="467">
        <f t="shared" si="21"/>
        <v>1</v>
      </c>
      <c r="H98" s="467">
        <f t="shared" si="21"/>
        <v>1</v>
      </c>
      <c r="I98" s="619">
        <f t="shared" si="22"/>
        <v>62887.10692349996</v>
      </c>
      <c r="K98" s="347">
        <v>61712.405253980731</v>
      </c>
      <c r="L98" s="467">
        <f t="shared" si="23"/>
        <v>1</v>
      </c>
      <c r="M98" s="467">
        <f t="shared" si="23"/>
        <v>1</v>
      </c>
      <c r="N98" s="619">
        <f t="shared" si="26"/>
        <v>61712.405253980731</v>
      </c>
      <c r="S98" s="515"/>
    </row>
    <row r="99" spans="1:19">
      <c r="A99" s="863">
        <f t="shared" si="20"/>
        <v>85</v>
      </c>
      <c r="B99" s="515">
        <v>39605</v>
      </c>
      <c r="C99" s="88" t="s">
        <v>1574</v>
      </c>
      <c r="D99" s="347">
        <v>19456.389328250003</v>
      </c>
      <c r="E99" s="619">
        <v>0</v>
      </c>
      <c r="F99" s="619">
        <f t="shared" si="19"/>
        <v>19456.389328250003</v>
      </c>
      <c r="G99" s="467">
        <f t="shared" si="21"/>
        <v>1</v>
      </c>
      <c r="H99" s="467">
        <f t="shared" si="21"/>
        <v>1</v>
      </c>
      <c r="I99" s="619">
        <f t="shared" si="22"/>
        <v>19456.389328250003</v>
      </c>
      <c r="K99" s="347">
        <v>18122.822068923077</v>
      </c>
      <c r="L99" s="467">
        <f t="shared" si="23"/>
        <v>1</v>
      </c>
      <c r="M99" s="467">
        <f t="shared" si="23"/>
        <v>1</v>
      </c>
      <c r="N99" s="619">
        <f t="shared" si="26"/>
        <v>18122.822068923077</v>
      </c>
      <c r="S99" s="515"/>
    </row>
    <row r="100" spans="1:19">
      <c r="A100" s="863">
        <f t="shared" si="20"/>
        <v>86</v>
      </c>
      <c r="B100" s="515">
        <v>39700</v>
      </c>
      <c r="C100" s="88" t="s">
        <v>1575</v>
      </c>
      <c r="D100" s="347">
        <v>213192.31359699985</v>
      </c>
      <c r="E100" s="619">
        <v>0</v>
      </c>
      <c r="F100" s="619">
        <f t="shared" si="19"/>
        <v>213192.31359699985</v>
      </c>
      <c r="G100" s="467">
        <f t="shared" si="21"/>
        <v>1</v>
      </c>
      <c r="H100" s="467">
        <f t="shared" si="21"/>
        <v>1</v>
      </c>
      <c r="I100" s="619">
        <f t="shared" si="22"/>
        <v>213192.31359699985</v>
      </c>
      <c r="K100" s="347">
        <v>201220.84685499987</v>
      </c>
      <c r="L100" s="467">
        <f t="shared" si="23"/>
        <v>1</v>
      </c>
      <c r="M100" s="467">
        <f t="shared" si="23"/>
        <v>1</v>
      </c>
      <c r="N100" s="619">
        <f t="shared" si="24"/>
        <v>201220.84685499987</v>
      </c>
      <c r="S100" s="515"/>
    </row>
    <row r="101" spans="1:19">
      <c r="A101" s="863">
        <f t="shared" si="20"/>
        <v>87</v>
      </c>
      <c r="B101" s="709">
        <v>39701</v>
      </c>
      <c r="C101" s="88" t="s">
        <v>1535</v>
      </c>
      <c r="D101" s="347">
        <v>0</v>
      </c>
      <c r="E101" s="619">
        <v>0</v>
      </c>
      <c r="F101" s="619">
        <f t="shared" si="19"/>
        <v>0</v>
      </c>
      <c r="G101" s="467">
        <f t="shared" si="21"/>
        <v>1</v>
      </c>
      <c r="H101" s="467">
        <f t="shared" si="21"/>
        <v>1</v>
      </c>
      <c r="I101" s="619">
        <f t="shared" si="22"/>
        <v>0</v>
      </c>
      <c r="K101" s="347">
        <v>0</v>
      </c>
      <c r="L101" s="467">
        <f t="shared" si="23"/>
        <v>1</v>
      </c>
      <c r="M101" s="467">
        <f t="shared" si="23"/>
        <v>1</v>
      </c>
      <c r="N101" s="619">
        <f t="shared" si="24"/>
        <v>0</v>
      </c>
      <c r="S101" s="515"/>
    </row>
    <row r="102" spans="1:19">
      <c r="A102" s="863">
        <f t="shared" si="20"/>
        <v>88</v>
      </c>
      <c r="B102" s="709">
        <v>39702</v>
      </c>
      <c r="C102" s="81" t="s">
        <v>1535</v>
      </c>
      <c r="D102" s="347">
        <v>0</v>
      </c>
      <c r="E102" s="619">
        <v>0</v>
      </c>
      <c r="F102" s="619">
        <f t="shared" si="19"/>
        <v>0</v>
      </c>
      <c r="G102" s="467">
        <f t="shared" si="21"/>
        <v>1</v>
      </c>
      <c r="H102" s="467">
        <f t="shared" si="21"/>
        <v>1</v>
      </c>
      <c r="I102" s="619">
        <f t="shared" si="22"/>
        <v>0</v>
      </c>
      <c r="K102" s="347">
        <v>0</v>
      </c>
      <c r="L102" s="467">
        <f t="shared" si="23"/>
        <v>1</v>
      </c>
      <c r="M102" s="467">
        <f t="shared" si="23"/>
        <v>1</v>
      </c>
      <c r="N102" s="619">
        <f t="shared" si="24"/>
        <v>0</v>
      </c>
      <c r="S102" s="515"/>
    </row>
    <row r="103" spans="1:19">
      <c r="A103" s="863">
        <f t="shared" si="20"/>
        <v>89</v>
      </c>
      <c r="B103" s="709">
        <v>39705</v>
      </c>
      <c r="C103" s="88" t="s">
        <v>1576</v>
      </c>
      <c r="D103" s="347">
        <v>0</v>
      </c>
      <c r="E103" s="619">
        <v>0</v>
      </c>
      <c r="F103" s="619">
        <f t="shared" si="19"/>
        <v>0</v>
      </c>
      <c r="G103" s="467">
        <f t="shared" si="21"/>
        <v>1</v>
      </c>
      <c r="H103" s="467">
        <f t="shared" si="21"/>
        <v>1</v>
      </c>
      <c r="I103" s="619">
        <f t="shared" si="22"/>
        <v>0</v>
      </c>
      <c r="K103" s="347">
        <v>0</v>
      </c>
      <c r="L103" s="467">
        <f t="shared" si="23"/>
        <v>1</v>
      </c>
      <c r="M103" s="467">
        <f t="shared" si="23"/>
        <v>1</v>
      </c>
      <c r="N103" s="619">
        <f t="shared" si="24"/>
        <v>0</v>
      </c>
      <c r="S103" s="515"/>
    </row>
    <row r="104" spans="1:19">
      <c r="A104" s="863">
        <f t="shared" si="20"/>
        <v>90</v>
      </c>
      <c r="B104" s="709">
        <v>39800</v>
      </c>
      <c r="C104" s="88" t="s">
        <v>1577</v>
      </c>
      <c r="D104" s="347">
        <v>1788138.6160357494</v>
      </c>
      <c r="E104" s="619">
        <v>0</v>
      </c>
      <c r="F104" s="619">
        <f t="shared" si="19"/>
        <v>1788138.6160357494</v>
      </c>
      <c r="G104" s="467">
        <f t="shared" si="21"/>
        <v>1</v>
      </c>
      <c r="H104" s="467">
        <f t="shared" si="21"/>
        <v>1</v>
      </c>
      <c r="I104" s="619">
        <f t="shared" si="22"/>
        <v>1788138.6160357494</v>
      </c>
      <c r="K104" s="347">
        <v>1693601.8127808045</v>
      </c>
      <c r="L104" s="467">
        <f t="shared" si="23"/>
        <v>1</v>
      </c>
      <c r="M104" s="467">
        <f t="shared" si="23"/>
        <v>1</v>
      </c>
      <c r="N104" s="619">
        <f t="shared" si="24"/>
        <v>1693601.8127808045</v>
      </c>
      <c r="S104" s="515"/>
    </row>
    <row r="105" spans="1:19">
      <c r="A105" s="863">
        <f t="shared" si="20"/>
        <v>91</v>
      </c>
      <c r="B105" s="709">
        <v>39901</v>
      </c>
      <c r="C105" s="88" t="s">
        <v>1536</v>
      </c>
      <c r="D105" s="347">
        <v>5404.1379999999972</v>
      </c>
      <c r="E105" s="619">
        <v>0</v>
      </c>
      <c r="F105" s="619">
        <f t="shared" si="19"/>
        <v>5404.1379999999972</v>
      </c>
      <c r="G105" s="467">
        <f t="shared" ref="G105:H113" si="27">$G$16</f>
        <v>1</v>
      </c>
      <c r="H105" s="467">
        <f t="shared" si="27"/>
        <v>1</v>
      </c>
      <c r="I105" s="619">
        <f t="shared" si="22"/>
        <v>5404.1379999999972</v>
      </c>
      <c r="K105" s="347">
        <v>4684.6499999999978</v>
      </c>
      <c r="L105" s="467">
        <f t="shared" ref="L105:M113" si="28">$G$16</f>
        <v>1</v>
      </c>
      <c r="M105" s="467">
        <f t="shared" si="28"/>
        <v>1</v>
      </c>
      <c r="N105" s="619">
        <f t="shared" si="24"/>
        <v>4684.6499999999978</v>
      </c>
      <c r="S105" s="515"/>
    </row>
    <row r="106" spans="1:19">
      <c r="A106" s="863">
        <f t="shared" si="20"/>
        <v>92</v>
      </c>
      <c r="B106" s="709">
        <v>39902</v>
      </c>
      <c r="C106" s="88" t="s">
        <v>1537</v>
      </c>
      <c r="D106" s="347">
        <v>0</v>
      </c>
      <c r="E106" s="619">
        <v>0</v>
      </c>
      <c r="F106" s="619">
        <f t="shared" si="19"/>
        <v>0</v>
      </c>
      <c r="G106" s="467">
        <f t="shared" si="27"/>
        <v>1</v>
      </c>
      <c r="H106" s="467">
        <f t="shared" si="27"/>
        <v>1</v>
      </c>
      <c r="I106" s="619">
        <f t="shared" si="22"/>
        <v>0</v>
      </c>
      <c r="K106" s="347">
        <v>0</v>
      </c>
      <c r="L106" s="467">
        <f t="shared" si="28"/>
        <v>1</v>
      </c>
      <c r="M106" s="467">
        <f t="shared" si="28"/>
        <v>1</v>
      </c>
      <c r="N106" s="619">
        <f t="shared" si="24"/>
        <v>0</v>
      </c>
      <c r="S106" s="515"/>
    </row>
    <row r="107" spans="1:19">
      <c r="A107" s="863">
        <f t="shared" si="20"/>
        <v>93</v>
      </c>
      <c r="B107" s="709">
        <v>39903</v>
      </c>
      <c r="C107" s="88" t="s">
        <v>1578</v>
      </c>
      <c r="D107" s="347">
        <v>55324.650499999945</v>
      </c>
      <c r="E107" s="619">
        <v>0</v>
      </c>
      <c r="F107" s="619">
        <f t="shared" si="19"/>
        <v>55324.650499999945</v>
      </c>
      <c r="G107" s="467">
        <f t="shared" si="27"/>
        <v>1</v>
      </c>
      <c r="H107" s="467">
        <f t="shared" si="27"/>
        <v>1</v>
      </c>
      <c r="I107" s="619">
        <f t="shared" si="22"/>
        <v>55324.650499999945</v>
      </c>
      <c r="K107" s="347">
        <v>48594.707499999968</v>
      </c>
      <c r="L107" s="467">
        <f t="shared" si="28"/>
        <v>1</v>
      </c>
      <c r="M107" s="467">
        <f t="shared" si="28"/>
        <v>1</v>
      </c>
      <c r="N107" s="619">
        <f t="shared" si="24"/>
        <v>48594.707499999968</v>
      </c>
      <c r="S107" s="515"/>
    </row>
    <row r="108" spans="1:19">
      <c r="A108" s="863">
        <f t="shared" si="20"/>
        <v>94</v>
      </c>
      <c r="B108" s="709">
        <v>39906</v>
      </c>
      <c r="C108" s="88" t="s">
        <v>1579</v>
      </c>
      <c r="D108" s="347">
        <v>1253386.609556356</v>
      </c>
      <c r="E108" s="619">
        <v>0</v>
      </c>
      <c r="F108" s="619">
        <f t="shared" si="19"/>
        <v>1253386.609556356</v>
      </c>
      <c r="G108" s="467">
        <f t="shared" si="27"/>
        <v>1</v>
      </c>
      <c r="H108" s="467">
        <f t="shared" si="27"/>
        <v>1</v>
      </c>
      <c r="I108" s="619">
        <f t="shared" si="22"/>
        <v>1253386.609556356</v>
      </c>
      <c r="K108" s="347">
        <v>1069984.166086003</v>
      </c>
      <c r="L108" s="467">
        <f t="shared" si="28"/>
        <v>1</v>
      </c>
      <c r="M108" s="467">
        <f t="shared" si="28"/>
        <v>1</v>
      </c>
      <c r="N108" s="619">
        <f t="shared" si="24"/>
        <v>1069984.166086003</v>
      </c>
      <c r="S108" s="515"/>
    </row>
    <row r="109" spans="1:19" ht="15" customHeight="1">
      <c r="A109" s="863">
        <f t="shared" si="20"/>
        <v>95</v>
      </c>
      <c r="B109" s="709">
        <v>39907</v>
      </c>
      <c r="C109" s="88" t="s">
        <v>1580</v>
      </c>
      <c r="D109" s="347">
        <v>0</v>
      </c>
      <c r="E109" s="619">
        <v>0</v>
      </c>
      <c r="F109" s="619">
        <f t="shared" si="19"/>
        <v>0</v>
      </c>
      <c r="G109" s="467">
        <f t="shared" si="27"/>
        <v>1</v>
      </c>
      <c r="H109" s="467">
        <f t="shared" si="27"/>
        <v>1</v>
      </c>
      <c r="I109" s="619">
        <f t="shared" si="22"/>
        <v>0</v>
      </c>
      <c r="K109" s="347">
        <v>0</v>
      </c>
      <c r="L109" s="467">
        <f t="shared" si="28"/>
        <v>1</v>
      </c>
      <c r="M109" s="467">
        <f t="shared" si="28"/>
        <v>1</v>
      </c>
      <c r="N109" s="619">
        <f t="shared" si="24"/>
        <v>0</v>
      </c>
      <c r="S109" s="515"/>
    </row>
    <row r="110" spans="1:19">
      <c r="A110" s="863">
        <f t="shared" si="20"/>
        <v>96</v>
      </c>
      <c r="B110" s="709">
        <v>39908</v>
      </c>
      <c r="C110" s="88" t="s">
        <v>1581</v>
      </c>
      <c r="D110" s="347">
        <v>123660.23916099998</v>
      </c>
      <c r="E110" s="619">
        <v>0</v>
      </c>
      <c r="F110" s="619">
        <f t="shared" si="19"/>
        <v>123660.23916099998</v>
      </c>
      <c r="G110" s="467">
        <f t="shared" si="27"/>
        <v>1</v>
      </c>
      <c r="H110" s="467">
        <f t="shared" si="27"/>
        <v>1</v>
      </c>
      <c r="I110" s="619">
        <f t="shared" si="22"/>
        <v>123660.23916099998</v>
      </c>
      <c r="K110" s="347">
        <v>123343.37611634612</v>
      </c>
      <c r="L110" s="467">
        <f t="shared" si="28"/>
        <v>1</v>
      </c>
      <c r="M110" s="467">
        <f t="shared" si="28"/>
        <v>1</v>
      </c>
      <c r="N110" s="619">
        <f t="shared" si="24"/>
        <v>123343.37611634612</v>
      </c>
      <c r="S110" s="515"/>
    </row>
    <row r="111" spans="1:19" ht="15" customHeight="1">
      <c r="A111" s="863">
        <f t="shared" si="20"/>
        <v>97</v>
      </c>
      <c r="B111" s="709"/>
      <c r="C111" s="88" t="s">
        <v>1153</v>
      </c>
      <c r="D111" s="347">
        <v>-3312254.5999999982</v>
      </c>
      <c r="E111" s="619">
        <v>0</v>
      </c>
      <c r="F111" s="619">
        <f>D111-E111</f>
        <v>-3312254.5999999982</v>
      </c>
      <c r="G111" s="467">
        <f t="shared" si="27"/>
        <v>1</v>
      </c>
      <c r="H111" s="467">
        <f t="shared" si="27"/>
        <v>1</v>
      </c>
      <c r="I111" s="619">
        <f>F111*G111*H111</f>
        <v>-3312254.5999999982</v>
      </c>
      <c r="K111" s="347">
        <v>-3312254.5999999987</v>
      </c>
      <c r="L111" s="467">
        <f t="shared" si="28"/>
        <v>1</v>
      </c>
      <c r="M111" s="467">
        <f t="shared" si="28"/>
        <v>1</v>
      </c>
      <c r="N111" s="619">
        <f>K111*L111*M111</f>
        <v>-3312254.5999999987</v>
      </c>
    </row>
    <row r="112" spans="1:19" ht="15" customHeight="1">
      <c r="A112" s="863"/>
      <c r="B112" s="709"/>
      <c r="C112" s="88" t="s">
        <v>1429</v>
      </c>
      <c r="D112" s="347">
        <v>0</v>
      </c>
      <c r="E112" s="619">
        <v>0</v>
      </c>
      <c r="F112" s="619">
        <f>D112-E112</f>
        <v>0</v>
      </c>
      <c r="G112" s="467">
        <f t="shared" si="27"/>
        <v>1</v>
      </c>
      <c r="H112" s="467">
        <f t="shared" si="27"/>
        <v>1</v>
      </c>
      <c r="I112" s="619">
        <f>F112*G112*H112</f>
        <v>0</v>
      </c>
      <c r="K112" s="347">
        <v>0</v>
      </c>
      <c r="L112" s="467">
        <f t="shared" si="28"/>
        <v>1</v>
      </c>
      <c r="M112" s="467">
        <f t="shared" si="28"/>
        <v>1</v>
      </c>
      <c r="N112" s="619">
        <f t="shared" ref="N112:N113" si="29">K112*L112*M112</f>
        <v>0</v>
      </c>
    </row>
    <row r="113" spans="1:19">
      <c r="A113" s="863">
        <f>A111+1</f>
        <v>98</v>
      </c>
      <c r="B113" s="709"/>
      <c r="C113" s="88" t="s">
        <v>1277</v>
      </c>
      <c r="D113" s="347">
        <v>0</v>
      </c>
      <c r="E113" s="619">
        <v>0</v>
      </c>
      <c r="F113" s="619">
        <f t="shared" ref="F113" si="30">D113-E113</f>
        <v>0</v>
      </c>
      <c r="G113" s="467">
        <f t="shared" si="27"/>
        <v>1</v>
      </c>
      <c r="H113" s="467">
        <f t="shared" si="27"/>
        <v>1</v>
      </c>
      <c r="I113" s="619">
        <f t="shared" ref="I113" si="31">F113*G113*H113</f>
        <v>0</v>
      </c>
      <c r="K113" s="347">
        <v>0</v>
      </c>
      <c r="L113" s="467">
        <f t="shared" si="28"/>
        <v>1</v>
      </c>
      <c r="M113" s="467">
        <f t="shared" si="28"/>
        <v>1</v>
      </c>
      <c r="N113" s="619">
        <f t="shared" si="29"/>
        <v>0</v>
      </c>
      <c r="S113" s="515"/>
    </row>
    <row r="114" spans="1:19" ht="15" customHeight="1">
      <c r="A114" s="863">
        <f t="shared" si="20"/>
        <v>99</v>
      </c>
      <c r="B114" s="709"/>
      <c r="C114" s="88"/>
      <c r="D114" s="1072"/>
      <c r="E114" s="1072"/>
      <c r="F114" s="1072"/>
      <c r="I114" s="1072"/>
      <c r="K114" s="1072"/>
      <c r="N114" s="1072"/>
    </row>
    <row r="115" spans="1:19">
      <c r="A115" s="863">
        <f t="shared" si="20"/>
        <v>100</v>
      </c>
      <c r="B115" s="709"/>
      <c r="C115" s="88" t="s">
        <v>1402</v>
      </c>
      <c r="D115" s="361">
        <f>SUM(D86:D114)</f>
        <v>5519438.5042382702</v>
      </c>
      <c r="E115" s="361">
        <f>SUM(E86:E114)</f>
        <v>0</v>
      </c>
      <c r="F115" s="361">
        <f>SUM(F86:F114)</f>
        <v>5519438.5042382702</v>
      </c>
      <c r="I115" s="361">
        <f>SUM(I86:I114)</f>
        <v>5519438.5042382702</v>
      </c>
      <c r="K115" s="361">
        <f>SUM(K86:K114)</f>
        <v>4795362.0439442853</v>
      </c>
      <c r="N115" s="361">
        <f>SUM(N86:N114)</f>
        <v>4795362.0439442853</v>
      </c>
    </row>
    <row r="116" spans="1:19">
      <c r="A116" s="863">
        <f t="shared" si="20"/>
        <v>101</v>
      </c>
      <c r="B116" s="709"/>
      <c r="C116" s="88"/>
      <c r="D116" s="619"/>
      <c r="E116" s="619"/>
      <c r="F116" s="619"/>
      <c r="I116" s="619"/>
      <c r="K116" s="619"/>
      <c r="N116" s="619"/>
    </row>
    <row r="117" spans="1:19">
      <c r="A117" s="863">
        <f t="shared" si="20"/>
        <v>102</v>
      </c>
      <c r="B117" s="391"/>
      <c r="C117" s="234" t="s">
        <v>1343</v>
      </c>
      <c r="D117" s="361">
        <f>D115+D83+D59+D47+D26+D19</f>
        <v>190998869.75347689</v>
      </c>
      <c r="E117" s="361">
        <f>E115+E83+E59+E47+E26+E19</f>
        <v>0</v>
      </c>
      <c r="F117" s="361">
        <f>F115+F83+F59+F47+F26+F19</f>
        <v>190998869.75347689</v>
      </c>
      <c r="I117" s="361">
        <f>I115+I83+I59+I47+I26+I19</f>
        <v>190998869.75347689</v>
      </c>
      <c r="K117" s="361">
        <f>K115+K83+K59+K47+K26+K19</f>
        <v>183186229.3577978</v>
      </c>
      <c r="N117" s="361">
        <f>N115+N83+N59+N47+N26+N19</f>
        <v>183186229.3577978</v>
      </c>
      <c r="R117" s="673"/>
      <c r="S117" s="673"/>
    </row>
    <row r="118" spans="1:19">
      <c r="A118" s="863">
        <f t="shared" si="20"/>
        <v>103</v>
      </c>
      <c r="B118" s="391"/>
      <c r="C118" s="88"/>
      <c r="D118" s="619"/>
    </row>
    <row r="119" spans="1:19">
      <c r="A119" s="863">
        <f t="shared" si="20"/>
        <v>104</v>
      </c>
      <c r="B119" s="391"/>
      <c r="C119" s="81"/>
      <c r="D119" s="619"/>
    </row>
    <row r="120" spans="1:19">
      <c r="A120" s="863">
        <f t="shared" si="20"/>
        <v>105</v>
      </c>
      <c r="B120" s="1050"/>
      <c r="D120" s="619"/>
      <c r="G120" s="80"/>
      <c r="H120" s="80"/>
    </row>
    <row r="121" spans="1:19" ht="15.75">
      <c r="A121" s="863">
        <f t="shared" si="20"/>
        <v>106</v>
      </c>
      <c r="B121" s="1055" t="s">
        <v>7</v>
      </c>
      <c r="D121" s="619"/>
      <c r="G121" s="80"/>
      <c r="H121" s="80"/>
    </row>
    <row r="122" spans="1:19">
      <c r="A122" s="863">
        <f t="shared" si="20"/>
        <v>107</v>
      </c>
      <c r="B122" s="1050"/>
      <c r="D122" s="619"/>
      <c r="G122" s="80"/>
      <c r="H122" s="80"/>
    </row>
    <row r="123" spans="1:19">
      <c r="A123" s="863">
        <f t="shared" si="20"/>
        <v>108</v>
      </c>
      <c r="B123" s="391"/>
      <c r="C123" s="622" t="s">
        <v>301</v>
      </c>
      <c r="D123" s="619"/>
    </row>
    <row r="124" spans="1:19">
      <c r="A124" s="863">
        <f t="shared" si="20"/>
        <v>109</v>
      </c>
      <c r="B124" s="515">
        <v>30100</v>
      </c>
      <c r="C124" s="88" t="s">
        <v>295</v>
      </c>
      <c r="D124" s="347">
        <v>0</v>
      </c>
      <c r="E124" s="347">
        <v>0</v>
      </c>
      <c r="F124" s="347">
        <f>D124+E124</f>
        <v>0</v>
      </c>
      <c r="G124" s="467">
        <f>$G$16</f>
        <v>1</v>
      </c>
      <c r="H124" s="468">
        <f>Allocation!$D$17</f>
        <v>0.49440000000000001</v>
      </c>
      <c r="I124" s="347">
        <f>F124*G124*H124</f>
        <v>0</v>
      </c>
      <c r="K124" s="347">
        <v>0</v>
      </c>
      <c r="L124" s="467">
        <f t="shared" ref="L124:M125" si="32">G124</f>
        <v>1</v>
      </c>
      <c r="M124" s="468">
        <f t="shared" si="32"/>
        <v>0.49440000000000001</v>
      </c>
      <c r="N124" s="347">
        <f>K124*L124*M124</f>
        <v>0</v>
      </c>
    </row>
    <row r="125" spans="1:19">
      <c r="A125" s="863">
        <f t="shared" si="20"/>
        <v>110</v>
      </c>
      <c r="B125" s="515">
        <v>30300</v>
      </c>
      <c r="C125" s="88" t="s">
        <v>548</v>
      </c>
      <c r="D125" s="347">
        <v>0</v>
      </c>
      <c r="E125" s="1054">
        <v>0</v>
      </c>
      <c r="F125" s="1054">
        <f>D125+E125</f>
        <v>0</v>
      </c>
      <c r="G125" s="467">
        <f>$G$16</f>
        <v>1</v>
      </c>
      <c r="H125" s="468">
        <f>$H$124</f>
        <v>0.49440000000000001</v>
      </c>
      <c r="I125" s="1054">
        <f>F125*G125*H125</f>
        <v>0</v>
      </c>
      <c r="K125" s="347">
        <v>0</v>
      </c>
      <c r="L125" s="467">
        <f t="shared" si="32"/>
        <v>1</v>
      </c>
      <c r="M125" s="468">
        <f t="shared" si="32"/>
        <v>0.49440000000000001</v>
      </c>
      <c r="N125" s="1054">
        <f>K125*L125*M125</f>
        <v>0</v>
      </c>
    </row>
    <row r="126" spans="1:19">
      <c r="A126" s="863">
        <f t="shared" si="20"/>
        <v>111</v>
      </c>
      <c r="B126" s="515"/>
      <c r="C126" s="88"/>
      <c r="D126" s="621"/>
      <c r="E126" s="621"/>
      <c r="F126" s="621"/>
    </row>
    <row r="127" spans="1:19">
      <c r="A127" s="863">
        <f t="shared" si="20"/>
        <v>112</v>
      </c>
      <c r="B127" s="709"/>
      <c r="C127" s="88" t="s">
        <v>302</v>
      </c>
      <c r="D127" s="347">
        <f>SUM(D124:D126)</f>
        <v>0</v>
      </c>
      <c r="E127" s="347">
        <f>SUM(E124:E126)</f>
        <v>0</v>
      </c>
      <c r="F127" s="347">
        <f>SUM(F124:F126)</f>
        <v>0</v>
      </c>
      <c r="G127" s="467"/>
      <c r="H127" s="467"/>
      <c r="I127" s="347">
        <f>SUM(I124:I126)</f>
        <v>0</v>
      </c>
      <c r="K127" s="347">
        <f>SUM(K124:K126)</f>
        <v>0</v>
      </c>
      <c r="N127" s="347">
        <f>SUM(N124:N126)</f>
        <v>0</v>
      </c>
    </row>
    <row r="128" spans="1:19">
      <c r="A128" s="863">
        <f t="shared" si="20"/>
        <v>113</v>
      </c>
      <c r="B128" s="1070"/>
    </row>
    <row r="129" spans="1:14">
      <c r="A129" s="863">
        <f t="shared" si="20"/>
        <v>114</v>
      </c>
      <c r="B129" s="709"/>
      <c r="C129" s="622" t="s">
        <v>303</v>
      </c>
    </row>
    <row r="130" spans="1:14">
      <c r="A130" s="863">
        <f t="shared" si="20"/>
        <v>115</v>
      </c>
      <c r="B130" s="515">
        <v>37400</v>
      </c>
      <c r="C130" s="88" t="s">
        <v>1157</v>
      </c>
      <c r="D130" s="347">
        <v>0</v>
      </c>
      <c r="E130" s="347">
        <v>0</v>
      </c>
      <c r="F130" s="347">
        <f t="shared" ref="F130:F150" si="33">D130+E130</f>
        <v>0</v>
      </c>
      <c r="G130" s="467">
        <f t="shared" ref="G130:G150" si="34">$G$16</f>
        <v>1</v>
      </c>
      <c r="H130" s="468">
        <f t="shared" ref="H130:H150" si="35">$H$124</f>
        <v>0.49440000000000001</v>
      </c>
      <c r="I130" s="347">
        <f t="shared" ref="I130:I150" si="36">F130*G130*H130</f>
        <v>0</v>
      </c>
      <c r="K130" s="347">
        <v>0</v>
      </c>
      <c r="L130" s="467">
        <f t="shared" ref="L130:M150" si="37">G130</f>
        <v>1</v>
      </c>
      <c r="M130" s="468">
        <f t="shared" si="37"/>
        <v>0.49440000000000001</v>
      </c>
      <c r="N130" s="347">
        <f t="shared" ref="N130:N150" si="38">K130*L130*M130</f>
        <v>0</v>
      </c>
    </row>
    <row r="131" spans="1:14">
      <c r="A131" s="863">
        <f t="shared" si="20"/>
        <v>116</v>
      </c>
      <c r="B131" s="515">
        <v>35010</v>
      </c>
      <c r="C131" s="88" t="s">
        <v>296</v>
      </c>
      <c r="D131" s="431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0.49440000000000001</v>
      </c>
      <c r="I131" s="431">
        <f t="shared" si="36"/>
        <v>0</v>
      </c>
      <c r="K131" s="431">
        <v>0</v>
      </c>
      <c r="L131" s="467">
        <f t="shared" si="37"/>
        <v>1</v>
      </c>
      <c r="M131" s="468">
        <f t="shared" si="37"/>
        <v>0.49440000000000001</v>
      </c>
      <c r="N131" s="431">
        <f t="shared" si="38"/>
        <v>0</v>
      </c>
    </row>
    <row r="132" spans="1:14">
      <c r="A132" s="863">
        <f t="shared" si="20"/>
        <v>117</v>
      </c>
      <c r="B132" s="515">
        <v>37402</v>
      </c>
      <c r="C132" s="88" t="s">
        <v>1007</v>
      </c>
      <c r="D132" s="431">
        <v>0</v>
      </c>
      <c r="E132" s="431">
        <v>0</v>
      </c>
      <c r="F132" s="431">
        <f t="shared" si="33"/>
        <v>0</v>
      </c>
      <c r="G132" s="467">
        <f t="shared" si="34"/>
        <v>1</v>
      </c>
      <c r="H132" s="468">
        <f t="shared" si="35"/>
        <v>0.49440000000000001</v>
      </c>
      <c r="I132" s="431">
        <f t="shared" si="36"/>
        <v>0</v>
      </c>
      <c r="K132" s="431">
        <v>0</v>
      </c>
      <c r="L132" s="467">
        <f t="shared" si="37"/>
        <v>1</v>
      </c>
      <c r="M132" s="468">
        <f t="shared" si="37"/>
        <v>0.49440000000000001</v>
      </c>
      <c r="N132" s="431">
        <f t="shared" si="38"/>
        <v>0</v>
      </c>
    </row>
    <row r="133" spans="1:14">
      <c r="A133" s="863">
        <f t="shared" si="20"/>
        <v>118</v>
      </c>
      <c r="B133" s="515">
        <v>37403</v>
      </c>
      <c r="C133" s="88" t="s">
        <v>1004</v>
      </c>
      <c r="D133" s="431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0.49440000000000001</v>
      </c>
      <c r="I133" s="431">
        <f t="shared" si="36"/>
        <v>0</v>
      </c>
      <c r="K133" s="431">
        <v>0</v>
      </c>
      <c r="L133" s="467">
        <f t="shared" si="37"/>
        <v>1</v>
      </c>
      <c r="M133" s="468">
        <f t="shared" si="37"/>
        <v>0.49440000000000001</v>
      </c>
      <c r="N133" s="431">
        <f t="shared" si="38"/>
        <v>0</v>
      </c>
    </row>
    <row r="134" spans="1:14">
      <c r="A134" s="863">
        <f t="shared" si="20"/>
        <v>119</v>
      </c>
      <c r="B134" s="515">
        <v>36602</v>
      </c>
      <c r="C134" s="88" t="s">
        <v>863</v>
      </c>
      <c r="D134" s="431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0.49440000000000001</v>
      </c>
      <c r="I134" s="431">
        <f t="shared" si="36"/>
        <v>0</v>
      </c>
      <c r="K134" s="431">
        <v>0</v>
      </c>
      <c r="L134" s="467">
        <f t="shared" si="37"/>
        <v>1</v>
      </c>
      <c r="M134" s="468">
        <f t="shared" si="37"/>
        <v>0.49440000000000001</v>
      </c>
      <c r="N134" s="431">
        <f t="shared" si="38"/>
        <v>0</v>
      </c>
    </row>
    <row r="135" spans="1:14">
      <c r="A135" s="863">
        <f t="shared" si="20"/>
        <v>120</v>
      </c>
      <c r="B135" s="515">
        <v>37501</v>
      </c>
      <c r="C135" s="88" t="s">
        <v>1005</v>
      </c>
      <c r="D135" s="431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0.49440000000000001</v>
      </c>
      <c r="I135" s="431">
        <f t="shared" si="36"/>
        <v>0</v>
      </c>
      <c r="K135" s="431">
        <v>0</v>
      </c>
      <c r="L135" s="467">
        <f t="shared" si="37"/>
        <v>1</v>
      </c>
      <c r="M135" s="468">
        <f t="shared" si="37"/>
        <v>0.49440000000000001</v>
      </c>
      <c r="N135" s="431">
        <f t="shared" si="38"/>
        <v>0</v>
      </c>
    </row>
    <row r="136" spans="1:14">
      <c r="A136" s="863">
        <f t="shared" si="20"/>
        <v>121</v>
      </c>
      <c r="B136" s="515">
        <v>37402</v>
      </c>
      <c r="C136" s="88" t="s">
        <v>1007</v>
      </c>
      <c r="D136" s="431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0.49440000000000001</v>
      </c>
      <c r="I136" s="431">
        <f t="shared" si="36"/>
        <v>0</v>
      </c>
      <c r="K136" s="431">
        <v>0</v>
      </c>
      <c r="L136" s="467">
        <f t="shared" si="37"/>
        <v>1</v>
      </c>
      <c r="M136" s="468">
        <f t="shared" si="37"/>
        <v>0.49440000000000001</v>
      </c>
      <c r="N136" s="431">
        <f t="shared" si="38"/>
        <v>0</v>
      </c>
    </row>
    <row r="137" spans="1:14">
      <c r="A137" s="863">
        <f t="shared" si="20"/>
        <v>122</v>
      </c>
      <c r="B137" s="515">
        <v>37503</v>
      </c>
      <c r="C137" s="88" t="s">
        <v>1006</v>
      </c>
      <c r="D137" s="431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0.49440000000000001</v>
      </c>
      <c r="I137" s="431">
        <f t="shared" si="36"/>
        <v>0</v>
      </c>
      <c r="K137" s="431">
        <v>0</v>
      </c>
      <c r="L137" s="467">
        <f t="shared" si="37"/>
        <v>1</v>
      </c>
      <c r="M137" s="468">
        <f t="shared" si="37"/>
        <v>0.49440000000000001</v>
      </c>
      <c r="N137" s="431">
        <f t="shared" si="38"/>
        <v>0</v>
      </c>
    </row>
    <row r="138" spans="1:14">
      <c r="A138" s="863">
        <f t="shared" si="20"/>
        <v>123</v>
      </c>
      <c r="B138" s="515">
        <v>36700</v>
      </c>
      <c r="C138" s="88" t="s">
        <v>851</v>
      </c>
      <c r="D138" s="431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0.49440000000000001</v>
      </c>
      <c r="I138" s="431">
        <f t="shared" si="36"/>
        <v>0</v>
      </c>
      <c r="K138" s="431">
        <v>0</v>
      </c>
      <c r="L138" s="467">
        <f t="shared" si="37"/>
        <v>1</v>
      </c>
      <c r="M138" s="468">
        <f t="shared" si="37"/>
        <v>0.49440000000000001</v>
      </c>
      <c r="N138" s="431">
        <f t="shared" si="38"/>
        <v>0</v>
      </c>
    </row>
    <row r="139" spans="1:14">
      <c r="A139" s="863">
        <f t="shared" si="20"/>
        <v>124</v>
      </c>
      <c r="B139" s="515">
        <v>36701</v>
      </c>
      <c r="C139" s="88" t="s">
        <v>16</v>
      </c>
      <c r="D139" s="431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0.49440000000000001</v>
      </c>
      <c r="I139" s="431">
        <f t="shared" si="36"/>
        <v>0</v>
      </c>
      <c r="K139" s="431">
        <v>0</v>
      </c>
      <c r="L139" s="467">
        <f t="shared" si="37"/>
        <v>1</v>
      </c>
      <c r="M139" s="468">
        <f t="shared" si="37"/>
        <v>0.49440000000000001</v>
      </c>
      <c r="N139" s="431">
        <f t="shared" si="38"/>
        <v>0</v>
      </c>
    </row>
    <row r="140" spans="1:14">
      <c r="A140" s="863">
        <f t="shared" si="20"/>
        <v>125</v>
      </c>
      <c r="B140" s="515">
        <v>37602</v>
      </c>
      <c r="C140" s="88" t="s">
        <v>852</v>
      </c>
      <c r="D140" s="431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0.49440000000000001</v>
      </c>
      <c r="I140" s="431">
        <f t="shared" si="36"/>
        <v>0</v>
      </c>
      <c r="K140" s="431">
        <v>0</v>
      </c>
      <c r="L140" s="467">
        <f t="shared" si="37"/>
        <v>1</v>
      </c>
      <c r="M140" s="468">
        <f t="shared" si="37"/>
        <v>0.49440000000000001</v>
      </c>
      <c r="N140" s="431">
        <f t="shared" si="38"/>
        <v>0</v>
      </c>
    </row>
    <row r="141" spans="1:14">
      <c r="A141" s="863">
        <f t="shared" si="20"/>
        <v>126</v>
      </c>
      <c r="B141" s="515">
        <v>37800</v>
      </c>
      <c r="C141" s="88" t="s">
        <v>230</v>
      </c>
      <c r="D141" s="431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0.49440000000000001</v>
      </c>
      <c r="I141" s="431">
        <f t="shared" si="36"/>
        <v>0</v>
      </c>
      <c r="K141" s="431">
        <v>0</v>
      </c>
      <c r="L141" s="467">
        <f t="shared" si="37"/>
        <v>1</v>
      </c>
      <c r="M141" s="468">
        <f t="shared" si="37"/>
        <v>0.49440000000000001</v>
      </c>
      <c r="N141" s="431">
        <f t="shared" si="38"/>
        <v>0</v>
      </c>
    </row>
    <row r="142" spans="1:14">
      <c r="A142" s="863">
        <f t="shared" si="20"/>
        <v>127</v>
      </c>
      <c r="B142" s="515">
        <v>37900</v>
      </c>
      <c r="C142" s="88" t="s">
        <v>1200</v>
      </c>
      <c r="D142" s="431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0.49440000000000001</v>
      </c>
      <c r="I142" s="431">
        <f t="shared" si="36"/>
        <v>0</v>
      </c>
      <c r="K142" s="431">
        <v>0</v>
      </c>
      <c r="L142" s="467">
        <f t="shared" si="37"/>
        <v>1</v>
      </c>
      <c r="M142" s="468">
        <f t="shared" si="37"/>
        <v>0.49440000000000001</v>
      </c>
      <c r="N142" s="431">
        <f t="shared" si="38"/>
        <v>0</v>
      </c>
    </row>
    <row r="143" spans="1:14">
      <c r="A143" s="863">
        <f t="shared" si="20"/>
        <v>128</v>
      </c>
      <c r="B143" s="515">
        <v>37905</v>
      </c>
      <c r="C143" s="88" t="s">
        <v>732</v>
      </c>
      <c r="D143" s="431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0.49440000000000001</v>
      </c>
      <c r="I143" s="431">
        <f t="shared" si="36"/>
        <v>0</v>
      </c>
      <c r="K143" s="431">
        <v>0</v>
      </c>
      <c r="L143" s="467">
        <f t="shared" si="37"/>
        <v>1</v>
      </c>
      <c r="M143" s="468">
        <f t="shared" si="37"/>
        <v>0.49440000000000001</v>
      </c>
      <c r="N143" s="431">
        <f t="shared" si="38"/>
        <v>0</v>
      </c>
    </row>
    <row r="144" spans="1:14">
      <c r="A144" s="863">
        <f t="shared" si="20"/>
        <v>129</v>
      </c>
      <c r="B144" s="515">
        <v>38000</v>
      </c>
      <c r="C144" s="88" t="s">
        <v>1061</v>
      </c>
      <c r="D144" s="431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0.49440000000000001</v>
      </c>
      <c r="I144" s="431">
        <f t="shared" si="36"/>
        <v>0</v>
      </c>
      <c r="K144" s="431">
        <v>0</v>
      </c>
      <c r="L144" s="467">
        <f t="shared" si="37"/>
        <v>1</v>
      </c>
      <c r="M144" s="468">
        <f t="shared" si="37"/>
        <v>0.49440000000000001</v>
      </c>
      <c r="N144" s="431">
        <f t="shared" si="38"/>
        <v>0</v>
      </c>
    </row>
    <row r="145" spans="1:20">
      <c r="A145" s="863">
        <f t="shared" si="20"/>
        <v>130</v>
      </c>
      <c r="B145" s="515">
        <v>38100</v>
      </c>
      <c r="C145" s="88" t="s">
        <v>853</v>
      </c>
      <c r="D145" s="431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0.49440000000000001</v>
      </c>
      <c r="I145" s="431">
        <f t="shared" si="36"/>
        <v>0</v>
      </c>
      <c r="K145" s="431">
        <v>0</v>
      </c>
      <c r="L145" s="467">
        <f t="shared" si="37"/>
        <v>1</v>
      </c>
      <c r="M145" s="468">
        <f t="shared" si="37"/>
        <v>0.49440000000000001</v>
      </c>
      <c r="N145" s="431">
        <f t="shared" si="38"/>
        <v>0</v>
      </c>
    </row>
    <row r="146" spans="1:20">
      <c r="A146" s="863">
        <f t="shared" si="20"/>
        <v>131</v>
      </c>
      <c r="B146" s="515">
        <v>38200</v>
      </c>
      <c r="C146" s="88" t="s">
        <v>447</v>
      </c>
      <c r="D146" s="431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0.49440000000000001</v>
      </c>
      <c r="I146" s="431">
        <f t="shared" si="36"/>
        <v>0</v>
      </c>
      <c r="K146" s="431">
        <v>0</v>
      </c>
      <c r="L146" s="467">
        <f t="shared" si="37"/>
        <v>1</v>
      </c>
      <c r="M146" s="468">
        <f t="shared" si="37"/>
        <v>0.49440000000000001</v>
      </c>
      <c r="N146" s="431">
        <f t="shared" si="38"/>
        <v>0</v>
      </c>
    </row>
    <row r="147" spans="1:20">
      <c r="A147" s="863">
        <f t="shared" si="20"/>
        <v>132</v>
      </c>
      <c r="B147" s="515">
        <v>38300</v>
      </c>
      <c r="C147" s="88" t="s">
        <v>1062</v>
      </c>
      <c r="D147" s="431">
        <v>0</v>
      </c>
      <c r="E147" s="431">
        <v>0</v>
      </c>
      <c r="F147" s="431">
        <f t="shared" si="33"/>
        <v>0</v>
      </c>
      <c r="G147" s="467">
        <f t="shared" si="34"/>
        <v>1</v>
      </c>
      <c r="H147" s="468">
        <f t="shared" si="35"/>
        <v>0.49440000000000001</v>
      </c>
      <c r="I147" s="431">
        <f t="shared" si="36"/>
        <v>0</v>
      </c>
      <c r="K147" s="431">
        <v>0</v>
      </c>
      <c r="L147" s="467">
        <f t="shared" si="37"/>
        <v>1</v>
      </c>
      <c r="M147" s="468">
        <f t="shared" si="37"/>
        <v>0.49440000000000001</v>
      </c>
      <c r="N147" s="431">
        <f t="shared" si="38"/>
        <v>0</v>
      </c>
    </row>
    <row r="148" spans="1:20">
      <c r="A148" s="863">
        <f t="shared" si="20"/>
        <v>133</v>
      </c>
      <c r="B148" s="515">
        <v>38400</v>
      </c>
      <c r="C148" s="88" t="s">
        <v>448</v>
      </c>
      <c r="D148" s="431">
        <v>0</v>
      </c>
      <c r="E148" s="431">
        <v>0</v>
      </c>
      <c r="F148" s="431">
        <f t="shared" si="33"/>
        <v>0</v>
      </c>
      <c r="G148" s="467">
        <f t="shared" si="34"/>
        <v>1</v>
      </c>
      <c r="H148" s="468">
        <f t="shared" si="35"/>
        <v>0.49440000000000001</v>
      </c>
      <c r="I148" s="431">
        <f t="shared" si="36"/>
        <v>0</v>
      </c>
      <c r="K148" s="431">
        <v>0</v>
      </c>
      <c r="L148" s="467">
        <f t="shared" si="37"/>
        <v>1</v>
      </c>
      <c r="M148" s="468">
        <f t="shared" si="37"/>
        <v>0.49440000000000001</v>
      </c>
      <c r="N148" s="431">
        <f t="shared" si="38"/>
        <v>0</v>
      </c>
    </row>
    <row r="149" spans="1:20">
      <c r="A149" s="863">
        <f t="shared" si="20"/>
        <v>134</v>
      </c>
      <c r="B149" s="515">
        <v>38500</v>
      </c>
      <c r="C149" s="88" t="s">
        <v>449</v>
      </c>
      <c r="D149" s="431">
        <v>0</v>
      </c>
      <c r="E149" s="431">
        <v>0</v>
      </c>
      <c r="F149" s="431">
        <f t="shared" si="33"/>
        <v>0</v>
      </c>
      <c r="G149" s="467">
        <f t="shared" si="34"/>
        <v>1</v>
      </c>
      <c r="H149" s="468">
        <f t="shared" si="35"/>
        <v>0.49440000000000001</v>
      </c>
      <c r="I149" s="431">
        <f t="shared" si="36"/>
        <v>0</v>
      </c>
      <c r="K149" s="431">
        <v>0</v>
      </c>
      <c r="L149" s="467">
        <f t="shared" si="37"/>
        <v>1</v>
      </c>
      <c r="M149" s="468">
        <f t="shared" si="37"/>
        <v>0.49440000000000001</v>
      </c>
      <c r="N149" s="431">
        <f t="shared" si="38"/>
        <v>0</v>
      </c>
    </row>
    <row r="150" spans="1:20">
      <c r="A150" s="863">
        <f t="shared" si="20"/>
        <v>135</v>
      </c>
      <c r="B150" s="515">
        <v>38600</v>
      </c>
      <c r="C150" s="88" t="s">
        <v>107</v>
      </c>
      <c r="D150" s="1054">
        <v>0</v>
      </c>
      <c r="E150" s="1054">
        <v>0</v>
      </c>
      <c r="F150" s="1054">
        <f t="shared" si="33"/>
        <v>0</v>
      </c>
      <c r="G150" s="467">
        <f t="shared" si="34"/>
        <v>1</v>
      </c>
      <c r="H150" s="468">
        <f t="shared" si="35"/>
        <v>0.49440000000000001</v>
      </c>
      <c r="I150" s="1054">
        <f t="shared" si="36"/>
        <v>0</v>
      </c>
      <c r="K150" s="1054">
        <v>0</v>
      </c>
      <c r="L150" s="467">
        <f t="shared" si="37"/>
        <v>1</v>
      </c>
      <c r="M150" s="468">
        <f t="shared" si="37"/>
        <v>0.49440000000000001</v>
      </c>
      <c r="N150" s="1054">
        <f t="shared" si="38"/>
        <v>0</v>
      </c>
    </row>
    <row r="151" spans="1:20" ht="15" customHeight="1">
      <c r="A151" s="863">
        <f t="shared" ref="A151:A233" si="39">A150+1</f>
        <v>136</v>
      </c>
      <c r="B151" s="515"/>
      <c r="C151" s="88"/>
      <c r="D151" s="621"/>
      <c r="E151" s="621"/>
      <c r="F151" s="621"/>
      <c r="M151" s="468"/>
    </row>
    <row r="152" spans="1:20" ht="15" customHeight="1">
      <c r="A152" s="863">
        <f t="shared" si="39"/>
        <v>137</v>
      </c>
      <c r="B152" s="515"/>
      <c r="C152" s="88" t="s">
        <v>304</v>
      </c>
      <c r="D152" s="347">
        <f>SUM(D130:D151)</f>
        <v>0</v>
      </c>
      <c r="E152" s="347">
        <f>SUM(E130:E151)</f>
        <v>0</v>
      </c>
      <c r="F152" s="347">
        <f>SUM(F130:F151)</f>
        <v>0</v>
      </c>
      <c r="I152" s="347">
        <f>SUM(I130:I151)</f>
        <v>0</v>
      </c>
      <c r="K152" s="347">
        <f>SUM(K130:K151)</f>
        <v>0</v>
      </c>
      <c r="M152" s="468"/>
      <c r="N152" s="347">
        <f>SUM(N130:N151)</f>
        <v>0</v>
      </c>
    </row>
    <row r="153" spans="1:20">
      <c r="A153" s="863">
        <f t="shared" si="39"/>
        <v>138</v>
      </c>
      <c r="B153" s="515"/>
      <c r="C153" s="88"/>
      <c r="M153" s="468"/>
    </row>
    <row r="154" spans="1:20">
      <c r="A154" s="863">
        <f t="shared" si="39"/>
        <v>139</v>
      </c>
      <c r="B154" s="709"/>
      <c r="C154" s="622" t="s">
        <v>305</v>
      </c>
      <c r="M154" s="468"/>
    </row>
    <row r="155" spans="1:20">
      <c r="A155" s="863">
        <f t="shared" si="39"/>
        <v>140</v>
      </c>
      <c r="B155" s="515">
        <v>39001</v>
      </c>
      <c r="C155" s="88" t="s">
        <v>1582</v>
      </c>
      <c r="D155" s="347">
        <v>103370.44658800002</v>
      </c>
      <c r="E155" s="347">
        <v>0</v>
      </c>
      <c r="F155" s="347">
        <f t="shared" ref="F155:F175" si="40">D155+E155</f>
        <v>103370.44658800002</v>
      </c>
      <c r="G155" s="468">
        <f t="shared" ref="G155:G176" si="41">$G$16</f>
        <v>1</v>
      </c>
      <c r="H155" s="468">
        <f t="shared" ref="H155:H176" si="42">$H$124</f>
        <v>0.49440000000000001</v>
      </c>
      <c r="I155" s="347">
        <f t="shared" ref="I155:I176" si="43">F155*G155*H155</f>
        <v>51106.348793107209</v>
      </c>
      <c r="K155" s="347">
        <v>100967.31042000002</v>
      </c>
      <c r="L155" s="468">
        <f t="shared" ref="L155:M175" si="44">G155</f>
        <v>1</v>
      </c>
      <c r="M155" s="468">
        <f t="shared" si="44"/>
        <v>0.49440000000000001</v>
      </c>
      <c r="N155" s="347">
        <f t="shared" ref="N155:N176" si="45">K155*L155*M155</f>
        <v>49918.238271648013</v>
      </c>
      <c r="S155" s="468"/>
      <c r="T155" s="468"/>
    </row>
    <row r="156" spans="1:20">
      <c r="A156" s="863">
        <f t="shared" si="39"/>
        <v>141</v>
      </c>
      <c r="B156" s="515">
        <v>39004</v>
      </c>
      <c r="C156" s="88" t="s">
        <v>1566</v>
      </c>
      <c r="D156" s="347">
        <v>9660.5110552500009</v>
      </c>
      <c r="E156" s="431">
        <v>0</v>
      </c>
      <c r="F156" s="431">
        <f t="shared" si="40"/>
        <v>9660.5110552500009</v>
      </c>
      <c r="G156" s="467">
        <f t="shared" si="41"/>
        <v>1</v>
      </c>
      <c r="H156" s="468">
        <f t="shared" si="42"/>
        <v>0.49440000000000001</v>
      </c>
      <c r="I156" s="431">
        <f t="shared" si="43"/>
        <v>4776.1566657156009</v>
      </c>
      <c r="K156" s="347">
        <v>9096.690753750001</v>
      </c>
      <c r="L156" s="467">
        <f t="shared" si="44"/>
        <v>1</v>
      </c>
      <c r="M156" s="468">
        <f t="shared" si="44"/>
        <v>0.49440000000000001</v>
      </c>
      <c r="N156" s="431">
        <f t="shared" si="45"/>
        <v>4497.4039086540006</v>
      </c>
      <c r="S156" s="468"/>
      <c r="T156" s="468"/>
    </row>
    <row r="157" spans="1:20">
      <c r="A157" s="863">
        <f t="shared" si="39"/>
        <v>142</v>
      </c>
      <c r="B157" s="515">
        <v>39009</v>
      </c>
      <c r="C157" s="88" t="s">
        <v>1567</v>
      </c>
      <c r="D157" s="347">
        <v>38834</v>
      </c>
      <c r="E157" s="431">
        <v>0</v>
      </c>
      <c r="F157" s="431">
        <f t="shared" si="40"/>
        <v>38834</v>
      </c>
      <c r="G157" s="467">
        <f t="shared" si="41"/>
        <v>1</v>
      </c>
      <c r="H157" s="468">
        <f t="shared" si="42"/>
        <v>0.49440000000000001</v>
      </c>
      <c r="I157" s="431">
        <f t="shared" si="43"/>
        <v>19199.529600000002</v>
      </c>
      <c r="K157" s="347">
        <v>38834</v>
      </c>
      <c r="L157" s="467">
        <f t="shared" si="44"/>
        <v>1</v>
      </c>
      <c r="M157" s="468">
        <f t="shared" si="44"/>
        <v>0.49440000000000001</v>
      </c>
      <c r="N157" s="431">
        <f t="shared" si="45"/>
        <v>19199.529600000002</v>
      </c>
      <c r="S157" s="468"/>
      <c r="T157" s="468"/>
    </row>
    <row r="158" spans="1:20">
      <c r="A158" s="863">
        <f t="shared" si="39"/>
        <v>143</v>
      </c>
      <c r="B158" s="515">
        <v>39100</v>
      </c>
      <c r="C158" s="88" t="s">
        <v>1568</v>
      </c>
      <c r="D158" s="347">
        <v>41397.21</v>
      </c>
      <c r="E158" s="431">
        <v>0</v>
      </c>
      <c r="F158" s="431">
        <f t="shared" si="40"/>
        <v>41397.21</v>
      </c>
      <c r="G158" s="467">
        <f t="shared" si="41"/>
        <v>1</v>
      </c>
      <c r="H158" s="468">
        <f t="shared" si="42"/>
        <v>0.49440000000000001</v>
      </c>
      <c r="I158" s="431">
        <f t="shared" si="43"/>
        <v>20466.780623999999</v>
      </c>
      <c r="K158" s="347">
        <v>41397.210000000006</v>
      </c>
      <c r="L158" s="467">
        <f t="shared" si="44"/>
        <v>1</v>
      </c>
      <c r="M158" s="468">
        <f t="shared" si="44"/>
        <v>0.49440000000000001</v>
      </c>
      <c r="N158" s="431">
        <f t="shared" si="45"/>
        <v>20466.780624000003</v>
      </c>
      <c r="S158" s="468"/>
      <c r="T158" s="468"/>
    </row>
    <row r="159" spans="1:20">
      <c r="A159" s="863">
        <f t="shared" si="39"/>
        <v>144</v>
      </c>
      <c r="B159" s="515">
        <v>39101</v>
      </c>
      <c r="C159" s="88" t="s">
        <v>1538</v>
      </c>
      <c r="D159" s="347">
        <v>0</v>
      </c>
      <c r="E159" s="431">
        <v>0</v>
      </c>
      <c r="F159" s="431">
        <f t="shared" si="40"/>
        <v>0</v>
      </c>
      <c r="G159" s="467">
        <f t="shared" si="41"/>
        <v>1</v>
      </c>
      <c r="H159" s="468">
        <f t="shared" si="42"/>
        <v>0.49440000000000001</v>
      </c>
      <c r="I159" s="431">
        <f t="shared" si="43"/>
        <v>0</v>
      </c>
      <c r="K159" s="347">
        <v>0</v>
      </c>
      <c r="L159" s="467">
        <f t="shared" si="44"/>
        <v>1</v>
      </c>
      <c r="M159" s="468">
        <f t="shared" si="44"/>
        <v>0.49440000000000001</v>
      </c>
      <c r="N159" s="431">
        <f t="shared" si="45"/>
        <v>0</v>
      </c>
      <c r="S159" s="468"/>
      <c r="T159" s="468"/>
    </row>
    <row r="160" spans="1:20">
      <c r="A160" s="863">
        <f t="shared" si="39"/>
        <v>145</v>
      </c>
      <c r="B160" s="515">
        <v>39103</v>
      </c>
      <c r="C160" s="88" t="s">
        <v>787</v>
      </c>
      <c r="D160" s="347">
        <v>0</v>
      </c>
      <c r="E160" s="431"/>
      <c r="F160" s="431"/>
      <c r="G160" s="467">
        <f t="shared" si="41"/>
        <v>1</v>
      </c>
      <c r="H160" s="468">
        <f t="shared" si="42"/>
        <v>0.49440000000000001</v>
      </c>
      <c r="I160" s="431"/>
      <c r="K160" s="347">
        <v>0</v>
      </c>
      <c r="L160" s="467">
        <f t="shared" ref="L160:L165" si="46">G160</f>
        <v>1</v>
      </c>
      <c r="M160" s="468">
        <f t="shared" ref="M160:M165" si="47">H160</f>
        <v>0.49440000000000001</v>
      </c>
      <c r="N160" s="431"/>
      <c r="S160" s="468"/>
      <c r="T160" s="468"/>
    </row>
    <row r="161" spans="1:20">
      <c r="A161" s="863">
        <f t="shared" si="39"/>
        <v>146</v>
      </c>
      <c r="B161" s="515">
        <v>39200</v>
      </c>
      <c r="C161" s="88" t="s">
        <v>1583</v>
      </c>
      <c r="D161" s="347">
        <v>16989.165440250006</v>
      </c>
      <c r="E161" s="431"/>
      <c r="F161" s="431"/>
      <c r="G161" s="467">
        <f t="shared" si="41"/>
        <v>1</v>
      </c>
      <c r="H161" s="468">
        <f t="shared" si="42"/>
        <v>0.49440000000000001</v>
      </c>
      <c r="I161" s="431"/>
      <c r="K161" s="347">
        <v>16079.221028750006</v>
      </c>
      <c r="L161" s="467">
        <f t="shared" si="46"/>
        <v>1</v>
      </c>
      <c r="M161" s="468">
        <f t="shared" si="47"/>
        <v>0.49440000000000001</v>
      </c>
      <c r="N161" s="431"/>
      <c r="S161" s="468"/>
      <c r="T161" s="468"/>
    </row>
    <row r="162" spans="1:20">
      <c r="A162" s="863">
        <f t="shared" si="39"/>
        <v>147</v>
      </c>
      <c r="B162" s="515">
        <v>39300</v>
      </c>
      <c r="C162" s="88" t="s">
        <v>655</v>
      </c>
      <c r="D162" s="347">
        <v>0</v>
      </c>
      <c r="E162" s="431"/>
      <c r="F162" s="431"/>
      <c r="G162" s="467">
        <f t="shared" si="41"/>
        <v>1</v>
      </c>
      <c r="H162" s="468">
        <f t="shared" si="42"/>
        <v>0.49440000000000001</v>
      </c>
      <c r="I162" s="431"/>
      <c r="K162" s="347">
        <v>0</v>
      </c>
      <c r="L162" s="467">
        <f t="shared" si="46"/>
        <v>1</v>
      </c>
      <c r="M162" s="468">
        <f t="shared" si="47"/>
        <v>0.49440000000000001</v>
      </c>
      <c r="N162" s="431"/>
      <c r="S162" s="468"/>
      <c r="T162" s="468"/>
    </row>
    <row r="163" spans="1:20">
      <c r="A163" s="863">
        <f t="shared" si="39"/>
        <v>148</v>
      </c>
      <c r="B163" s="515">
        <v>39400</v>
      </c>
      <c r="C163" s="88" t="s">
        <v>1571</v>
      </c>
      <c r="D163" s="347">
        <v>139631.05634934071</v>
      </c>
      <c r="E163" s="431"/>
      <c r="F163" s="431"/>
      <c r="G163" s="467">
        <f t="shared" si="41"/>
        <v>1</v>
      </c>
      <c r="H163" s="468">
        <f t="shared" si="42"/>
        <v>0.49440000000000001</v>
      </c>
      <c r="I163" s="431"/>
      <c r="K163" s="347">
        <v>136527.86684060522</v>
      </c>
      <c r="L163" s="467">
        <f t="shared" si="46"/>
        <v>1</v>
      </c>
      <c r="M163" s="468">
        <f t="shared" si="47"/>
        <v>0.49440000000000001</v>
      </c>
      <c r="N163" s="431"/>
      <c r="S163" s="468"/>
      <c r="T163" s="468"/>
    </row>
    <row r="164" spans="1:20">
      <c r="A164" s="863">
        <f t="shared" si="39"/>
        <v>149</v>
      </c>
      <c r="B164" s="515">
        <v>39600</v>
      </c>
      <c r="C164" s="88" t="s">
        <v>1584</v>
      </c>
      <c r="D164" s="347">
        <v>8178.5671469999925</v>
      </c>
      <c r="E164" s="431"/>
      <c r="F164" s="431"/>
      <c r="G164" s="467">
        <f t="shared" si="41"/>
        <v>1</v>
      </c>
      <c r="H164" s="468">
        <f t="shared" si="42"/>
        <v>0.49440000000000001</v>
      </c>
      <c r="I164" s="431"/>
      <c r="K164" s="347">
        <v>7731.3251049999953</v>
      </c>
      <c r="L164" s="467">
        <f t="shared" si="46"/>
        <v>1</v>
      </c>
      <c r="M164" s="468">
        <f t="shared" si="47"/>
        <v>0.49440000000000001</v>
      </c>
      <c r="N164" s="431"/>
      <c r="S164" s="468"/>
      <c r="T164" s="468"/>
    </row>
    <row r="165" spans="1:20">
      <c r="A165" s="863">
        <f t="shared" si="39"/>
        <v>150</v>
      </c>
      <c r="B165" s="515">
        <v>39700</v>
      </c>
      <c r="C165" s="88" t="s">
        <v>1575</v>
      </c>
      <c r="D165" s="347">
        <v>-7003.6326932460779</v>
      </c>
      <c r="E165" s="431">
        <v>0</v>
      </c>
      <c r="F165" s="431">
        <f t="shared" si="40"/>
        <v>-7003.6326932460779</v>
      </c>
      <c r="G165" s="467">
        <f t="shared" si="41"/>
        <v>1</v>
      </c>
      <c r="H165" s="468">
        <f t="shared" si="42"/>
        <v>0.49440000000000001</v>
      </c>
      <c r="I165" s="431">
        <f t="shared" si="43"/>
        <v>-3462.5960035408611</v>
      </c>
      <c r="K165" s="347">
        <v>-7884.9034571288748</v>
      </c>
      <c r="L165" s="467">
        <f t="shared" si="46"/>
        <v>1</v>
      </c>
      <c r="M165" s="468">
        <f t="shared" si="47"/>
        <v>0.49440000000000001</v>
      </c>
      <c r="N165" s="431">
        <f t="shared" si="45"/>
        <v>-3898.2962692045157</v>
      </c>
      <c r="S165" s="468"/>
      <c r="T165" s="468"/>
    </row>
    <row r="166" spans="1:20">
      <c r="A166" s="863">
        <f t="shared" si="39"/>
        <v>151</v>
      </c>
      <c r="B166" s="515">
        <v>39701</v>
      </c>
      <c r="C166" s="88" t="s">
        <v>1535</v>
      </c>
      <c r="D166" s="347">
        <v>0</v>
      </c>
      <c r="E166" s="431">
        <v>0</v>
      </c>
      <c r="F166" s="431">
        <f t="shared" si="40"/>
        <v>0</v>
      </c>
      <c r="G166" s="467">
        <f t="shared" si="41"/>
        <v>1</v>
      </c>
      <c r="H166" s="468">
        <f t="shared" si="42"/>
        <v>0.49440000000000001</v>
      </c>
      <c r="I166" s="431">
        <f t="shared" si="43"/>
        <v>0</v>
      </c>
      <c r="K166" s="347">
        <v>0</v>
      </c>
      <c r="L166" s="467">
        <f t="shared" si="44"/>
        <v>1</v>
      </c>
      <c r="M166" s="468">
        <f t="shared" si="44"/>
        <v>0.49440000000000001</v>
      </c>
      <c r="N166" s="431">
        <f t="shared" si="45"/>
        <v>0</v>
      </c>
      <c r="S166" s="468"/>
      <c r="T166" s="468"/>
    </row>
    <row r="167" spans="1:20">
      <c r="A167" s="863">
        <f t="shared" si="39"/>
        <v>152</v>
      </c>
      <c r="B167" s="709">
        <v>39702</v>
      </c>
      <c r="C167" s="88" t="s">
        <v>1535</v>
      </c>
      <c r="D167" s="347">
        <v>0</v>
      </c>
      <c r="E167" s="431">
        <v>0</v>
      </c>
      <c r="F167" s="431">
        <f t="shared" si="40"/>
        <v>0</v>
      </c>
      <c r="G167" s="467">
        <f t="shared" si="41"/>
        <v>1</v>
      </c>
      <c r="H167" s="468">
        <f t="shared" si="42"/>
        <v>0.49440000000000001</v>
      </c>
      <c r="I167" s="431">
        <f t="shared" si="43"/>
        <v>0</v>
      </c>
      <c r="K167" s="347">
        <v>0</v>
      </c>
      <c r="L167" s="467">
        <f t="shared" si="44"/>
        <v>1</v>
      </c>
      <c r="M167" s="468">
        <f t="shared" si="44"/>
        <v>0.49440000000000001</v>
      </c>
      <c r="N167" s="431">
        <f t="shared" si="45"/>
        <v>0</v>
      </c>
      <c r="S167" s="468"/>
      <c r="T167" s="468"/>
    </row>
    <row r="168" spans="1:20">
      <c r="A168" s="863">
        <f t="shared" si="39"/>
        <v>153</v>
      </c>
      <c r="B168" s="709">
        <v>39800</v>
      </c>
      <c r="C168" s="88" t="s">
        <v>1577</v>
      </c>
      <c r="D168" s="347">
        <v>709564.1437880001</v>
      </c>
      <c r="E168" s="431">
        <v>0</v>
      </c>
      <c r="F168" s="431">
        <f t="shared" si="40"/>
        <v>709564.1437880001</v>
      </c>
      <c r="G168" s="467">
        <f t="shared" si="41"/>
        <v>1</v>
      </c>
      <c r="H168" s="468">
        <f t="shared" si="42"/>
        <v>0.49440000000000001</v>
      </c>
      <c r="I168" s="431">
        <f t="shared" si="43"/>
        <v>350808.51268878725</v>
      </c>
      <c r="K168" s="347">
        <v>695438.34842000017</v>
      </c>
      <c r="L168" s="467">
        <f t="shared" si="44"/>
        <v>1</v>
      </c>
      <c r="M168" s="468">
        <f t="shared" si="44"/>
        <v>0.49440000000000001</v>
      </c>
      <c r="N168" s="431">
        <f t="shared" si="45"/>
        <v>343824.71945884806</v>
      </c>
      <c r="S168" s="468"/>
      <c r="T168" s="468"/>
    </row>
    <row r="169" spans="1:20">
      <c r="A169" s="863">
        <f t="shared" si="39"/>
        <v>154</v>
      </c>
      <c r="B169" s="709">
        <v>39900</v>
      </c>
      <c r="C169" s="88" t="s">
        <v>1585</v>
      </c>
      <c r="D169" s="347">
        <v>0</v>
      </c>
      <c r="E169" s="431">
        <v>0</v>
      </c>
      <c r="F169" s="431">
        <f t="shared" si="40"/>
        <v>0</v>
      </c>
      <c r="G169" s="467">
        <f t="shared" si="41"/>
        <v>1</v>
      </c>
      <c r="H169" s="468">
        <f t="shared" si="42"/>
        <v>0.49440000000000001</v>
      </c>
      <c r="I169" s="431">
        <f t="shared" si="43"/>
        <v>0</v>
      </c>
      <c r="K169" s="347">
        <v>0</v>
      </c>
      <c r="L169" s="467">
        <f t="shared" si="44"/>
        <v>1</v>
      </c>
      <c r="M169" s="468">
        <f t="shared" si="44"/>
        <v>0.49440000000000001</v>
      </c>
      <c r="N169" s="431">
        <f t="shared" si="45"/>
        <v>0</v>
      </c>
      <c r="S169" s="468"/>
      <c r="T169" s="468"/>
    </row>
    <row r="170" spans="1:20">
      <c r="A170" s="863">
        <f t="shared" si="39"/>
        <v>155</v>
      </c>
      <c r="B170" s="709">
        <v>39901</v>
      </c>
      <c r="C170" s="88" t="s">
        <v>1586</v>
      </c>
      <c r="D170" s="347">
        <v>-34804.35</v>
      </c>
      <c r="E170" s="431">
        <v>0</v>
      </c>
      <c r="F170" s="431">
        <f t="shared" si="40"/>
        <v>-34804.35</v>
      </c>
      <c r="G170" s="467">
        <f t="shared" si="41"/>
        <v>1</v>
      </c>
      <c r="H170" s="468">
        <f t="shared" si="42"/>
        <v>0.49440000000000001</v>
      </c>
      <c r="I170" s="431">
        <f t="shared" si="43"/>
        <v>-17207.270639999999</v>
      </c>
      <c r="K170" s="347">
        <v>-34804.349999999991</v>
      </c>
      <c r="L170" s="467">
        <f t="shared" si="44"/>
        <v>1</v>
      </c>
      <c r="M170" s="468">
        <f t="shared" si="44"/>
        <v>0.49440000000000001</v>
      </c>
      <c r="N170" s="431">
        <f t="shared" si="45"/>
        <v>-17207.270639999995</v>
      </c>
      <c r="S170" s="468"/>
      <c r="T170" s="468"/>
    </row>
    <row r="171" spans="1:20">
      <c r="A171" s="863">
        <f t="shared" si="39"/>
        <v>156</v>
      </c>
      <c r="B171" s="709">
        <v>39902</v>
      </c>
      <c r="C171" s="88" t="s">
        <v>1587</v>
      </c>
      <c r="D171" s="347">
        <v>0</v>
      </c>
      <c r="E171" s="431">
        <v>0</v>
      </c>
      <c r="F171" s="431">
        <f t="shared" si="40"/>
        <v>0</v>
      </c>
      <c r="G171" s="467">
        <f t="shared" si="41"/>
        <v>1</v>
      </c>
      <c r="H171" s="468">
        <f t="shared" si="42"/>
        <v>0.49440000000000001</v>
      </c>
      <c r="I171" s="431">
        <f t="shared" si="43"/>
        <v>0</v>
      </c>
      <c r="K171" s="347">
        <v>0</v>
      </c>
      <c r="L171" s="467">
        <f t="shared" si="44"/>
        <v>1</v>
      </c>
      <c r="M171" s="468">
        <f t="shared" si="44"/>
        <v>0.49440000000000001</v>
      </c>
      <c r="N171" s="431">
        <f t="shared" si="45"/>
        <v>0</v>
      </c>
      <c r="S171" s="468"/>
      <c r="T171" s="468"/>
    </row>
    <row r="172" spans="1:20">
      <c r="A172" s="863">
        <f t="shared" si="39"/>
        <v>157</v>
      </c>
      <c r="B172" s="709">
        <v>39903</v>
      </c>
      <c r="C172" s="88" t="s">
        <v>1578</v>
      </c>
      <c r="D172" s="347">
        <v>0</v>
      </c>
      <c r="E172" s="431">
        <v>0</v>
      </c>
      <c r="F172" s="431">
        <f t="shared" si="40"/>
        <v>0</v>
      </c>
      <c r="G172" s="467">
        <f t="shared" si="41"/>
        <v>1</v>
      </c>
      <c r="H172" s="468">
        <f t="shared" si="42"/>
        <v>0.49440000000000001</v>
      </c>
      <c r="I172" s="431">
        <f t="shared" si="43"/>
        <v>0</v>
      </c>
      <c r="K172" s="347">
        <v>0</v>
      </c>
      <c r="L172" s="467">
        <f t="shared" si="44"/>
        <v>1</v>
      </c>
      <c r="M172" s="468">
        <f t="shared" si="44"/>
        <v>0.49440000000000001</v>
      </c>
      <c r="N172" s="431">
        <f t="shared" si="45"/>
        <v>0</v>
      </c>
      <c r="S172" s="468"/>
      <c r="T172" s="468"/>
    </row>
    <row r="173" spans="1:20">
      <c r="A173" s="863">
        <f t="shared" si="39"/>
        <v>158</v>
      </c>
      <c r="B173" s="709">
        <v>39906</v>
      </c>
      <c r="C173" s="88" t="s">
        <v>1579</v>
      </c>
      <c r="D173" s="347">
        <v>74207.98</v>
      </c>
      <c r="E173" s="431">
        <v>0</v>
      </c>
      <c r="F173" s="431">
        <f t="shared" si="40"/>
        <v>74207.98</v>
      </c>
      <c r="G173" s="467">
        <f t="shared" si="41"/>
        <v>1</v>
      </c>
      <c r="H173" s="468">
        <f t="shared" si="42"/>
        <v>0.49440000000000001</v>
      </c>
      <c r="I173" s="431">
        <f t="shared" si="43"/>
        <v>36688.425311999999</v>
      </c>
      <c r="K173" s="347">
        <v>74207.98</v>
      </c>
      <c r="L173" s="467">
        <f t="shared" si="44"/>
        <v>1</v>
      </c>
      <c r="M173" s="468">
        <f t="shared" si="44"/>
        <v>0.49440000000000001</v>
      </c>
      <c r="N173" s="431">
        <f t="shared" si="45"/>
        <v>36688.425311999999</v>
      </c>
      <c r="S173" s="468"/>
      <c r="T173" s="468"/>
    </row>
    <row r="174" spans="1:20">
      <c r="A174" s="863">
        <f t="shared" si="39"/>
        <v>159</v>
      </c>
      <c r="B174" s="709">
        <v>39907</v>
      </c>
      <c r="C174" s="88" t="s">
        <v>1580</v>
      </c>
      <c r="D174" s="347">
        <v>24099.293482250036</v>
      </c>
      <c r="E174" s="431">
        <v>0</v>
      </c>
      <c r="F174" s="431">
        <f t="shared" si="40"/>
        <v>24099.293482250036</v>
      </c>
      <c r="G174" s="467">
        <f t="shared" si="41"/>
        <v>1</v>
      </c>
      <c r="H174" s="468">
        <f t="shared" si="42"/>
        <v>0.49440000000000001</v>
      </c>
      <c r="I174" s="431">
        <f t="shared" si="43"/>
        <v>11914.690697624417</v>
      </c>
      <c r="K174" s="347">
        <v>22151.501058750026</v>
      </c>
      <c r="L174" s="467">
        <f t="shared" si="44"/>
        <v>1</v>
      </c>
      <c r="M174" s="468">
        <f t="shared" si="44"/>
        <v>0.49440000000000001</v>
      </c>
      <c r="N174" s="431">
        <f t="shared" si="45"/>
        <v>10951.702123446014</v>
      </c>
      <c r="S174" s="468"/>
      <c r="T174" s="468"/>
    </row>
    <row r="175" spans="1:20">
      <c r="A175" s="863">
        <f t="shared" si="39"/>
        <v>160</v>
      </c>
      <c r="B175" s="709">
        <v>39908</v>
      </c>
      <c r="C175" s="88" t="s">
        <v>1581</v>
      </c>
      <c r="D175" s="347">
        <v>828509.36</v>
      </c>
      <c r="E175" s="431">
        <v>0</v>
      </c>
      <c r="F175" s="431">
        <f t="shared" si="40"/>
        <v>828509.36</v>
      </c>
      <c r="G175" s="467">
        <f t="shared" si="41"/>
        <v>1</v>
      </c>
      <c r="H175" s="468">
        <f t="shared" si="42"/>
        <v>0.49440000000000001</v>
      </c>
      <c r="I175" s="431">
        <f t="shared" si="43"/>
        <v>409615.02758400002</v>
      </c>
      <c r="K175" s="347">
        <v>828509.36</v>
      </c>
      <c r="L175" s="467">
        <f t="shared" si="44"/>
        <v>1</v>
      </c>
      <c r="M175" s="468">
        <f t="shared" si="44"/>
        <v>0.49440000000000001</v>
      </c>
      <c r="N175" s="431">
        <f t="shared" si="45"/>
        <v>409615.02758400002</v>
      </c>
      <c r="S175" s="468"/>
      <c r="T175" s="468"/>
    </row>
    <row r="176" spans="1:20">
      <c r="A176" s="863">
        <f t="shared" si="39"/>
        <v>161</v>
      </c>
      <c r="B176" s="709"/>
      <c r="C176" s="88" t="s">
        <v>1153</v>
      </c>
      <c r="D176" s="347">
        <v>52517.30000000001</v>
      </c>
      <c r="E176" s="812"/>
      <c r="F176" s="812"/>
      <c r="G176" s="467">
        <f t="shared" si="41"/>
        <v>1</v>
      </c>
      <c r="H176" s="468">
        <f t="shared" si="42"/>
        <v>0.49440000000000001</v>
      </c>
      <c r="I176" s="1054">
        <f t="shared" si="43"/>
        <v>0</v>
      </c>
      <c r="K176" s="347">
        <v>52517.30000000001</v>
      </c>
      <c r="L176" s="467">
        <f>G176</f>
        <v>1</v>
      </c>
      <c r="M176" s="468">
        <f>H176</f>
        <v>0.49440000000000001</v>
      </c>
      <c r="N176" s="1054">
        <f t="shared" si="45"/>
        <v>25964.553120000004</v>
      </c>
      <c r="S176" s="468"/>
      <c r="T176" s="468"/>
    </row>
    <row r="177" spans="1:20">
      <c r="A177" s="863">
        <f t="shared" si="39"/>
        <v>162</v>
      </c>
      <c r="B177" s="391"/>
      <c r="C177" s="88"/>
      <c r="D177" s="621"/>
      <c r="E177" s="621"/>
      <c r="F177" s="621"/>
    </row>
    <row r="178" spans="1:20" ht="15" customHeight="1">
      <c r="A178" s="863">
        <f t="shared" si="39"/>
        <v>163</v>
      </c>
      <c r="B178" s="391"/>
      <c r="C178" s="88" t="s">
        <v>4</v>
      </c>
      <c r="D178" s="347">
        <f>SUM(D155:D176)</f>
        <v>2005151.0511568452</v>
      </c>
      <c r="E178" s="347">
        <f>SUM(E155:E176)</f>
        <v>0</v>
      </c>
      <c r="F178" s="347">
        <f>SUM(F155:F176)</f>
        <v>1787834.9622202541</v>
      </c>
      <c r="I178" s="347">
        <f>SUM(I155:I176)</f>
        <v>883905.60532169358</v>
      </c>
      <c r="K178" s="347">
        <f>SUM(K155:K176)</f>
        <v>1980768.8601697267</v>
      </c>
      <c r="N178" s="347">
        <f>SUM(N155:N176)</f>
        <v>900020.81309339171</v>
      </c>
    </row>
    <row r="179" spans="1:20" ht="15" customHeight="1">
      <c r="A179" s="863">
        <f t="shared" si="39"/>
        <v>164</v>
      </c>
      <c r="B179" s="391"/>
      <c r="C179" s="88"/>
    </row>
    <row r="180" spans="1:20" ht="15" customHeight="1" thickBot="1">
      <c r="A180" s="863">
        <f t="shared" si="39"/>
        <v>165</v>
      </c>
      <c r="B180" s="391"/>
      <c r="C180" s="234" t="s">
        <v>1346</v>
      </c>
      <c r="D180" s="330">
        <f>D127+D152+D178</f>
        <v>2005151.0511568452</v>
      </c>
      <c r="E180" s="330">
        <f>E127+E152+E178</f>
        <v>0</v>
      </c>
      <c r="F180" s="330">
        <f>F127+F152+F178</f>
        <v>1787834.9622202541</v>
      </c>
      <c r="I180" s="330">
        <f>I127+I152+I178</f>
        <v>883905.60532169358</v>
      </c>
      <c r="K180" s="330">
        <f>K127+K152+K178</f>
        <v>1980768.8601697267</v>
      </c>
      <c r="N180" s="330">
        <f>N127+N152+N178</f>
        <v>900020.81309339171</v>
      </c>
    </row>
    <row r="181" spans="1:20" ht="15" customHeight="1" thickTop="1">
      <c r="A181" s="863">
        <f t="shared" si="39"/>
        <v>166</v>
      </c>
      <c r="B181" s="1050"/>
      <c r="D181" s="619"/>
      <c r="E181" s="329"/>
    </row>
    <row r="182" spans="1:20" ht="15" customHeight="1">
      <c r="A182" s="863">
        <f t="shared" si="39"/>
        <v>167</v>
      </c>
      <c r="B182" s="1055" t="s">
        <v>8</v>
      </c>
      <c r="D182" s="619"/>
      <c r="E182" s="329"/>
    </row>
    <row r="183" spans="1:20" ht="15" customHeight="1">
      <c r="A183" s="863">
        <f t="shared" si="39"/>
        <v>168</v>
      </c>
      <c r="D183" s="619"/>
    </row>
    <row r="184" spans="1:20" ht="15" customHeight="1">
      <c r="A184" s="863">
        <f t="shared" si="39"/>
        <v>169</v>
      </c>
      <c r="B184" s="391"/>
      <c r="C184" s="622" t="s">
        <v>305</v>
      </c>
      <c r="D184" s="619"/>
    </row>
    <row r="185" spans="1:20" ht="15" customHeight="1">
      <c r="A185" s="863">
        <f t="shared" si="39"/>
        <v>170</v>
      </c>
      <c r="B185" s="515">
        <v>39000</v>
      </c>
      <c r="C185" s="88" t="s">
        <v>1563</v>
      </c>
      <c r="D185" s="347">
        <v>523452.76503106847</v>
      </c>
      <c r="E185" s="347">
        <v>0</v>
      </c>
      <c r="F185" s="347">
        <f t="shared" ref="F185:F223" si="48">D185+E185</f>
        <v>523452.76503106847</v>
      </c>
      <c r="G185" s="468">
        <f>Allocation!$C$14</f>
        <v>9.8900000000000002E-2</v>
      </c>
      <c r="H185" s="468">
        <f>Allocation!$D$14</f>
        <v>0.49440000000000001</v>
      </c>
      <c r="I185" s="347">
        <f t="shared" ref="I185:I223" si="49">F185*G185*H185</f>
        <v>25594.830151401529</v>
      </c>
      <c r="K185" s="347">
        <v>502209.88907236391</v>
      </c>
      <c r="L185" s="468">
        <f>G185</f>
        <v>9.8900000000000002E-2</v>
      </c>
      <c r="M185" s="468">
        <f t="shared" ref="M185" si="50">H185</f>
        <v>0.49440000000000001</v>
      </c>
      <c r="N185" s="347">
        <f t="shared" ref="N185:N223" si="51">K185*L185*M185</f>
        <v>24556.135089664556</v>
      </c>
      <c r="P185" s="663"/>
      <c r="S185" s="468"/>
      <c r="T185" s="468"/>
    </row>
    <row r="186" spans="1:20" ht="15" customHeight="1">
      <c r="A186" s="863">
        <f t="shared" si="39"/>
        <v>171</v>
      </c>
      <c r="B186" s="515">
        <v>39005</v>
      </c>
      <c r="C186" s="88" t="s">
        <v>1588</v>
      </c>
      <c r="D186" s="347">
        <v>3769039.1635282491</v>
      </c>
      <c r="E186" s="624">
        <v>0</v>
      </c>
      <c r="F186" s="431">
        <f t="shared" si="48"/>
        <v>3769039.1635282491</v>
      </c>
      <c r="G186" s="468">
        <v>1</v>
      </c>
      <c r="H186" s="468">
        <f>Allocation!$E$20</f>
        <v>1.550753E-2</v>
      </c>
      <c r="I186" s="431">
        <f t="shared" si="49"/>
        <v>58448.487899589229</v>
      </c>
      <c r="K186" s="347">
        <v>3631587.2939487495</v>
      </c>
      <c r="L186" s="468">
        <f t="shared" ref="L186:L213" si="52">G186</f>
        <v>1</v>
      </c>
      <c r="M186" s="468">
        <f t="shared" ref="M186:M213" si="53">H186</f>
        <v>1.550753E-2</v>
      </c>
      <c r="N186" s="431">
        <f t="shared" si="51"/>
        <v>56316.948908529055</v>
      </c>
      <c r="P186" s="663"/>
      <c r="S186" s="468"/>
      <c r="T186" s="468"/>
    </row>
    <row r="187" spans="1:20" ht="15" customHeight="1">
      <c r="A187" s="863">
        <f t="shared" si="39"/>
        <v>172</v>
      </c>
      <c r="B187" s="515">
        <v>39009</v>
      </c>
      <c r="C187" s="88" t="s">
        <v>1567</v>
      </c>
      <c r="D187" s="347">
        <v>9748263.6019909102</v>
      </c>
      <c r="E187" s="624">
        <v>0</v>
      </c>
      <c r="F187" s="431">
        <f t="shared" si="48"/>
        <v>9748263.6019909102</v>
      </c>
      <c r="G187" s="468">
        <f>$G$185</f>
        <v>9.8900000000000002E-2</v>
      </c>
      <c r="H187" s="468">
        <f>$H$185</f>
        <v>0.49440000000000001</v>
      </c>
      <c r="I187" s="431">
        <f t="shared" si="49"/>
        <v>476652.65680512384</v>
      </c>
      <c r="K187" s="347">
        <v>9588019.4979559667</v>
      </c>
      <c r="L187" s="468">
        <f t="shared" si="52"/>
        <v>9.8900000000000002E-2</v>
      </c>
      <c r="M187" s="468">
        <f t="shared" si="53"/>
        <v>0.49440000000000001</v>
      </c>
      <c r="N187" s="431">
        <f t="shared" si="51"/>
        <v>468817.33545517467</v>
      </c>
      <c r="P187" s="663"/>
      <c r="S187" s="468"/>
      <c r="T187" s="468"/>
    </row>
    <row r="188" spans="1:20" ht="15" customHeight="1">
      <c r="A188" s="863">
        <f t="shared" si="39"/>
        <v>173</v>
      </c>
      <c r="B188" s="515">
        <v>39020</v>
      </c>
      <c r="C188" s="88" t="s">
        <v>1539</v>
      </c>
      <c r="D188" s="347">
        <v>-0.04</v>
      </c>
      <c r="E188" s="624">
        <v>0</v>
      </c>
      <c r="F188" s="431">
        <f t="shared" si="48"/>
        <v>-0.04</v>
      </c>
      <c r="G188" s="468">
        <v>1</v>
      </c>
      <c r="H188" s="468">
        <f>Allocation!$E$22</f>
        <v>6.437198999999999E-2</v>
      </c>
      <c r="I188" s="431">
        <f>F188*G190*H190</f>
        <v>-1.9558464000000004E-3</v>
      </c>
      <c r="K188" s="347">
        <v>-3.9999999999999994E-2</v>
      </c>
      <c r="L188" s="468">
        <f t="shared" si="52"/>
        <v>1</v>
      </c>
      <c r="M188" s="468">
        <f t="shared" si="53"/>
        <v>6.437198999999999E-2</v>
      </c>
      <c r="N188" s="431">
        <f t="shared" si="51"/>
        <v>-2.5748795999999993E-3</v>
      </c>
      <c r="P188" s="663"/>
      <c r="S188" s="468"/>
      <c r="T188" s="468"/>
    </row>
    <row r="189" spans="1:20" ht="15" customHeight="1">
      <c r="A189" s="863">
        <f t="shared" si="39"/>
        <v>174</v>
      </c>
      <c r="B189" s="515">
        <v>39029</v>
      </c>
      <c r="C189" s="88" t="s">
        <v>1540</v>
      </c>
      <c r="D189" s="347">
        <v>-0.08</v>
      </c>
      <c r="E189" s="624">
        <v>0</v>
      </c>
      <c r="F189" s="431">
        <f t="shared" si="48"/>
        <v>-0.08</v>
      </c>
      <c r="G189" s="468">
        <v>1</v>
      </c>
      <c r="H189" s="468">
        <f>Allocation!$E$22</f>
        <v>6.437198999999999E-2</v>
      </c>
      <c r="I189" s="431">
        <f>F189*G191*H191</f>
        <v>-3.9116928000000007E-3</v>
      </c>
      <c r="K189" s="347">
        <v>-7.9999999999999988E-2</v>
      </c>
      <c r="L189" s="468">
        <f t="shared" si="52"/>
        <v>1</v>
      </c>
      <c r="M189" s="468">
        <f t="shared" si="53"/>
        <v>6.437198999999999E-2</v>
      </c>
      <c r="N189" s="431">
        <f t="shared" si="51"/>
        <v>-5.1497591999999986E-3</v>
      </c>
      <c r="P189" s="663"/>
      <c r="S189" s="468"/>
      <c r="T189" s="468"/>
    </row>
    <row r="190" spans="1:20" ht="15" customHeight="1">
      <c r="A190" s="863">
        <f t="shared" si="39"/>
        <v>175</v>
      </c>
      <c r="B190" s="515">
        <v>39100</v>
      </c>
      <c r="C190" s="88" t="s">
        <v>1568</v>
      </c>
      <c r="D190" s="347">
        <v>1995592.5980745561</v>
      </c>
      <c r="E190" s="624"/>
      <c r="F190" s="431"/>
      <c r="G190" s="468">
        <f>$G$185</f>
        <v>9.8900000000000002E-2</v>
      </c>
      <c r="H190" s="468">
        <f>$H$185</f>
        <v>0.49440000000000001</v>
      </c>
      <c r="I190" s="431"/>
      <c r="K190" s="347">
        <v>1893904.2491459823</v>
      </c>
      <c r="L190" s="468">
        <f t="shared" si="52"/>
        <v>9.8900000000000002E-2</v>
      </c>
      <c r="M190" s="468">
        <f t="shared" si="53"/>
        <v>0.49440000000000001</v>
      </c>
      <c r="N190" s="431"/>
      <c r="P190" s="663"/>
      <c r="S190" s="468"/>
      <c r="T190" s="468"/>
    </row>
    <row r="191" spans="1:20" ht="15" customHeight="1">
      <c r="A191" s="863">
        <f t="shared" si="39"/>
        <v>176</v>
      </c>
      <c r="B191" s="515">
        <v>39102</v>
      </c>
      <c r="C191" s="88" t="s">
        <v>1589</v>
      </c>
      <c r="D191" s="347">
        <v>0.84000000000000008</v>
      </c>
      <c r="E191" s="624"/>
      <c r="F191" s="431"/>
      <c r="G191" s="468">
        <f>$G$185</f>
        <v>9.8900000000000002E-2</v>
      </c>
      <c r="H191" s="468">
        <f>$H$185</f>
        <v>0.49440000000000001</v>
      </c>
      <c r="I191" s="431"/>
      <c r="K191" s="347">
        <v>0.84</v>
      </c>
      <c r="L191" s="468">
        <f t="shared" si="52"/>
        <v>9.8900000000000002E-2</v>
      </c>
      <c r="M191" s="468">
        <f t="shared" si="53"/>
        <v>0.49440000000000001</v>
      </c>
      <c r="N191" s="431"/>
      <c r="P191" s="663"/>
      <c r="S191" s="468"/>
      <c r="T191" s="468"/>
    </row>
    <row r="192" spans="1:20" ht="15" customHeight="1">
      <c r="A192" s="863">
        <f t="shared" si="39"/>
        <v>177</v>
      </c>
      <c r="B192" s="515">
        <v>39103</v>
      </c>
      <c r="C192" s="88" t="s">
        <v>1342</v>
      </c>
      <c r="D192" s="347">
        <v>0.3</v>
      </c>
      <c r="E192" s="624"/>
      <c r="F192" s="431"/>
      <c r="G192" s="468">
        <f>$G$185</f>
        <v>9.8900000000000002E-2</v>
      </c>
      <c r="H192" s="468">
        <f>$H$185</f>
        <v>0.49440000000000001</v>
      </c>
      <c r="I192" s="431"/>
      <c r="K192" s="347">
        <v>0.29999999999999993</v>
      </c>
      <c r="L192" s="468">
        <f t="shared" si="52"/>
        <v>9.8900000000000002E-2</v>
      </c>
      <c r="M192" s="468">
        <f t="shared" si="53"/>
        <v>0.49440000000000001</v>
      </c>
      <c r="N192" s="431"/>
      <c r="P192" s="663"/>
      <c r="S192" s="468"/>
      <c r="T192" s="468"/>
    </row>
    <row r="193" spans="1:20" ht="15" customHeight="1">
      <c r="A193" s="863">
        <f t="shared" si="39"/>
        <v>178</v>
      </c>
      <c r="B193" s="515">
        <v>39104</v>
      </c>
      <c r="C193" s="88" t="s">
        <v>1590</v>
      </c>
      <c r="D193" s="347">
        <v>47254.485776999958</v>
      </c>
      <c r="E193" s="624"/>
      <c r="F193" s="431"/>
      <c r="G193" s="468">
        <v>1</v>
      </c>
      <c r="H193" s="468">
        <f>Allocation!$E$20</f>
        <v>1.550753E-2</v>
      </c>
      <c r="I193" s="431"/>
      <c r="K193" s="347">
        <v>42040.395554999974</v>
      </c>
      <c r="L193" s="468">
        <f t="shared" si="52"/>
        <v>1</v>
      </c>
      <c r="M193" s="468">
        <f t="shared" si="53"/>
        <v>1.550753E-2</v>
      </c>
      <c r="N193" s="431"/>
      <c r="P193" s="663"/>
      <c r="S193" s="468"/>
      <c r="T193" s="468"/>
    </row>
    <row r="194" spans="1:20" ht="15" customHeight="1">
      <c r="A194" s="863">
        <f t="shared" si="39"/>
        <v>179</v>
      </c>
      <c r="B194" s="515">
        <v>39120</v>
      </c>
      <c r="C194" s="88" t="s">
        <v>1541</v>
      </c>
      <c r="D194" s="347">
        <v>92098.080912999911</v>
      </c>
      <c r="E194" s="624"/>
      <c r="F194" s="431"/>
      <c r="G194" s="468">
        <v>1</v>
      </c>
      <c r="H194" s="468">
        <f>Allocation!$E$22</f>
        <v>6.437198999999999E-2</v>
      </c>
      <c r="I194" s="431"/>
      <c r="K194" s="347">
        <v>91956.997794999916</v>
      </c>
      <c r="L194" s="468">
        <f t="shared" si="52"/>
        <v>1</v>
      </c>
      <c r="M194" s="468">
        <f t="shared" si="53"/>
        <v>6.437198999999999E-2</v>
      </c>
      <c r="N194" s="431"/>
      <c r="P194" s="663"/>
      <c r="S194" s="468"/>
      <c r="T194" s="468"/>
    </row>
    <row r="195" spans="1:20" ht="15" customHeight="1">
      <c r="A195" s="863">
        <f t="shared" si="39"/>
        <v>180</v>
      </c>
      <c r="B195" s="515">
        <v>39200</v>
      </c>
      <c r="C195" s="88" t="s">
        <v>1569</v>
      </c>
      <c r="D195" s="347">
        <v>4474.4899999999989</v>
      </c>
      <c r="E195" s="624"/>
      <c r="F195" s="431"/>
      <c r="G195" s="468">
        <f t="shared" ref="G195:G197" si="54">$G$185</f>
        <v>9.8900000000000002E-2</v>
      </c>
      <c r="H195" s="468">
        <f t="shared" ref="H195:H197" si="55">$H$185</f>
        <v>0.49440000000000001</v>
      </c>
      <c r="I195" s="431"/>
      <c r="K195" s="347">
        <v>4474.4899999999989</v>
      </c>
      <c r="L195" s="468">
        <f t="shared" si="52"/>
        <v>9.8900000000000002E-2</v>
      </c>
      <c r="M195" s="468">
        <f t="shared" si="53"/>
        <v>0.49440000000000001</v>
      </c>
      <c r="N195" s="431"/>
      <c r="P195" s="663"/>
      <c r="S195" s="468"/>
      <c r="T195" s="468"/>
    </row>
    <row r="196" spans="1:20" ht="15" customHeight="1">
      <c r="A196" s="863">
        <f t="shared" si="39"/>
        <v>181</v>
      </c>
      <c r="B196" s="515">
        <v>39300</v>
      </c>
      <c r="C196" s="88" t="s">
        <v>1591</v>
      </c>
      <c r="D196" s="347">
        <v>0</v>
      </c>
      <c r="E196" s="624"/>
      <c r="F196" s="431"/>
      <c r="G196" s="468">
        <f t="shared" si="54"/>
        <v>9.8900000000000002E-2</v>
      </c>
      <c r="H196" s="468">
        <f t="shared" si="55"/>
        <v>0.49440000000000001</v>
      </c>
      <c r="I196" s="431"/>
      <c r="K196" s="347">
        <v>0</v>
      </c>
      <c r="L196" s="468">
        <f t="shared" si="52"/>
        <v>9.8900000000000002E-2</v>
      </c>
      <c r="M196" s="468">
        <f t="shared" si="53"/>
        <v>0.49440000000000001</v>
      </c>
      <c r="N196" s="431"/>
      <c r="P196" s="663"/>
      <c r="S196" s="468"/>
      <c r="T196" s="468"/>
    </row>
    <row r="197" spans="1:20" ht="15" customHeight="1">
      <c r="A197" s="863">
        <f t="shared" si="39"/>
        <v>182</v>
      </c>
      <c r="B197" s="515">
        <v>39400</v>
      </c>
      <c r="C197" s="88" t="s">
        <v>1571</v>
      </c>
      <c r="D197" s="347">
        <v>70648.548158358768</v>
      </c>
      <c r="E197" s="624"/>
      <c r="F197" s="431"/>
      <c r="G197" s="468">
        <f t="shared" si="54"/>
        <v>9.8900000000000002E-2</v>
      </c>
      <c r="H197" s="468">
        <f t="shared" si="55"/>
        <v>0.49440000000000001</v>
      </c>
      <c r="I197" s="431"/>
      <c r="K197" s="347">
        <v>51879.741224231475</v>
      </c>
      <c r="L197" s="468">
        <f t="shared" si="52"/>
        <v>9.8900000000000002E-2</v>
      </c>
      <c r="M197" s="468">
        <f t="shared" si="53"/>
        <v>0.49440000000000001</v>
      </c>
      <c r="N197" s="431"/>
      <c r="P197" s="663"/>
      <c r="S197" s="468"/>
      <c r="T197" s="468"/>
    </row>
    <row r="198" spans="1:20" ht="15" customHeight="1">
      <c r="A198" s="863">
        <f t="shared" si="39"/>
        <v>183</v>
      </c>
      <c r="B198" s="515">
        <v>39420</v>
      </c>
      <c r="C198" s="88" t="s">
        <v>1542</v>
      </c>
      <c r="D198" s="347">
        <v>-16426.899999999991</v>
      </c>
      <c r="E198" s="624"/>
      <c r="F198" s="431"/>
      <c r="G198" s="468">
        <v>1</v>
      </c>
      <c r="H198" s="468">
        <f>Allocation!$E$22</f>
        <v>6.437198999999999E-2</v>
      </c>
      <c r="I198" s="431"/>
      <c r="K198" s="347">
        <v>-16426.899999999991</v>
      </c>
      <c r="L198" s="468">
        <f t="shared" si="52"/>
        <v>1</v>
      </c>
      <c r="M198" s="468">
        <f t="shared" si="53"/>
        <v>6.437198999999999E-2</v>
      </c>
      <c r="N198" s="431"/>
      <c r="P198" s="663"/>
      <c r="S198" s="468"/>
      <c r="T198" s="468"/>
    </row>
    <row r="199" spans="1:20" ht="15" customHeight="1">
      <c r="A199" s="863">
        <f t="shared" si="39"/>
        <v>184</v>
      </c>
      <c r="B199" s="515">
        <v>39500</v>
      </c>
      <c r="C199" s="88" t="s">
        <v>1592</v>
      </c>
      <c r="D199" s="347">
        <v>0</v>
      </c>
      <c r="E199" s="624"/>
      <c r="F199" s="431"/>
      <c r="G199" s="468">
        <f t="shared" ref="G199" si="56">$G$185</f>
        <v>9.8900000000000002E-2</v>
      </c>
      <c r="H199" s="468">
        <f t="shared" ref="H199" si="57">$H$185</f>
        <v>0.49440000000000001</v>
      </c>
      <c r="I199" s="431"/>
      <c r="K199" s="347">
        <v>0</v>
      </c>
      <c r="L199" s="468">
        <f t="shared" si="52"/>
        <v>9.8900000000000002E-2</v>
      </c>
      <c r="M199" s="468">
        <f t="shared" si="53"/>
        <v>0.49440000000000001</v>
      </c>
      <c r="N199" s="431"/>
      <c r="P199" s="663"/>
      <c r="S199" s="468"/>
      <c r="T199" s="468"/>
    </row>
    <row r="200" spans="1:20" ht="15" customHeight="1">
      <c r="A200" s="863">
        <f t="shared" si="39"/>
        <v>185</v>
      </c>
      <c r="B200" s="515">
        <v>39700</v>
      </c>
      <c r="C200" s="88" t="s">
        <v>1575</v>
      </c>
      <c r="D200" s="347">
        <v>1232147.9618074989</v>
      </c>
      <c r="E200" s="624"/>
      <c r="F200" s="431"/>
      <c r="G200" s="468">
        <f t="shared" ref="G200:G223" si="58">$G$185</f>
        <v>9.8900000000000002E-2</v>
      </c>
      <c r="H200" s="468">
        <f t="shared" ref="H200:H223" si="59">$H$185</f>
        <v>0.49440000000000001</v>
      </c>
      <c r="I200" s="431"/>
      <c r="K200" s="347">
        <v>1231889.8498624994</v>
      </c>
      <c r="L200" s="468">
        <f t="shared" si="52"/>
        <v>9.8900000000000002E-2</v>
      </c>
      <c r="M200" s="468">
        <f t="shared" si="53"/>
        <v>0.49440000000000001</v>
      </c>
      <c r="N200" s="431"/>
      <c r="P200" s="663"/>
      <c r="S200" s="468"/>
      <c r="T200" s="468"/>
    </row>
    <row r="201" spans="1:20" ht="15" customHeight="1">
      <c r="A201" s="863">
        <f t="shared" si="39"/>
        <v>186</v>
      </c>
      <c r="B201" s="515">
        <v>39720</v>
      </c>
      <c r="C201" s="88" t="s">
        <v>1543</v>
      </c>
      <c r="D201" s="347">
        <v>9260.2051900000006</v>
      </c>
      <c r="E201" s="624"/>
      <c r="F201" s="431"/>
      <c r="G201" s="468">
        <v>1</v>
      </c>
      <c r="H201" s="468">
        <f>Allocation!$E$22</f>
        <v>6.437198999999999E-2</v>
      </c>
      <c r="I201" s="431"/>
      <c r="K201" s="347">
        <v>9260.2051900000042</v>
      </c>
      <c r="L201" s="468">
        <f t="shared" si="52"/>
        <v>1</v>
      </c>
      <c r="M201" s="468">
        <f t="shared" si="53"/>
        <v>6.437198999999999E-2</v>
      </c>
      <c r="N201" s="431"/>
      <c r="P201" s="663"/>
      <c r="S201" s="468"/>
      <c r="T201" s="468"/>
    </row>
    <row r="202" spans="1:20" ht="15" customHeight="1">
      <c r="A202" s="863">
        <f t="shared" si="39"/>
        <v>187</v>
      </c>
      <c r="B202" s="515">
        <v>39800</v>
      </c>
      <c r="C202" s="88" t="s">
        <v>1577</v>
      </c>
      <c r="D202" s="347">
        <v>41060.590204249995</v>
      </c>
      <c r="E202" s="624"/>
      <c r="F202" s="431"/>
      <c r="G202" s="468">
        <f t="shared" si="58"/>
        <v>9.8900000000000002E-2</v>
      </c>
      <c r="H202" s="468">
        <f t="shared" si="59"/>
        <v>0.49440000000000001</v>
      </c>
      <c r="I202" s="431"/>
      <c r="K202" s="347">
        <v>40865.167288749995</v>
      </c>
      <c r="L202" s="468">
        <f t="shared" si="52"/>
        <v>9.8900000000000002E-2</v>
      </c>
      <c r="M202" s="468">
        <f t="shared" si="53"/>
        <v>0.49440000000000001</v>
      </c>
      <c r="N202" s="431"/>
      <c r="P202" s="663"/>
      <c r="S202" s="468"/>
      <c r="T202" s="468"/>
    </row>
    <row r="203" spans="1:20" ht="15" customHeight="1">
      <c r="A203" s="863">
        <f t="shared" si="39"/>
        <v>188</v>
      </c>
      <c r="B203" s="515">
        <v>39820</v>
      </c>
      <c r="C203" s="88" t="s">
        <v>1544</v>
      </c>
      <c r="D203" s="347">
        <v>7752.343010833335</v>
      </c>
      <c r="E203" s="624"/>
      <c r="F203" s="431"/>
      <c r="G203" s="468">
        <v>1</v>
      </c>
      <c r="H203" s="468">
        <f>Allocation!$E$22</f>
        <v>6.437198999999999E-2</v>
      </c>
      <c r="I203" s="431"/>
      <c r="K203" s="347">
        <v>7697.3175261346187</v>
      </c>
      <c r="L203" s="468">
        <f t="shared" si="52"/>
        <v>1</v>
      </c>
      <c r="M203" s="468">
        <f t="shared" si="53"/>
        <v>6.437198999999999E-2</v>
      </c>
      <c r="N203" s="431"/>
      <c r="P203" s="663"/>
      <c r="S203" s="468"/>
      <c r="T203" s="468"/>
    </row>
    <row r="204" spans="1:20" ht="15" customHeight="1">
      <c r="A204" s="863">
        <f t="shared" si="39"/>
        <v>189</v>
      </c>
      <c r="B204" s="515">
        <v>39900</v>
      </c>
      <c r="C204" s="88" t="s">
        <v>1593</v>
      </c>
      <c r="D204" s="347">
        <v>164784.07</v>
      </c>
      <c r="E204" s="624">
        <v>0</v>
      </c>
      <c r="F204" s="431">
        <f t="shared" si="48"/>
        <v>164784.07</v>
      </c>
      <c r="G204" s="468">
        <f t="shared" si="58"/>
        <v>9.8900000000000002E-2</v>
      </c>
      <c r="H204" s="468">
        <f t="shared" si="59"/>
        <v>0.49440000000000001</v>
      </c>
      <c r="I204" s="431">
        <f t="shared" si="49"/>
        <v>8057.3082521712004</v>
      </c>
      <c r="K204" s="347">
        <v>164784.07000000004</v>
      </c>
      <c r="L204" s="468">
        <f t="shared" si="52"/>
        <v>9.8900000000000002E-2</v>
      </c>
      <c r="M204" s="468">
        <f t="shared" si="53"/>
        <v>0.49440000000000001</v>
      </c>
      <c r="N204" s="431">
        <f t="shared" si="51"/>
        <v>8057.3082521712022</v>
      </c>
      <c r="P204" s="663"/>
      <c r="S204" s="468"/>
      <c r="T204" s="468"/>
    </row>
    <row r="205" spans="1:20" ht="15" customHeight="1">
      <c r="A205" s="863">
        <f t="shared" si="39"/>
        <v>190</v>
      </c>
      <c r="B205" s="515">
        <v>39901</v>
      </c>
      <c r="C205" s="80" t="s">
        <v>1586</v>
      </c>
      <c r="D205" s="347">
        <v>21470636.984477963</v>
      </c>
      <c r="E205" s="624">
        <v>0</v>
      </c>
      <c r="F205" s="431">
        <f t="shared" si="48"/>
        <v>21470636.984477963</v>
      </c>
      <c r="G205" s="468">
        <f t="shared" si="58"/>
        <v>9.8900000000000002E-2</v>
      </c>
      <c r="H205" s="468">
        <f t="shared" si="59"/>
        <v>0.49440000000000001</v>
      </c>
      <c r="I205" s="431">
        <f t="shared" si="49"/>
        <v>1049831.7012949521</v>
      </c>
      <c r="K205" s="347">
        <v>20569772.851769973</v>
      </c>
      <c r="L205" s="468">
        <f t="shared" si="52"/>
        <v>9.8900000000000002E-2</v>
      </c>
      <c r="M205" s="468">
        <f t="shared" si="53"/>
        <v>0.49440000000000001</v>
      </c>
      <c r="N205" s="431">
        <f t="shared" si="51"/>
        <v>1005782.9045238008</v>
      </c>
      <c r="P205" s="663"/>
      <c r="S205" s="468"/>
      <c r="T205" s="468"/>
    </row>
    <row r="206" spans="1:20" ht="15" customHeight="1">
      <c r="A206" s="863">
        <f t="shared" si="39"/>
        <v>191</v>
      </c>
      <c r="B206" s="515">
        <v>39902</v>
      </c>
      <c r="C206" s="88" t="s">
        <v>1587</v>
      </c>
      <c r="D206" s="347">
        <v>16339314.536018241</v>
      </c>
      <c r="E206" s="624">
        <v>0</v>
      </c>
      <c r="F206" s="431">
        <f t="shared" si="48"/>
        <v>16339314.536018241</v>
      </c>
      <c r="G206" s="468">
        <f t="shared" si="58"/>
        <v>9.8900000000000002E-2</v>
      </c>
      <c r="H206" s="468">
        <f t="shared" si="59"/>
        <v>0.49440000000000001</v>
      </c>
      <c r="I206" s="431">
        <f t="shared" si="49"/>
        <v>798929.73784347379</v>
      </c>
      <c r="K206" s="347">
        <v>16180853.774298741</v>
      </c>
      <c r="L206" s="468">
        <f t="shared" si="52"/>
        <v>9.8900000000000002E-2</v>
      </c>
      <c r="M206" s="468">
        <f t="shared" si="53"/>
        <v>0.49440000000000001</v>
      </c>
      <c r="N206" s="431">
        <f t="shared" si="51"/>
        <v>791181.61508471507</v>
      </c>
      <c r="P206" s="663"/>
      <c r="S206" s="468"/>
      <c r="T206" s="468"/>
    </row>
    <row r="207" spans="1:20" ht="15" customHeight="1">
      <c r="A207" s="863">
        <f t="shared" si="39"/>
        <v>192</v>
      </c>
      <c r="B207" s="515">
        <v>39903</v>
      </c>
      <c r="C207" s="88" t="s">
        <v>1578</v>
      </c>
      <c r="D207" s="347">
        <v>2251878.1799999988</v>
      </c>
      <c r="E207" s="624">
        <v>0</v>
      </c>
      <c r="F207" s="431">
        <f t="shared" si="48"/>
        <v>2251878.1799999988</v>
      </c>
      <c r="G207" s="468">
        <f t="shared" si="58"/>
        <v>9.8900000000000002E-2</v>
      </c>
      <c r="H207" s="468">
        <f t="shared" si="59"/>
        <v>0.49440000000000001</v>
      </c>
      <c r="I207" s="431">
        <f t="shared" si="49"/>
        <v>110108.19578978875</v>
      </c>
      <c r="K207" s="347">
        <v>2251878.1799999992</v>
      </c>
      <c r="L207" s="468">
        <f t="shared" si="52"/>
        <v>9.8900000000000002E-2</v>
      </c>
      <c r="M207" s="468">
        <f t="shared" si="53"/>
        <v>0.49440000000000001</v>
      </c>
      <c r="N207" s="431">
        <f t="shared" si="51"/>
        <v>110108.19578978876</v>
      </c>
      <c r="P207" s="663"/>
      <c r="S207" s="468"/>
      <c r="T207" s="468"/>
    </row>
    <row r="208" spans="1:20" ht="15" customHeight="1">
      <c r="A208" s="863">
        <f t="shared" si="39"/>
        <v>193</v>
      </c>
      <c r="B208" s="515">
        <v>39904</v>
      </c>
      <c r="C208" s="88" t="s">
        <v>1594</v>
      </c>
      <c r="D208" s="347">
        <v>0</v>
      </c>
      <c r="E208" s="624">
        <v>0</v>
      </c>
      <c r="F208" s="431">
        <f t="shared" si="48"/>
        <v>0</v>
      </c>
      <c r="G208" s="468">
        <f t="shared" si="58"/>
        <v>9.8900000000000002E-2</v>
      </c>
      <c r="H208" s="468">
        <f t="shared" si="59"/>
        <v>0.49440000000000001</v>
      </c>
      <c r="I208" s="431">
        <f t="shared" si="49"/>
        <v>0</v>
      </c>
      <c r="K208" s="347">
        <v>0</v>
      </c>
      <c r="L208" s="468">
        <f t="shared" si="52"/>
        <v>9.8900000000000002E-2</v>
      </c>
      <c r="M208" s="468">
        <f t="shared" si="53"/>
        <v>0.49440000000000001</v>
      </c>
      <c r="N208" s="431">
        <f t="shared" si="51"/>
        <v>0</v>
      </c>
      <c r="P208" s="663"/>
      <c r="S208" s="468"/>
      <c r="T208" s="468"/>
    </row>
    <row r="209" spans="1:20">
      <c r="A209" s="863">
        <f t="shared" si="39"/>
        <v>194</v>
      </c>
      <c r="B209" s="515">
        <v>39905</v>
      </c>
      <c r="C209" s="88" t="s">
        <v>1595</v>
      </c>
      <c r="D209" s="347">
        <v>0</v>
      </c>
      <c r="E209" s="624">
        <v>0</v>
      </c>
      <c r="F209" s="431">
        <f t="shared" si="48"/>
        <v>0</v>
      </c>
      <c r="G209" s="468">
        <f t="shared" si="58"/>
        <v>9.8900000000000002E-2</v>
      </c>
      <c r="H209" s="468">
        <f t="shared" si="59"/>
        <v>0.49440000000000001</v>
      </c>
      <c r="I209" s="431">
        <f t="shared" si="49"/>
        <v>0</v>
      </c>
      <c r="K209" s="347">
        <v>0</v>
      </c>
      <c r="L209" s="468">
        <f t="shared" si="52"/>
        <v>9.8900000000000002E-2</v>
      </c>
      <c r="M209" s="468">
        <f t="shared" si="53"/>
        <v>0.49440000000000001</v>
      </c>
      <c r="N209" s="431">
        <f t="shared" si="51"/>
        <v>0</v>
      </c>
      <c r="P209" s="663"/>
      <c r="S209" s="468"/>
      <c r="T209" s="468"/>
    </row>
    <row r="210" spans="1:20">
      <c r="A210" s="863">
        <f t="shared" si="39"/>
        <v>195</v>
      </c>
      <c r="B210" s="709">
        <v>39906</v>
      </c>
      <c r="C210" s="88" t="s">
        <v>1579</v>
      </c>
      <c r="D210" s="347">
        <v>1065059.2760894618</v>
      </c>
      <c r="E210" s="624">
        <v>0</v>
      </c>
      <c r="F210" s="431">
        <f t="shared" si="48"/>
        <v>1065059.2760894618</v>
      </c>
      <c r="G210" s="468">
        <f t="shared" si="58"/>
        <v>9.8900000000000002E-2</v>
      </c>
      <c r="H210" s="468">
        <f t="shared" si="59"/>
        <v>0.49440000000000001</v>
      </c>
      <c r="I210" s="431">
        <f t="shared" si="49"/>
        <v>52077.308773154495</v>
      </c>
      <c r="K210" s="347">
        <v>1017107.8487541006</v>
      </c>
      <c r="L210" s="468">
        <f t="shared" si="52"/>
        <v>9.8900000000000002E-2</v>
      </c>
      <c r="M210" s="468">
        <f t="shared" si="53"/>
        <v>0.49440000000000001</v>
      </c>
      <c r="N210" s="431">
        <f t="shared" si="51"/>
        <v>49732.668109936305</v>
      </c>
      <c r="P210" s="663"/>
      <c r="S210" s="468"/>
      <c r="T210" s="468"/>
    </row>
    <row r="211" spans="1:20">
      <c r="A211" s="863">
        <f t="shared" si="39"/>
        <v>196</v>
      </c>
      <c r="B211" s="709">
        <v>39907</v>
      </c>
      <c r="C211" s="88" t="s">
        <v>1580</v>
      </c>
      <c r="D211" s="347">
        <v>2485988.1420179773</v>
      </c>
      <c r="E211" s="624">
        <v>0</v>
      </c>
      <c r="F211" s="431">
        <f t="shared" si="48"/>
        <v>2485988.1420179773</v>
      </c>
      <c r="G211" s="468">
        <f t="shared" si="58"/>
        <v>9.8900000000000002E-2</v>
      </c>
      <c r="H211" s="468">
        <f t="shared" si="59"/>
        <v>0.49440000000000001</v>
      </c>
      <c r="I211" s="431">
        <f t="shared" si="49"/>
        <v>121555.27395021374</v>
      </c>
      <c r="K211" s="347">
        <v>2485988.1420179764</v>
      </c>
      <c r="L211" s="468">
        <f t="shared" si="52"/>
        <v>9.8900000000000002E-2</v>
      </c>
      <c r="M211" s="468">
        <f t="shared" si="53"/>
        <v>0.49440000000000001</v>
      </c>
      <c r="N211" s="431">
        <f t="shared" si="51"/>
        <v>121555.2739502137</v>
      </c>
      <c r="P211" s="663"/>
      <c r="S211" s="468"/>
      <c r="T211" s="468"/>
    </row>
    <row r="212" spans="1:20">
      <c r="A212" s="863">
        <f t="shared" si="39"/>
        <v>197</v>
      </c>
      <c r="B212" s="709">
        <v>39908</v>
      </c>
      <c r="C212" s="88" t="s">
        <v>1581</v>
      </c>
      <c r="D212" s="347">
        <v>29232699.673757985</v>
      </c>
      <c r="E212" s="624">
        <v>0</v>
      </c>
      <c r="F212" s="431">
        <f t="shared" si="48"/>
        <v>29232699.673757985</v>
      </c>
      <c r="G212" s="468">
        <f t="shared" si="58"/>
        <v>9.8900000000000002E-2</v>
      </c>
      <c r="H212" s="468">
        <f t="shared" si="59"/>
        <v>0.49440000000000001</v>
      </c>
      <c r="I212" s="431">
        <f t="shared" si="49"/>
        <v>1429366.7604800183</v>
      </c>
      <c r="K212" s="347">
        <v>29230839.146969978</v>
      </c>
      <c r="L212" s="468">
        <f t="shared" si="52"/>
        <v>9.8900000000000002E-2</v>
      </c>
      <c r="M212" s="468">
        <f t="shared" si="53"/>
        <v>0.49440000000000001</v>
      </c>
      <c r="N212" s="431">
        <f t="shared" si="51"/>
        <v>1429275.7878645076</v>
      </c>
      <c r="P212" s="663"/>
      <c r="S212" s="468"/>
      <c r="T212" s="468"/>
    </row>
    <row r="213" spans="1:20">
      <c r="A213" s="863">
        <f t="shared" si="39"/>
        <v>198</v>
      </c>
      <c r="B213" s="709">
        <v>39909</v>
      </c>
      <c r="C213" s="88" t="s">
        <v>1596</v>
      </c>
      <c r="D213" s="347">
        <v>42121.860000000015</v>
      </c>
      <c r="E213" s="624">
        <v>0</v>
      </c>
      <c r="F213" s="431">
        <f t="shared" si="48"/>
        <v>42121.860000000015</v>
      </c>
      <c r="G213" s="468">
        <f t="shared" si="58"/>
        <v>9.8900000000000002E-2</v>
      </c>
      <c r="H213" s="468">
        <f t="shared" si="59"/>
        <v>0.49440000000000001</v>
      </c>
      <c r="I213" s="431">
        <f t="shared" si="49"/>
        <v>2059.5972060576009</v>
      </c>
      <c r="K213" s="347">
        <v>42121.86</v>
      </c>
      <c r="L213" s="468">
        <f t="shared" si="52"/>
        <v>9.8900000000000002E-2</v>
      </c>
      <c r="M213" s="468">
        <f t="shared" si="53"/>
        <v>0.49440000000000001</v>
      </c>
      <c r="N213" s="431">
        <f t="shared" si="51"/>
        <v>2059.5972060576</v>
      </c>
      <c r="P213" s="663"/>
      <c r="S213" s="468"/>
      <c r="T213" s="468"/>
    </row>
    <row r="214" spans="1:20">
      <c r="A214" s="863">
        <f t="shared" si="39"/>
        <v>199</v>
      </c>
      <c r="B214" s="709">
        <v>39921</v>
      </c>
      <c r="C214" s="88" t="s">
        <v>1545</v>
      </c>
      <c r="D214" s="347">
        <v>1142766.3461630014</v>
      </c>
      <c r="E214" s="624">
        <v>0</v>
      </c>
      <c r="F214" s="431">
        <f t="shared" si="48"/>
        <v>1142766.3461630014</v>
      </c>
      <c r="G214" s="468">
        <v>1</v>
      </c>
      <c r="H214" s="468">
        <f>Allocation!$E$22</f>
        <v>6.437198999999999E-2</v>
      </c>
      <c r="I214" s="431">
        <f t="shared" si="49"/>
        <v>73562.143807541259</v>
      </c>
      <c r="K214" s="347">
        <v>1109170.4615450008</v>
      </c>
      <c r="L214" s="468">
        <f t="shared" ref="L214:L223" si="60">G214</f>
        <v>1</v>
      </c>
      <c r="M214" s="468">
        <f t="shared" ref="M214:M223" si="61">H214</f>
        <v>6.437198999999999E-2</v>
      </c>
      <c r="N214" s="431">
        <f t="shared" si="51"/>
        <v>71399.509858870166</v>
      </c>
      <c r="P214" s="663"/>
      <c r="S214" s="468"/>
      <c r="T214" s="468"/>
    </row>
    <row r="215" spans="1:20">
      <c r="A215" s="863">
        <f t="shared" si="39"/>
        <v>200</v>
      </c>
      <c r="B215" s="709">
        <v>39922</v>
      </c>
      <c r="C215" s="88" t="s">
        <v>1546</v>
      </c>
      <c r="D215" s="347">
        <v>405152.1328569997</v>
      </c>
      <c r="E215" s="624">
        <v>0</v>
      </c>
      <c r="F215" s="431">
        <f t="shared" si="48"/>
        <v>405152.1328569997</v>
      </c>
      <c r="G215" s="468">
        <v>1</v>
      </c>
      <c r="H215" s="468">
        <f>Allocation!$E$22</f>
        <v>6.437198999999999E-2</v>
      </c>
      <c r="I215" s="431">
        <f t="shared" si="49"/>
        <v>26080.449044749454</v>
      </c>
      <c r="K215" s="347">
        <v>400371.59775499988</v>
      </c>
      <c r="L215" s="468">
        <f t="shared" si="60"/>
        <v>1</v>
      </c>
      <c r="M215" s="468">
        <f t="shared" si="61"/>
        <v>6.437198999999999E-2</v>
      </c>
      <c r="N215" s="431">
        <f t="shared" si="51"/>
        <v>25772.716486968871</v>
      </c>
      <c r="P215" s="663"/>
      <c r="S215" s="468"/>
      <c r="T215" s="468"/>
    </row>
    <row r="216" spans="1:20">
      <c r="A216" s="863">
        <f t="shared" si="39"/>
        <v>201</v>
      </c>
      <c r="B216" s="709">
        <v>39923</v>
      </c>
      <c r="C216" s="88" t="s">
        <v>1547</v>
      </c>
      <c r="D216" s="347">
        <v>39028.929999999978</v>
      </c>
      <c r="E216" s="624">
        <v>0</v>
      </c>
      <c r="F216" s="431">
        <f t="shared" si="48"/>
        <v>39028.929999999978</v>
      </c>
      <c r="G216" s="468">
        <v>1</v>
      </c>
      <c r="H216" s="468">
        <f>Allocation!$E$22</f>
        <v>6.437198999999999E-2</v>
      </c>
      <c r="I216" s="431">
        <f t="shared" si="49"/>
        <v>2512.3698916706981</v>
      </c>
      <c r="K216" s="347">
        <v>39028.929999999986</v>
      </c>
      <c r="L216" s="468">
        <f t="shared" si="60"/>
        <v>1</v>
      </c>
      <c r="M216" s="468">
        <f t="shared" si="61"/>
        <v>6.437198999999999E-2</v>
      </c>
      <c r="N216" s="431">
        <f t="shared" si="51"/>
        <v>2512.3698916706985</v>
      </c>
      <c r="P216" s="663"/>
      <c r="S216" s="468"/>
      <c r="T216" s="468"/>
    </row>
    <row r="217" spans="1:20">
      <c r="A217" s="863">
        <f t="shared" si="39"/>
        <v>202</v>
      </c>
      <c r="B217" s="709">
        <v>39924</v>
      </c>
      <c r="C217" s="88" t="s">
        <v>1413</v>
      </c>
      <c r="D217" s="347">
        <v>0</v>
      </c>
      <c r="E217" s="624">
        <v>0</v>
      </c>
      <c r="F217" s="431">
        <f t="shared" si="48"/>
        <v>0</v>
      </c>
      <c r="G217" s="468">
        <f t="shared" si="58"/>
        <v>9.8900000000000002E-2</v>
      </c>
      <c r="H217" s="468">
        <f t="shared" si="59"/>
        <v>0.49440000000000001</v>
      </c>
      <c r="I217" s="431">
        <f t="shared" si="49"/>
        <v>0</v>
      </c>
      <c r="K217" s="347">
        <v>0</v>
      </c>
      <c r="L217" s="468">
        <f t="shared" si="60"/>
        <v>9.8900000000000002E-2</v>
      </c>
      <c r="M217" s="468">
        <f t="shared" si="61"/>
        <v>0.49440000000000001</v>
      </c>
      <c r="N217" s="431">
        <f t="shared" si="51"/>
        <v>0</v>
      </c>
      <c r="P217" s="663"/>
      <c r="S217" s="468"/>
      <c r="T217" s="468"/>
    </row>
    <row r="218" spans="1:20">
      <c r="A218" s="863">
        <f t="shared" si="39"/>
        <v>203</v>
      </c>
      <c r="B218" s="709">
        <v>39926</v>
      </c>
      <c r="C218" s="88" t="s">
        <v>1556</v>
      </c>
      <c r="D218" s="347">
        <v>488022.76766599994</v>
      </c>
      <c r="E218" s="624">
        <v>0</v>
      </c>
      <c r="F218" s="431">
        <f t="shared" si="48"/>
        <v>488022.76766599994</v>
      </c>
      <c r="G218" s="468">
        <v>1</v>
      </c>
      <c r="H218" s="468">
        <f>Allocation!$E$22</f>
        <v>6.437198999999999E-2</v>
      </c>
      <c r="I218" s="431">
        <f t="shared" si="49"/>
        <v>31414.996719968065</v>
      </c>
      <c r="K218" s="347">
        <v>488022.76766599994</v>
      </c>
      <c r="L218" s="468">
        <f t="shared" si="60"/>
        <v>1</v>
      </c>
      <c r="M218" s="468">
        <f t="shared" si="61"/>
        <v>6.437198999999999E-2</v>
      </c>
      <c r="N218" s="431">
        <f t="shared" si="51"/>
        <v>31414.996719968065</v>
      </c>
      <c r="P218" s="663"/>
      <c r="S218" s="468"/>
      <c r="T218" s="468"/>
    </row>
    <row r="219" spans="1:20">
      <c r="A219" s="863">
        <f t="shared" si="39"/>
        <v>204</v>
      </c>
      <c r="B219" s="709">
        <v>39928</v>
      </c>
      <c r="C219" s="88" t="s">
        <v>1557</v>
      </c>
      <c r="D219" s="347">
        <v>11269680.320534788</v>
      </c>
      <c r="E219" s="624">
        <v>0</v>
      </c>
      <c r="F219" s="431">
        <f t="shared" si="48"/>
        <v>11269680.320534788</v>
      </c>
      <c r="G219" s="468">
        <v>1</v>
      </c>
      <c r="H219" s="468">
        <f>Allocation!$E$22</f>
        <v>6.437198999999999E-2</v>
      </c>
      <c r="I219" s="431">
        <f t="shared" si="49"/>
        <v>725451.74889666203</v>
      </c>
      <c r="K219" s="347">
        <v>11256106.523744555</v>
      </c>
      <c r="L219" s="468">
        <f t="shared" si="60"/>
        <v>1</v>
      </c>
      <c r="M219" s="468">
        <f t="shared" si="61"/>
        <v>6.437198999999999E-2</v>
      </c>
      <c r="N219" s="431">
        <f t="shared" si="51"/>
        <v>724577.97658541915</v>
      </c>
      <c r="P219" s="663"/>
      <c r="S219" s="468"/>
      <c r="T219" s="468"/>
    </row>
    <row r="220" spans="1:20">
      <c r="A220" s="863">
        <f t="shared" si="39"/>
        <v>205</v>
      </c>
      <c r="B220" s="709">
        <v>39931</v>
      </c>
      <c r="C220" s="88" t="s">
        <v>1558</v>
      </c>
      <c r="D220" s="347">
        <v>66078.371264057118</v>
      </c>
      <c r="E220" s="624">
        <v>0</v>
      </c>
      <c r="F220" s="431">
        <f t="shared" si="48"/>
        <v>66078.371264057118</v>
      </c>
      <c r="G220" s="468">
        <v>1</v>
      </c>
      <c r="H220" s="468">
        <f>Allocation!$E$23</f>
        <v>0</v>
      </c>
      <c r="I220" s="431">
        <f t="shared" si="49"/>
        <v>0</v>
      </c>
      <c r="K220" s="347">
        <v>54530.786236113403</v>
      </c>
      <c r="L220" s="468">
        <f t="shared" si="60"/>
        <v>1</v>
      </c>
      <c r="M220" s="468">
        <f t="shared" si="61"/>
        <v>0</v>
      </c>
      <c r="N220" s="431">
        <f t="shared" si="51"/>
        <v>0</v>
      </c>
      <c r="P220" s="663"/>
      <c r="S220" s="468"/>
      <c r="T220" s="468"/>
    </row>
    <row r="221" spans="1:20">
      <c r="A221" s="863">
        <f t="shared" si="39"/>
        <v>206</v>
      </c>
      <c r="B221" s="709">
        <v>39932</v>
      </c>
      <c r="C221" s="88" t="s">
        <v>1559</v>
      </c>
      <c r="D221" s="347">
        <v>18754.52</v>
      </c>
      <c r="E221" s="624">
        <v>0</v>
      </c>
      <c r="F221" s="431">
        <f t="shared" si="48"/>
        <v>18754.52</v>
      </c>
      <c r="G221" s="468">
        <v>1</v>
      </c>
      <c r="H221" s="468">
        <f>Allocation!$E$23</f>
        <v>0</v>
      </c>
      <c r="I221" s="431">
        <f t="shared" si="49"/>
        <v>0</v>
      </c>
      <c r="K221" s="347">
        <v>18754.519999999997</v>
      </c>
      <c r="L221" s="468">
        <f t="shared" si="60"/>
        <v>1</v>
      </c>
      <c r="M221" s="468">
        <f t="shared" si="61"/>
        <v>0</v>
      </c>
      <c r="N221" s="431">
        <f t="shared" si="51"/>
        <v>0</v>
      </c>
      <c r="P221" s="663"/>
      <c r="S221" s="468"/>
      <c r="T221" s="468"/>
    </row>
    <row r="222" spans="1:20">
      <c r="A222" s="863">
        <f t="shared" si="39"/>
        <v>207</v>
      </c>
      <c r="B222" s="709">
        <v>39938</v>
      </c>
      <c r="C222" s="88" t="s">
        <v>1560</v>
      </c>
      <c r="D222" s="347">
        <v>2305883.5299999998</v>
      </c>
      <c r="E222" s="624">
        <v>0</v>
      </c>
      <c r="F222" s="431">
        <f t="shared" ref="F222" si="62">D222+E222</f>
        <v>2305883.5299999998</v>
      </c>
      <c r="G222" s="468">
        <v>1</v>
      </c>
      <c r="H222" s="468">
        <f>Allocation!$E$23</f>
        <v>0</v>
      </c>
      <c r="I222" s="431">
        <f t="shared" ref="I222" si="63">F222*G222*H222</f>
        <v>0</v>
      </c>
      <c r="K222" s="347">
        <v>2305883.5300000003</v>
      </c>
      <c r="L222" s="468">
        <f t="shared" si="60"/>
        <v>1</v>
      </c>
      <c r="M222" s="468">
        <f t="shared" si="61"/>
        <v>0</v>
      </c>
      <c r="N222" s="431">
        <f t="shared" ref="N222" si="64">K222*L222*M222</f>
        <v>0</v>
      </c>
      <c r="P222" s="663"/>
      <c r="S222" s="468"/>
      <c r="T222" s="468"/>
    </row>
    <row r="223" spans="1:20">
      <c r="A223" s="863">
        <f t="shared" si="39"/>
        <v>208</v>
      </c>
      <c r="B223" s="709"/>
      <c r="C223" s="88" t="s">
        <v>1153</v>
      </c>
      <c r="D223" s="347">
        <v>0</v>
      </c>
      <c r="E223" s="1071">
        <v>0</v>
      </c>
      <c r="F223" s="382">
        <f t="shared" si="48"/>
        <v>0</v>
      </c>
      <c r="G223" s="424">
        <f t="shared" si="58"/>
        <v>9.8900000000000002E-2</v>
      </c>
      <c r="H223" s="424">
        <f t="shared" si="59"/>
        <v>0.49440000000000001</v>
      </c>
      <c r="I223" s="1054">
        <f t="shared" si="49"/>
        <v>0</v>
      </c>
      <c r="K223" s="347">
        <v>0</v>
      </c>
      <c r="L223" s="468">
        <f t="shared" si="60"/>
        <v>9.8900000000000002E-2</v>
      </c>
      <c r="M223" s="468">
        <f t="shared" si="61"/>
        <v>0.49440000000000001</v>
      </c>
      <c r="N223" s="1054">
        <f t="shared" si="51"/>
        <v>0</v>
      </c>
      <c r="P223" s="663"/>
      <c r="S223" s="468"/>
      <c r="T223" s="468"/>
    </row>
    <row r="224" spans="1:20">
      <c r="A224" s="863">
        <f t="shared" si="39"/>
        <v>209</v>
      </c>
      <c r="B224" s="391"/>
      <c r="C224" s="88"/>
      <c r="D224" s="1073"/>
      <c r="E224" s="1073"/>
      <c r="F224" s="1073"/>
    </row>
    <row r="225" spans="1:20" ht="15.75" thickBot="1">
      <c r="A225" s="863">
        <f t="shared" si="39"/>
        <v>210</v>
      </c>
      <c r="B225" s="391"/>
      <c r="C225" s="234" t="s">
        <v>1344</v>
      </c>
      <c r="D225" s="330">
        <f>SUM(D185:D223)</f>
        <v>106312468.59453219</v>
      </c>
      <c r="E225" s="330">
        <f>SUM(E185:E223)</f>
        <v>0</v>
      </c>
      <c r="F225" s="330">
        <f>SUM(F185:F223)</f>
        <v>102828605.0513967</v>
      </c>
      <c r="I225" s="330">
        <f>SUM(I185:I223)</f>
        <v>4991703.5609389972</v>
      </c>
      <c r="K225" s="330">
        <f>SUM(K185:K223)</f>
        <v>104694574.20532212</v>
      </c>
      <c r="N225" s="330">
        <f>SUM(N185:N223)</f>
        <v>4923121.3320528166</v>
      </c>
    </row>
    <row r="226" spans="1:20" ht="15.75" thickTop="1">
      <c r="A226" s="863">
        <f t="shared" si="39"/>
        <v>211</v>
      </c>
      <c r="B226" s="1050"/>
      <c r="D226" s="619"/>
    </row>
    <row r="227" spans="1:20" ht="15.75">
      <c r="A227" s="863">
        <f t="shared" si="39"/>
        <v>212</v>
      </c>
      <c r="B227" s="1055" t="s">
        <v>9</v>
      </c>
      <c r="D227" s="619"/>
    </row>
    <row r="228" spans="1:20">
      <c r="A228" s="863">
        <f t="shared" si="39"/>
        <v>213</v>
      </c>
      <c r="B228" s="1050"/>
      <c r="D228" s="619"/>
      <c r="P228" s="673"/>
    </row>
    <row r="229" spans="1:20">
      <c r="A229" s="863">
        <f t="shared" si="39"/>
        <v>214</v>
      </c>
      <c r="B229" s="391"/>
      <c r="C229" s="622" t="s">
        <v>305</v>
      </c>
      <c r="D229" s="619"/>
    </row>
    <row r="230" spans="1:20">
      <c r="A230" s="863">
        <f t="shared" si="39"/>
        <v>215</v>
      </c>
      <c r="B230" s="515">
        <v>38900</v>
      </c>
      <c r="C230" s="88" t="s">
        <v>1597</v>
      </c>
      <c r="D230" s="347">
        <v>0</v>
      </c>
      <c r="E230" s="347">
        <v>0</v>
      </c>
      <c r="F230" s="347">
        <f t="shared" ref="F230:F259" si="65">D230+E230</f>
        <v>0</v>
      </c>
      <c r="G230" s="468">
        <f>Allocation!$C$15</f>
        <v>0.10929999999999999</v>
      </c>
      <c r="H230" s="468">
        <f>Allocation!$D$15</f>
        <v>0.51883860656465508</v>
      </c>
      <c r="I230" s="347">
        <f t="shared" ref="I230:I259" si="66">F230*G230*H230</f>
        <v>0</v>
      </c>
      <c r="K230" s="347">
        <v>0</v>
      </c>
      <c r="L230" s="325">
        <f>G230</f>
        <v>0.10929999999999999</v>
      </c>
      <c r="M230" s="325">
        <f>H230</f>
        <v>0.51883860656465508</v>
      </c>
      <c r="N230" s="361">
        <f>K230*L230*M230</f>
        <v>0</v>
      </c>
      <c r="P230" s="663"/>
      <c r="S230" s="468"/>
      <c r="T230" s="468"/>
    </row>
    <row r="231" spans="1:20">
      <c r="A231" s="863">
        <f t="shared" si="39"/>
        <v>216</v>
      </c>
      <c r="B231" s="515">
        <v>38910</v>
      </c>
      <c r="C231" s="88" t="s">
        <v>1598</v>
      </c>
      <c r="D231" s="347">
        <v>0</v>
      </c>
      <c r="E231" s="431">
        <v>0</v>
      </c>
      <c r="F231" s="431">
        <f t="shared" si="65"/>
        <v>0</v>
      </c>
      <c r="G231" s="468">
        <v>1</v>
      </c>
      <c r="H231" s="468">
        <f>Allocation!$E$21</f>
        <v>2.3324339999999999E-2</v>
      </c>
      <c r="I231" s="431">
        <f t="shared" si="66"/>
        <v>0</v>
      </c>
      <c r="K231" s="347">
        <v>0</v>
      </c>
      <c r="L231" s="325">
        <f t="shared" ref="L231:L259" si="67">G231</f>
        <v>1</v>
      </c>
      <c r="M231" s="325">
        <f t="shared" ref="M231:M259" si="68">H231</f>
        <v>2.3324339999999999E-2</v>
      </c>
      <c r="N231" s="619">
        <f t="shared" ref="N231:N259" si="69">K231*L231*M231</f>
        <v>0</v>
      </c>
      <c r="P231" s="663"/>
      <c r="S231" s="468"/>
      <c r="T231" s="468"/>
    </row>
    <row r="232" spans="1:20">
      <c r="A232" s="863">
        <f t="shared" si="39"/>
        <v>217</v>
      </c>
      <c r="B232" s="515">
        <v>39000</v>
      </c>
      <c r="C232" s="88" t="s">
        <v>1563</v>
      </c>
      <c r="D232" s="347">
        <v>2084561.2525705013</v>
      </c>
      <c r="E232" s="431">
        <v>0</v>
      </c>
      <c r="F232" s="431">
        <f t="shared" si="65"/>
        <v>2084561.2525705013</v>
      </c>
      <c r="G232" s="468">
        <f>Allocation!$C$15</f>
        <v>0.10929999999999999</v>
      </c>
      <c r="H232" s="468">
        <f>Allocation!$D$15</f>
        <v>0.51883860656465508</v>
      </c>
      <c r="I232" s="431">
        <f t="shared" si="66"/>
        <v>118213.50851515096</v>
      </c>
      <c r="K232" s="347">
        <v>1894620.2404075009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107442.13231739259</v>
      </c>
      <c r="P232" s="663"/>
      <c r="S232" s="468"/>
      <c r="T232" s="468"/>
    </row>
    <row r="233" spans="1:20">
      <c r="A233" s="863">
        <f t="shared" si="39"/>
        <v>218</v>
      </c>
      <c r="B233" s="515">
        <v>39009</v>
      </c>
      <c r="C233" s="88" t="s">
        <v>1567</v>
      </c>
      <c r="D233" s="347">
        <v>1705841.7356562498</v>
      </c>
      <c r="E233" s="431">
        <v>0</v>
      </c>
      <c r="F233" s="431">
        <f t="shared" si="65"/>
        <v>1705841.7356562498</v>
      </c>
      <c r="G233" s="468">
        <f>Allocation!$C$15</f>
        <v>0.10929999999999999</v>
      </c>
      <c r="H233" s="468">
        <f>Allocation!$D$15</f>
        <v>0.51883860656465508</v>
      </c>
      <c r="I233" s="431">
        <f t="shared" si="66"/>
        <v>96736.680821845948</v>
      </c>
      <c r="K233" s="347">
        <v>1660006.7654687499</v>
      </c>
      <c r="L233" s="325">
        <f t="shared" si="67"/>
        <v>0.10929999999999999</v>
      </c>
      <c r="M233" s="325">
        <f t="shared" si="68"/>
        <v>0.51883860656465508</v>
      </c>
      <c r="N233" s="619">
        <f t="shared" si="69"/>
        <v>94137.422761249109</v>
      </c>
      <c r="P233" s="663"/>
      <c r="S233" s="468"/>
      <c r="T233" s="468"/>
    </row>
    <row r="234" spans="1:20">
      <c r="A234" s="863">
        <f t="shared" ref="A234:A247" si="70">A233+1</f>
        <v>219</v>
      </c>
      <c r="B234" s="515">
        <v>39010</v>
      </c>
      <c r="C234" s="88" t="s">
        <v>1599</v>
      </c>
      <c r="D234" s="347">
        <v>3318656.1903542946</v>
      </c>
      <c r="E234" s="431">
        <v>0</v>
      </c>
      <c r="F234" s="431">
        <f t="shared" si="65"/>
        <v>3318656.1903542946</v>
      </c>
      <c r="G234" s="468">
        <v>1</v>
      </c>
      <c r="H234" s="468">
        <f>Allocation!$E$21</f>
        <v>2.3324339999999999E-2</v>
      </c>
      <c r="I234" s="431">
        <f t="shared" si="66"/>
        <v>77405.465326928286</v>
      </c>
      <c r="K234" s="347">
        <v>2982734.9956626217</v>
      </c>
      <c r="L234" s="325">
        <f t="shared" si="67"/>
        <v>1</v>
      </c>
      <c r="M234" s="325">
        <f t="shared" si="68"/>
        <v>2.3324339999999999E-2</v>
      </c>
      <c r="N234" s="619">
        <f t="shared" si="69"/>
        <v>69570.325168733514</v>
      </c>
      <c r="P234" s="663"/>
      <c r="S234" s="468"/>
      <c r="T234" s="468"/>
    </row>
    <row r="235" spans="1:20">
      <c r="A235" s="863">
        <f t="shared" si="70"/>
        <v>220</v>
      </c>
      <c r="B235" s="515">
        <v>39100</v>
      </c>
      <c r="C235" s="88" t="s">
        <v>1568</v>
      </c>
      <c r="D235" s="347">
        <v>896441.80512681208</v>
      </c>
      <c r="E235" s="431">
        <v>0</v>
      </c>
      <c r="F235" s="431">
        <f t="shared" si="65"/>
        <v>896441.80512681208</v>
      </c>
      <c r="G235" s="468">
        <f>Allocation!$C$15</f>
        <v>0.10929999999999999</v>
      </c>
      <c r="H235" s="468">
        <f>Allocation!$D$15</f>
        <v>0.51883860656465508</v>
      </c>
      <c r="I235" s="431">
        <f t="shared" si="66"/>
        <v>50836.371842286106</v>
      </c>
      <c r="K235" s="347">
        <v>847930.27916942246</v>
      </c>
      <c r="L235" s="325">
        <f t="shared" si="67"/>
        <v>0.10929999999999999</v>
      </c>
      <c r="M235" s="325">
        <f t="shared" si="68"/>
        <v>0.51883860656465508</v>
      </c>
      <c r="N235" s="619">
        <f t="shared" si="69"/>
        <v>48085.328820750867</v>
      </c>
      <c r="P235" s="663"/>
      <c r="S235" s="468"/>
      <c r="T235" s="468"/>
    </row>
    <row r="236" spans="1:20">
      <c r="A236" s="863">
        <f t="shared" si="70"/>
        <v>221</v>
      </c>
      <c r="B236" s="515">
        <v>39101</v>
      </c>
      <c r="C236" s="88" t="s">
        <v>1538</v>
      </c>
      <c r="D236" s="347">
        <v>0</v>
      </c>
      <c r="E236" s="431">
        <v>0</v>
      </c>
      <c r="F236" s="431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66"/>
        <v>0</v>
      </c>
      <c r="K236" s="347">
        <v>0</v>
      </c>
      <c r="L236" s="325">
        <f t="shared" si="67"/>
        <v>0.10929999999999999</v>
      </c>
      <c r="M236" s="325">
        <f t="shared" si="68"/>
        <v>0.51883860656465508</v>
      </c>
      <c r="N236" s="619">
        <f t="shared" si="69"/>
        <v>0</v>
      </c>
      <c r="P236" s="663"/>
      <c r="S236" s="468"/>
      <c r="T236" s="468"/>
    </row>
    <row r="237" spans="1:20">
      <c r="A237" s="863">
        <f t="shared" si="70"/>
        <v>222</v>
      </c>
      <c r="B237" s="515">
        <v>39102</v>
      </c>
      <c r="C237" s="88" t="s">
        <v>1548</v>
      </c>
      <c r="D237" s="347">
        <v>0</v>
      </c>
      <c r="E237" s="431">
        <v>0</v>
      </c>
      <c r="F237" s="431">
        <f t="shared" si="65"/>
        <v>0</v>
      </c>
      <c r="G237" s="468">
        <f>Allocation!$C$15</f>
        <v>0.10929999999999999</v>
      </c>
      <c r="H237" s="468">
        <f>Allocation!$D$15</f>
        <v>0.51883860656465508</v>
      </c>
      <c r="I237" s="431">
        <f t="shared" si="66"/>
        <v>0</v>
      </c>
      <c r="K237" s="347">
        <v>0</v>
      </c>
      <c r="L237" s="325">
        <f t="shared" si="67"/>
        <v>0.10929999999999999</v>
      </c>
      <c r="M237" s="325">
        <f t="shared" si="68"/>
        <v>0.51883860656465508</v>
      </c>
      <c r="N237" s="619">
        <f t="shared" si="69"/>
        <v>0</v>
      </c>
      <c r="P237" s="663"/>
      <c r="S237" s="468"/>
      <c r="T237" s="468"/>
    </row>
    <row r="238" spans="1:20">
      <c r="A238" s="863">
        <f t="shared" si="70"/>
        <v>223</v>
      </c>
      <c r="B238" s="515">
        <v>39103</v>
      </c>
      <c r="C238" s="88" t="s">
        <v>1342</v>
      </c>
      <c r="D238" s="347">
        <v>0</v>
      </c>
      <c r="E238" s="431">
        <v>0</v>
      </c>
      <c r="F238" s="431">
        <f t="shared" si="65"/>
        <v>0</v>
      </c>
      <c r="G238" s="468">
        <f>Allocation!$C$15</f>
        <v>0.10929999999999999</v>
      </c>
      <c r="H238" s="468">
        <f>Allocation!$D$15</f>
        <v>0.51883860656465508</v>
      </c>
      <c r="I238" s="431">
        <f t="shared" si="66"/>
        <v>0</v>
      </c>
      <c r="K238" s="347">
        <v>0</v>
      </c>
      <c r="L238" s="325">
        <f t="shared" si="67"/>
        <v>0.10929999999999999</v>
      </c>
      <c r="M238" s="325">
        <f t="shared" si="68"/>
        <v>0.51883860656465508</v>
      </c>
      <c r="N238" s="619">
        <f t="shared" si="69"/>
        <v>0</v>
      </c>
      <c r="P238" s="663"/>
      <c r="S238" s="468"/>
      <c r="T238" s="468"/>
    </row>
    <row r="239" spans="1:20">
      <c r="A239" s="863">
        <f t="shared" si="70"/>
        <v>224</v>
      </c>
      <c r="B239" s="515">
        <v>39110</v>
      </c>
      <c r="C239" s="88" t="s">
        <v>1549</v>
      </c>
      <c r="D239" s="347">
        <v>127815.03619517521</v>
      </c>
      <c r="E239" s="431">
        <v>0</v>
      </c>
      <c r="F239" s="431">
        <f t="shared" si="65"/>
        <v>127815.03619517521</v>
      </c>
      <c r="G239" s="468">
        <v>1</v>
      </c>
      <c r="H239" s="468">
        <f>Allocation!$E$21</f>
        <v>2.3324339999999999E-2</v>
      </c>
      <c r="I239" s="431">
        <f t="shared" si="66"/>
        <v>2981.2013613285731</v>
      </c>
      <c r="K239" s="347">
        <v>82371.93243963398</v>
      </c>
      <c r="L239" s="325">
        <f t="shared" si="67"/>
        <v>1</v>
      </c>
      <c r="M239" s="325">
        <f t="shared" si="68"/>
        <v>2.3324339999999999E-2</v>
      </c>
      <c r="N239" s="619">
        <f t="shared" si="69"/>
        <v>1921.2709586790522</v>
      </c>
      <c r="P239" s="663"/>
      <c r="S239" s="468"/>
      <c r="T239" s="468"/>
    </row>
    <row r="240" spans="1:20">
      <c r="A240" s="863">
        <f t="shared" si="70"/>
        <v>225</v>
      </c>
      <c r="B240" s="515">
        <v>39210</v>
      </c>
      <c r="C240" s="88" t="s">
        <v>1550</v>
      </c>
      <c r="D240" s="347">
        <v>96926.987319000094</v>
      </c>
      <c r="E240" s="431">
        <v>0</v>
      </c>
      <c r="F240" s="431">
        <f t="shared" si="65"/>
        <v>96926.987319000094</v>
      </c>
      <c r="G240" s="468">
        <v>1</v>
      </c>
      <c r="H240" s="468">
        <f>Allocation!$E$21</f>
        <v>2.3324339999999999E-2</v>
      </c>
      <c r="I240" s="431">
        <f t="shared" si="66"/>
        <v>2260.7580074040466</v>
      </c>
      <c r="K240" s="347">
        <v>96772.552620000075</v>
      </c>
      <c r="L240" s="325">
        <f t="shared" si="67"/>
        <v>1</v>
      </c>
      <c r="M240" s="325">
        <f t="shared" si="68"/>
        <v>2.3324339999999999E-2</v>
      </c>
      <c r="N240" s="619">
        <f t="shared" si="69"/>
        <v>2257.1559199767726</v>
      </c>
      <c r="P240" s="663"/>
      <c r="S240" s="468"/>
      <c r="T240" s="468"/>
    </row>
    <row r="241" spans="1:20">
      <c r="A241" s="863">
        <f t="shared" si="70"/>
        <v>226</v>
      </c>
      <c r="B241" s="515">
        <v>39410</v>
      </c>
      <c r="C241" s="88" t="s">
        <v>1551</v>
      </c>
      <c r="D241" s="347">
        <v>136664.91988749997</v>
      </c>
      <c r="E241" s="431">
        <v>0</v>
      </c>
      <c r="F241" s="431">
        <f t="shared" si="65"/>
        <v>136664.91988749997</v>
      </c>
      <c r="G241" s="468">
        <v>1</v>
      </c>
      <c r="H241" s="468">
        <f>Allocation!$E$21</f>
        <v>2.3324339999999999E-2</v>
      </c>
      <c r="I241" s="431">
        <f t="shared" si="66"/>
        <v>3187.619057528811</v>
      </c>
      <c r="K241" s="347">
        <v>122110.55706249994</v>
      </c>
      <c r="L241" s="325">
        <f t="shared" si="67"/>
        <v>1</v>
      </c>
      <c r="M241" s="325">
        <f t="shared" si="68"/>
        <v>2.3324339999999999E-2</v>
      </c>
      <c r="N241" s="619">
        <f t="shared" si="69"/>
        <v>2848.1481505151496</v>
      </c>
      <c r="P241" s="663"/>
      <c r="S241" s="468"/>
      <c r="T241" s="468"/>
    </row>
    <row r="242" spans="1:20">
      <c r="A242" s="863">
        <f t="shared" si="70"/>
        <v>227</v>
      </c>
      <c r="B242" s="515">
        <v>39510</v>
      </c>
      <c r="C242" s="88" t="s">
        <v>1552</v>
      </c>
      <c r="D242" s="347">
        <v>18123.260311250015</v>
      </c>
      <c r="E242" s="431">
        <v>0</v>
      </c>
      <c r="F242" s="431">
        <f t="shared" si="65"/>
        <v>18123.260311250015</v>
      </c>
      <c r="G242" s="468">
        <v>1</v>
      </c>
      <c r="H242" s="468">
        <f>Allocation!$E$21</f>
        <v>2.3324339999999999E-2</v>
      </c>
      <c r="I242" s="431">
        <f t="shared" si="66"/>
        <v>422.71308540810116</v>
      </c>
      <c r="K242" s="347">
        <v>16935.748793750008</v>
      </c>
      <c r="L242" s="325">
        <f t="shared" si="67"/>
        <v>1</v>
      </c>
      <c r="M242" s="325">
        <f t="shared" si="68"/>
        <v>2.3324339999999999E-2</v>
      </c>
      <c r="N242" s="619">
        <f t="shared" si="69"/>
        <v>395.01516302001505</v>
      </c>
      <c r="P242" s="663"/>
      <c r="S242" s="468"/>
      <c r="T242" s="468"/>
    </row>
    <row r="243" spans="1:20">
      <c r="A243" s="863">
        <f t="shared" si="70"/>
        <v>228</v>
      </c>
      <c r="B243" s="515">
        <v>39700</v>
      </c>
      <c r="C243" s="88" t="s">
        <v>1575</v>
      </c>
      <c r="D243" s="347">
        <v>1121209.2541362504</v>
      </c>
      <c r="E243" s="431">
        <v>0</v>
      </c>
      <c r="F243" s="431">
        <f t="shared" si="65"/>
        <v>1121209.2541362504</v>
      </c>
      <c r="G243" s="468">
        <f>Allocation!$C$15</f>
        <v>0.10929999999999999</v>
      </c>
      <c r="H243" s="468">
        <f>Allocation!$D$15</f>
        <v>0.51883860656465508</v>
      </c>
      <c r="I243" s="431">
        <f t="shared" si="66"/>
        <v>63582.722526220903</v>
      </c>
      <c r="K243" s="347">
        <v>1065250.5786687499</v>
      </c>
      <c r="L243" s="325">
        <f t="shared" si="67"/>
        <v>0.10929999999999999</v>
      </c>
      <c r="M243" s="325">
        <f t="shared" si="68"/>
        <v>0.51883860656465508</v>
      </c>
      <c r="N243" s="619">
        <f t="shared" si="69"/>
        <v>60409.358658540456</v>
      </c>
      <c r="P243" s="663"/>
      <c r="S243" s="468"/>
      <c r="T243" s="468"/>
    </row>
    <row r="244" spans="1:20">
      <c r="A244" s="863">
        <f t="shared" si="70"/>
        <v>229</v>
      </c>
      <c r="B244" s="515">
        <v>39710</v>
      </c>
      <c r="C244" s="88" t="s">
        <v>1600</v>
      </c>
      <c r="D244" s="347">
        <v>166250.07369375028</v>
      </c>
      <c r="E244" s="431">
        <v>0</v>
      </c>
      <c r="F244" s="431">
        <f t="shared" si="65"/>
        <v>166250.07369375028</v>
      </c>
      <c r="G244" s="468">
        <v>1</v>
      </c>
      <c r="H244" s="468">
        <f>Allocation!$E$21</f>
        <v>2.3324339999999999E-2</v>
      </c>
      <c r="I244" s="431">
        <f t="shared" si="66"/>
        <v>3877.6732438580871</v>
      </c>
      <c r="K244" s="347">
        <v>157641.22978125021</v>
      </c>
      <c r="L244" s="325">
        <f t="shared" si="67"/>
        <v>1</v>
      </c>
      <c r="M244" s="325">
        <f t="shared" si="68"/>
        <v>2.3324339999999999E-2</v>
      </c>
      <c r="N244" s="619">
        <f t="shared" si="69"/>
        <v>3676.8776414360054</v>
      </c>
      <c r="P244" s="663"/>
      <c r="S244" s="468"/>
      <c r="T244" s="468"/>
    </row>
    <row r="245" spans="1:20">
      <c r="A245" s="863">
        <f t="shared" si="70"/>
        <v>230</v>
      </c>
      <c r="B245" s="515">
        <v>39800</v>
      </c>
      <c r="C245" s="88" t="s">
        <v>1577</v>
      </c>
      <c r="D245" s="347">
        <v>16465.299724500022</v>
      </c>
      <c r="E245" s="431">
        <v>0</v>
      </c>
      <c r="F245" s="431">
        <f t="shared" si="65"/>
        <v>16465.299724500022</v>
      </c>
      <c r="G245" s="468">
        <f>Allocation!$C$15</f>
        <v>0.10929999999999999</v>
      </c>
      <c r="H245" s="468">
        <f>Allocation!$D$15</f>
        <v>0.51883860656465508</v>
      </c>
      <c r="I245" s="431">
        <f t="shared" si="66"/>
        <v>933.7316650141787</v>
      </c>
      <c r="K245" s="347">
        <v>14613.385517500019</v>
      </c>
      <c r="L245" s="325">
        <f t="shared" si="67"/>
        <v>0.10929999999999999</v>
      </c>
      <c r="M245" s="325">
        <f t="shared" si="68"/>
        <v>0.51883860656465508</v>
      </c>
      <c r="N245" s="619">
        <f t="shared" si="69"/>
        <v>828.71135169473598</v>
      </c>
      <c r="P245" s="663"/>
      <c r="S245" s="468"/>
      <c r="T245" s="468"/>
    </row>
    <row r="246" spans="1:20">
      <c r="A246" s="863">
        <f t="shared" si="70"/>
        <v>231</v>
      </c>
      <c r="B246" s="709">
        <v>39810</v>
      </c>
      <c r="C246" s="88" t="s">
        <v>1553</v>
      </c>
      <c r="D246" s="347">
        <v>171515.74983875008</v>
      </c>
      <c r="E246" s="431">
        <v>0</v>
      </c>
      <c r="F246" s="431">
        <f t="shared" si="65"/>
        <v>171515.74983875008</v>
      </c>
      <c r="G246" s="468">
        <v>1</v>
      </c>
      <c r="H246" s="468">
        <f>Allocation!$E$21</f>
        <v>2.3324339999999999E-2</v>
      </c>
      <c r="I246" s="431">
        <f t="shared" si="66"/>
        <v>4000.491664593952</v>
      </c>
      <c r="K246" s="347">
        <v>158045.21845625006</v>
      </c>
      <c r="L246" s="325">
        <f t="shared" si="67"/>
        <v>1</v>
      </c>
      <c r="M246" s="325">
        <f t="shared" si="68"/>
        <v>2.3324339999999999E-2</v>
      </c>
      <c r="N246" s="619">
        <f t="shared" si="69"/>
        <v>3686.3004106478515</v>
      </c>
      <c r="P246" s="663"/>
      <c r="S246" s="468"/>
      <c r="T246" s="468"/>
    </row>
    <row r="247" spans="1:20">
      <c r="A247" s="863">
        <f t="shared" si="70"/>
        <v>232</v>
      </c>
      <c r="B247" s="709">
        <v>39900</v>
      </c>
      <c r="C247" s="88" t="s">
        <v>1585</v>
      </c>
      <c r="D247" s="347">
        <v>518954.32443299971</v>
      </c>
      <c r="E247" s="431">
        <v>0</v>
      </c>
      <c r="F247" s="431">
        <f t="shared" si="65"/>
        <v>518954.32443299971</v>
      </c>
      <c r="G247" s="468">
        <f>Allocation!$C$15</f>
        <v>0.10929999999999999</v>
      </c>
      <c r="H247" s="468">
        <f>Allocation!$D$15</f>
        <v>0.51883860656465508</v>
      </c>
      <c r="I247" s="431">
        <f t="shared" si="66"/>
        <v>29429.41176455548</v>
      </c>
      <c r="K247" s="347">
        <v>477869.75459499977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27099.544440965543</v>
      </c>
      <c r="P247" s="663"/>
      <c r="S247" s="468"/>
      <c r="T247" s="468"/>
    </row>
    <row r="248" spans="1:20">
      <c r="A248" s="863">
        <f t="shared" ref="A248:A263" si="71">A247+1</f>
        <v>233</v>
      </c>
      <c r="B248" s="709">
        <v>39901</v>
      </c>
      <c r="C248" s="88" t="s">
        <v>1586</v>
      </c>
      <c r="D248" s="347">
        <v>5465022.0681487871</v>
      </c>
      <c r="E248" s="431">
        <v>0</v>
      </c>
      <c r="F248" s="431">
        <f t="shared" si="65"/>
        <v>5465022.0681487871</v>
      </c>
      <c r="G248" s="468">
        <f>Allocation!$C$15</f>
        <v>0.10929999999999999</v>
      </c>
      <c r="H248" s="468">
        <f>Allocation!$D$15</f>
        <v>0.51883860656465508</v>
      </c>
      <c r="I248" s="431">
        <f t="shared" si="66"/>
        <v>309916.26271089632</v>
      </c>
      <c r="K248" s="347">
        <v>5023620.4878982436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284884.79414588993</v>
      </c>
      <c r="P248" s="663"/>
      <c r="S248" s="468"/>
      <c r="T248" s="468"/>
    </row>
    <row r="249" spans="1:20">
      <c r="A249" s="863">
        <f t="shared" si="71"/>
        <v>234</v>
      </c>
      <c r="B249" s="709">
        <v>39902</v>
      </c>
      <c r="C249" s="88" t="s">
        <v>1587</v>
      </c>
      <c r="D249" s="347">
        <v>1272255.6179925005</v>
      </c>
      <c r="E249" s="431">
        <v>0</v>
      </c>
      <c r="F249" s="431">
        <f t="shared" si="65"/>
        <v>1272255.6179925005</v>
      </c>
      <c r="G249" s="468">
        <f>Allocation!$C$15</f>
        <v>0.10929999999999999</v>
      </c>
      <c r="H249" s="468">
        <f>Allocation!$D$15</f>
        <v>0.51883860656465508</v>
      </c>
      <c r="I249" s="431">
        <f t="shared" si="66"/>
        <v>72148.419791237829</v>
      </c>
      <c r="K249" s="347">
        <v>1187816.0071375002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67359.928858426545</v>
      </c>
      <c r="P249" s="663"/>
      <c r="S249" s="468"/>
      <c r="T249" s="468"/>
    </row>
    <row r="250" spans="1:20">
      <c r="A250" s="863">
        <f t="shared" si="71"/>
        <v>235</v>
      </c>
      <c r="B250" s="709">
        <v>39903</v>
      </c>
      <c r="C250" s="88" t="s">
        <v>1578</v>
      </c>
      <c r="D250" s="347">
        <v>377508.20396650006</v>
      </c>
      <c r="E250" s="431">
        <v>0</v>
      </c>
      <c r="F250" s="431">
        <f t="shared" si="65"/>
        <v>377508.20396650006</v>
      </c>
      <c r="G250" s="468">
        <f>Allocation!$C$15</f>
        <v>0.10929999999999999</v>
      </c>
      <c r="H250" s="468">
        <f>Allocation!$D$15</f>
        <v>0.51883860656465508</v>
      </c>
      <c r="I250" s="431">
        <f t="shared" si="66"/>
        <v>21408.1352750386</v>
      </c>
      <c r="K250" s="347">
        <v>355516.76854750008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20161.021651028444</v>
      </c>
      <c r="P250" s="663"/>
      <c r="S250" s="468"/>
      <c r="T250" s="468"/>
    </row>
    <row r="251" spans="1:20">
      <c r="A251" s="863">
        <f t="shared" si="71"/>
        <v>236</v>
      </c>
      <c r="B251" s="709">
        <v>39906</v>
      </c>
      <c r="C251" s="88" t="s">
        <v>1579</v>
      </c>
      <c r="D251" s="347">
        <v>608918.78513097845</v>
      </c>
      <c r="E251" s="431">
        <v>0</v>
      </c>
      <c r="F251" s="431">
        <f t="shared" si="65"/>
        <v>608918.78513097845</v>
      </c>
      <c r="G251" s="468">
        <f>Allocation!$C$15</f>
        <v>0.10929999999999999</v>
      </c>
      <c r="H251" s="468">
        <f>Allocation!$D$15</f>
        <v>0.51883860656465508</v>
      </c>
      <c r="I251" s="431">
        <f t="shared" si="66"/>
        <v>34531.211736932062</v>
      </c>
      <c r="K251" s="347">
        <v>559761.45274984674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31743.545640359785</v>
      </c>
      <c r="P251" s="663"/>
      <c r="S251" s="468"/>
      <c r="T251" s="468"/>
    </row>
    <row r="252" spans="1:20">
      <c r="A252" s="863">
        <f t="shared" si="71"/>
        <v>237</v>
      </c>
      <c r="B252" s="709">
        <v>39907</v>
      </c>
      <c r="C252" s="88" t="s">
        <v>1580</v>
      </c>
      <c r="D252" s="347">
        <v>140409.59469425</v>
      </c>
      <c r="E252" s="431">
        <v>0</v>
      </c>
      <c r="F252" s="431">
        <f t="shared" si="65"/>
        <v>140409.59469425</v>
      </c>
      <c r="G252" s="468">
        <f>Allocation!$C$15</f>
        <v>0.10929999999999999</v>
      </c>
      <c r="H252" s="468">
        <f>Allocation!$D$15</f>
        <v>0.51883860656465508</v>
      </c>
      <c r="I252" s="431">
        <f t="shared" si="66"/>
        <v>7962.4960876203613</v>
      </c>
      <c r="K252" s="347">
        <v>134102.90763874995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7604.8497948964523</v>
      </c>
      <c r="P252" s="663"/>
      <c r="S252" s="468"/>
      <c r="T252" s="468"/>
    </row>
    <row r="253" spans="1:20">
      <c r="A253" s="863">
        <f t="shared" si="71"/>
        <v>238</v>
      </c>
      <c r="B253" s="709">
        <v>39908</v>
      </c>
      <c r="C253" s="88" t="s">
        <v>1581</v>
      </c>
      <c r="D253" s="347">
        <v>33301289.810551211</v>
      </c>
      <c r="E253" s="431">
        <v>0</v>
      </c>
      <c r="F253" s="431">
        <f t="shared" si="65"/>
        <v>33301289.810551211</v>
      </c>
      <c r="G253" s="468">
        <f>Allocation!$C$15</f>
        <v>0.10929999999999999</v>
      </c>
      <c r="H253" s="468">
        <f>Allocation!$D$15</f>
        <v>0.51883860656465508</v>
      </c>
      <c r="I253" s="431">
        <f t="shared" si="66"/>
        <v>1888484.8318708565</v>
      </c>
      <c r="K253" s="347">
        <v>30357682.711901881</v>
      </c>
      <c r="L253" s="325">
        <f t="shared" si="67"/>
        <v>0.10929999999999999</v>
      </c>
      <c r="M253" s="325">
        <f t="shared" si="68"/>
        <v>0.51883860656465508</v>
      </c>
      <c r="N253" s="619">
        <f t="shared" si="69"/>
        <v>1721555.6411875174</v>
      </c>
      <c r="P253" s="663"/>
      <c r="S253" s="468"/>
      <c r="T253" s="468"/>
    </row>
    <row r="254" spans="1:20">
      <c r="A254" s="863">
        <f t="shared" si="71"/>
        <v>239</v>
      </c>
      <c r="B254" s="709">
        <v>39910</v>
      </c>
      <c r="C254" s="88" t="s">
        <v>1601</v>
      </c>
      <c r="D254" s="347">
        <v>149900.89651901685</v>
      </c>
      <c r="E254" s="431">
        <v>0</v>
      </c>
      <c r="F254" s="431">
        <f t="shared" si="65"/>
        <v>149900.89651901685</v>
      </c>
      <c r="G254" s="468">
        <v>1</v>
      </c>
      <c r="H254" s="468">
        <f>Allocation!$E$21</f>
        <v>2.3324339999999999E-2</v>
      </c>
      <c r="I254" s="431">
        <f t="shared" si="66"/>
        <v>3496.3394767143654</v>
      </c>
      <c r="K254" s="347">
        <v>131374.3138465721</v>
      </c>
      <c r="L254" s="325">
        <f t="shared" si="67"/>
        <v>1</v>
      </c>
      <c r="M254" s="325">
        <f t="shared" si="68"/>
        <v>2.3324339999999999E-2</v>
      </c>
      <c r="N254" s="619">
        <f t="shared" si="69"/>
        <v>3064.2191634241553</v>
      </c>
      <c r="P254" s="663"/>
      <c r="S254" s="468"/>
      <c r="T254" s="468"/>
    </row>
    <row r="255" spans="1:20">
      <c r="A255" s="863">
        <f t="shared" si="71"/>
        <v>240</v>
      </c>
      <c r="B255" s="709">
        <v>39916</v>
      </c>
      <c r="C255" s="88" t="s">
        <v>1602</v>
      </c>
      <c r="D255" s="347">
        <v>264413.83513082197</v>
      </c>
      <c r="E255" s="431">
        <v>0</v>
      </c>
      <c r="F255" s="431">
        <f t="shared" si="65"/>
        <v>264413.83513082197</v>
      </c>
      <c r="G255" s="468">
        <v>1</v>
      </c>
      <c r="H255" s="468">
        <f>Allocation!$E$21</f>
        <v>2.3324339999999999E-2</v>
      </c>
      <c r="I255" s="431">
        <f t="shared" si="66"/>
        <v>6167.278191295236</v>
      </c>
      <c r="K255" s="347">
        <v>248724.98238468025</v>
      </c>
      <c r="L255" s="325">
        <f t="shared" si="67"/>
        <v>1</v>
      </c>
      <c r="M255" s="325">
        <f t="shared" si="68"/>
        <v>2.3324339999999999E-2</v>
      </c>
      <c r="N255" s="619">
        <f t="shared" si="69"/>
        <v>5801.3460556342925</v>
      </c>
      <c r="P255" s="663"/>
      <c r="S255" s="468"/>
      <c r="T255" s="468"/>
    </row>
    <row r="256" spans="1:20">
      <c r="A256" s="863">
        <f t="shared" si="71"/>
        <v>241</v>
      </c>
      <c r="B256" s="709">
        <v>39917</v>
      </c>
      <c r="C256" s="88" t="s">
        <v>1603</v>
      </c>
      <c r="D256" s="347">
        <v>79729.613985825883</v>
      </c>
      <c r="E256" s="431">
        <v>0</v>
      </c>
      <c r="F256" s="431">
        <f t="shared" si="65"/>
        <v>79729.613985825883</v>
      </c>
      <c r="G256" s="468">
        <v>1</v>
      </c>
      <c r="H256" s="468">
        <f>Allocation!$E$21</f>
        <v>2.3324339999999999E-2</v>
      </c>
      <c r="I256" s="431">
        <f t="shared" si="66"/>
        <v>1859.6406246741581</v>
      </c>
      <c r="K256" s="347">
        <v>75561.588721850596</v>
      </c>
      <c r="L256" s="325">
        <f t="shared" si="67"/>
        <v>1</v>
      </c>
      <c r="M256" s="325">
        <f t="shared" si="68"/>
        <v>2.3324339999999999E-2</v>
      </c>
      <c r="N256" s="619">
        <f t="shared" si="69"/>
        <v>1762.4241862886086</v>
      </c>
      <c r="P256" s="663"/>
      <c r="S256" s="468"/>
      <c r="T256" s="468"/>
    </row>
    <row r="257" spans="1:20">
      <c r="A257" s="863">
        <f t="shared" si="71"/>
        <v>242</v>
      </c>
      <c r="B257" s="709">
        <v>39918</v>
      </c>
      <c r="C257" s="88" t="s">
        <v>1554</v>
      </c>
      <c r="D257" s="347">
        <v>11374.814256000012</v>
      </c>
      <c r="E257" s="431">
        <v>0</v>
      </c>
      <c r="F257" s="431">
        <f t="shared" si="65"/>
        <v>11374.814256000012</v>
      </c>
      <c r="G257" s="468">
        <v>1</v>
      </c>
      <c r="H257" s="468">
        <f>Allocation!$E$21</f>
        <v>2.3324339999999999E-2</v>
      </c>
      <c r="I257" s="431">
        <f t="shared" si="66"/>
        <v>265.31003514379131</v>
      </c>
      <c r="K257" s="347">
        <v>10704.55304000001</v>
      </c>
      <c r="L257" s="325">
        <f t="shared" si="67"/>
        <v>1</v>
      </c>
      <c r="M257" s="325">
        <f t="shared" si="68"/>
        <v>2.3324339999999999E-2</v>
      </c>
      <c r="N257" s="619">
        <f t="shared" si="69"/>
        <v>249.67663465299381</v>
      </c>
      <c r="P257" s="663"/>
      <c r="S257" s="468"/>
      <c r="T257" s="468"/>
    </row>
    <row r="258" spans="1:20">
      <c r="A258" s="863">
        <f t="shared" si="71"/>
        <v>243</v>
      </c>
      <c r="B258" s="709">
        <v>39924</v>
      </c>
      <c r="C258" s="88" t="s">
        <v>1555</v>
      </c>
      <c r="D258" s="347">
        <v>0</v>
      </c>
      <c r="E258" s="431">
        <v>0</v>
      </c>
      <c r="F258" s="431">
        <f t="shared" si="65"/>
        <v>0</v>
      </c>
      <c r="G258" s="468">
        <f>Allocation!$C$15</f>
        <v>0.10929999999999999</v>
      </c>
      <c r="H258" s="468">
        <f>Allocation!$D$15</f>
        <v>0.51883860656465508</v>
      </c>
      <c r="I258" s="431">
        <f t="shared" si="66"/>
        <v>0</v>
      </c>
      <c r="K258" s="347">
        <v>0</v>
      </c>
      <c r="L258" s="325">
        <f t="shared" si="67"/>
        <v>0.10929999999999999</v>
      </c>
      <c r="M258" s="325">
        <f t="shared" si="68"/>
        <v>0.51883860656465508</v>
      </c>
      <c r="N258" s="619">
        <f t="shared" si="69"/>
        <v>0</v>
      </c>
      <c r="P258" s="663"/>
      <c r="S258" s="468"/>
      <c r="T258" s="468"/>
    </row>
    <row r="259" spans="1:20">
      <c r="A259" s="863">
        <f t="shared" si="71"/>
        <v>244</v>
      </c>
      <c r="B259" s="709"/>
      <c r="C259" s="88" t="s">
        <v>1153</v>
      </c>
      <c r="D259" s="347">
        <v>0</v>
      </c>
      <c r="E259" s="382">
        <v>0</v>
      </c>
      <c r="F259" s="431">
        <f t="shared" si="65"/>
        <v>0</v>
      </c>
      <c r="G259" s="468">
        <f>$G$230</f>
        <v>0.10929999999999999</v>
      </c>
      <c r="H259" s="468">
        <f>$H$230</f>
        <v>0.51883860656465508</v>
      </c>
      <c r="I259" s="1054">
        <f t="shared" si="66"/>
        <v>0</v>
      </c>
      <c r="K259" s="347">
        <v>0</v>
      </c>
      <c r="L259" s="325">
        <f t="shared" si="67"/>
        <v>0.10929999999999999</v>
      </c>
      <c r="M259" s="325">
        <f t="shared" si="68"/>
        <v>0.51883860656465508</v>
      </c>
      <c r="N259" s="1057">
        <f t="shared" si="69"/>
        <v>0</v>
      </c>
      <c r="P259" s="663"/>
      <c r="S259" s="468"/>
      <c r="T259" s="468"/>
    </row>
    <row r="260" spans="1:20">
      <c r="A260" s="863">
        <f t="shared" si="71"/>
        <v>245</v>
      </c>
      <c r="B260" s="81"/>
      <c r="C260" s="88"/>
      <c r="D260" s="1072"/>
      <c r="E260" s="621"/>
      <c r="F260" s="621"/>
    </row>
    <row r="261" spans="1:20" ht="15.75" thickBot="1">
      <c r="A261" s="863">
        <f t="shared" si="71"/>
        <v>246</v>
      </c>
      <c r="B261" s="81"/>
      <c r="C261" s="234" t="s">
        <v>1345</v>
      </c>
      <c r="D261" s="513">
        <f>SUM(D230:D260)</f>
        <v>52050249.129622929</v>
      </c>
      <c r="E261" s="513">
        <f>SUM(E230:E260)</f>
        <v>0</v>
      </c>
      <c r="F261" s="513">
        <f>SUM(F230:F260)</f>
        <v>52050249.129622929</v>
      </c>
      <c r="I261" s="513">
        <f>SUM(I230:I260)</f>
        <v>2800108.2746825325</v>
      </c>
      <c r="K261" s="513">
        <f>SUM(K230:K260)</f>
        <v>47661769.012509756</v>
      </c>
      <c r="N261" s="513">
        <f>SUM(N230:N260)</f>
        <v>2566545.0390817202</v>
      </c>
    </row>
    <row r="262" spans="1:20" ht="15.75" thickTop="1">
      <c r="A262" s="863">
        <f t="shared" si="71"/>
        <v>247</v>
      </c>
    </row>
    <row r="263" spans="1:20" ht="30.75" thickBot="1">
      <c r="A263" s="863">
        <f t="shared" si="71"/>
        <v>248</v>
      </c>
      <c r="C263" s="617" t="s">
        <v>1155</v>
      </c>
      <c r="D263" s="513">
        <f>D261+D225+D180+D117</f>
        <v>351366738.52878886</v>
      </c>
      <c r="E263" s="513">
        <f>E261+E225+E180+E117</f>
        <v>0</v>
      </c>
      <c r="F263" s="513">
        <f>F261+F225+F180+F117</f>
        <v>347665558.89671677</v>
      </c>
      <c r="I263" s="513">
        <f>I261+I225+I180+I117</f>
        <v>199674587.1944201</v>
      </c>
      <c r="K263" s="513">
        <f>K261+K225+K180+K117</f>
        <v>337523341.43579942</v>
      </c>
      <c r="N263" s="513">
        <f>N261+N225+N180+N117</f>
        <v>191575916.54202574</v>
      </c>
    </row>
    <row r="264" spans="1:20" ht="15.75" thickTop="1"/>
  </sheetData>
  <mergeCells count="4">
    <mergeCell ref="A1:N1"/>
    <mergeCell ref="A2:N2"/>
    <mergeCell ref="A3:N3"/>
    <mergeCell ref="A4:N4"/>
  </mergeCells>
  <phoneticPr fontId="22" type="noConversion"/>
  <pageMargins left="0.75" right="0.66" top="1" bottom="0.94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9" max="13" man="1"/>
    <brk id="152" max="13" man="1"/>
    <brk id="180" max="13" man="1"/>
    <brk id="22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4"/>
  <sheetViews>
    <sheetView view="pageBreakPreview" zoomScale="60" zoomScaleNormal="70" workbookViewId="0">
      <pane ySplit="12" topLeftCell="A13" activePane="bottomLeft" state="frozen"/>
      <selection activeCell="F59" sqref="F59:F60"/>
      <selection pane="bottomLeft" sqref="A1:XFD1048576"/>
    </sheetView>
  </sheetViews>
  <sheetFormatPr defaultRowHeight="15"/>
  <cols>
    <col min="1" max="1" width="4.77734375" style="80" customWidth="1"/>
    <col min="2" max="2" width="9.33203125" style="80" customWidth="1"/>
    <col min="3" max="3" width="34.33203125" style="80" customWidth="1"/>
    <col min="4" max="4" width="12.6640625" style="80" customWidth="1"/>
    <col min="5" max="5" width="11" style="862" customWidth="1"/>
    <col min="6" max="6" width="11.33203125" style="862" customWidth="1"/>
    <col min="7" max="7" width="11.109375" style="862" customWidth="1"/>
    <col min="8" max="8" width="12" style="80" bestFit="1" customWidth="1"/>
    <col min="9" max="9" width="3.21875" style="80" customWidth="1"/>
    <col min="10" max="10" width="4.33203125" style="80" customWidth="1"/>
    <col min="11" max="11" width="11.109375" style="80" customWidth="1"/>
    <col min="12" max="12" width="9.6640625" style="80" customWidth="1"/>
    <col min="13" max="13" width="13.88671875" style="80" customWidth="1"/>
    <col min="14" max="16384" width="8.88671875" style="80"/>
  </cols>
  <sheetData>
    <row r="1" spans="1:13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</row>
    <row r="2" spans="1:13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</row>
    <row r="3" spans="1:13">
      <c r="A3" s="1162" t="s">
        <v>92</v>
      </c>
      <c r="B3" s="1162"/>
      <c r="C3" s="1162"/>
      <c r="D3" s="1162"/>
      <c r="E3" s="1162"/>
      <c r="F3" s="1162"/>
      <c r="G3" s="1162"/>
      <c r="H3" s="1162"/>
      <c r="I3" s="1162"/>
    </row>
    <row r="4" spans="1:13">
      <c r="A4" s="1162" t="str">
        <f>'Table of Contents'!A4:C4</f>
        <v>Forecasted Test Period: Twelve Months Ended March 31, 2019</v>
      </c>
      <c r="B4" s="1162"/>
      <c r="C4" s="1162"/>
      <c r="D4" s="1162"/>
      <c r="E4" s="1162"/>
      <c r="F4" s="1162"/>
      <c r="G4" s="1162"/>
      <c r="H4" s="1162"/>
      <c r="I4" s="1162"/>
    </row>
    <row r="5" spans="1:13" ht="15.75">
      <c r="A5" s="150"/>
      <c r="B5" s="150"/>
      <c r="C5" s="150"/>
      <c r="D5" s="911"/>
      <c r="E5" s="734"/>
      <c r="F5" s="865"/>
      <c r="G5" s="865"/>
      <c r="H5" s="81"/>
      <c r="I5" s="81"/>
    </row>
    <row r="6" spans="1:13" ht="15.75">
      <c r="A6" s="88" t="str">
        <f>'B.1 F '!A6</f>
        <v>Data:______Base Period__X___Forecasted Period</v>
      </c>
      <c r="B6" s="81"/>
      <c r="C6" s="81"/>
      <c r="D6" s="81"/>
      <c r="E6" s="865"/>
      <c r="F6" s="865"/>
      <c r="H6" s="910" t="s">
        <v>1446</v>
      </c>
      <c r="M6" s="911"/>
    </row>
    <row r="7" spans="1:13">
      <c r="A7" s="88" t="str">
        <f>'B.1 F '!A7</f>
        <v>Type of Filing:___X____Original________Updated ________Revised</v>
      </c>
      <c r="B7" s="88"/>
      <c r="C7" s="81"/>
      <c r="D7" s="81"/>
      <c r="E7" s="865"/>
      <c r="F7" s="865"/>
      <c r="H7" s="1039" t="s">
        <v>705</v>
      </c>
      <c r="I7" s="88"/>
    </row>
    <row r="8" spans="1:13">
      <c r="A8" s="392" t="str">
        <f>'B.1 F '!A8</f>
        <v>Workpaper Reference No(s).</v>
      </c>
      <c r="B8" s="151"/>
      <c r="C8" s="151"/>
      <c r="D8" s="151"/>
      <c r="E8" s="1074"/>
      <c r="F8" s="1074"/>
      <c r="G8" s="938"/>
      <c r="H8" s="551" t="str">
        <f>'B.1 B'!F8</f>
        <v>Witness:   Waller</v>
      </c>
      <c r="I8" s="392"/>
    </row>
    <row r="9" spans="1:13">
      <c r="A9" s="1038"/>
      <c r="B9" s="74"/>
      <c r="C9" s="74"/>
      <c r="D9" s="74"/>
      <c r="E9" s="719"/>
      <c r="F9" s="76"/>
      <c r="G9" s="75"/>
      <c r="H9" s="1038"/>
      <c r="I9" s="1038"/>
    </row>
    <row r="10" spans="1:13">
      <c r="A10" s="1038"/>
      <c r="B10" s="74"/>
      <c r="C10" s="74"/>
      <c r="D10" s="865" t="s">
        <v>1348</v>
      </c>
      <c r="E10" s="76" t="s">
        <v>1289</v>
      </c>
      <c r="F10" s="76" t="s">
        <v>13</v>
      </c>
      <c r="G10" s="863" t="s">
        <v>11</v>
      </c>
      <c r="H10" s="1038"/>
      <c r="I10" s="1038"/>
    </row>
    <row r="11" spans="1:13">
      <c r="A11" s="88" t="s">
        <v>94</v>
      </c>
      <c r="B11" s="863" t="s">
        <v>269</v>
      </c>
      <c r="C11" s="863" t="s">
        <v>217</v>
      </c>
      <c r="D11" s="865" t="s">
        <v>1347</v>
      </c>
      <c r="E11" s="863" t="s">
        <v>271</v>
      </c>
      <c r="F11" s="863" t="s">
        <v>14</v>
      </c>
      <c r="G11" s="75" t="s">
        <v>600</v>
      </c>
      <c r="H11" s="863" t="s">
        <v>12</v>
      </c>
      <c r="I11" s="863"/>
    </row>
    <row r="12" spans="1:13">
      <c r="A12" s="186" t="s">
        <v>100</v>
      </c>
      <c r="B12" s="186" t="s">
        <v>100</v>
      </c>
      <c r="C12" s="186" t="s">
        <v>300</v>
      </c>
      <c r="D12" s="1075">
        <f>'B.2 F'!D10</f>
        <v>43555</v>
      </c>
      <c r="E12" s="186" t="s">
        <v>1010</v>
      </c>
      <c r="F12" s="186" t="s">
        <v>633</v>
      </c>
      <c r="G12" s="186" t="s">
        <v>633</v>
      </c>
      <c r="H12" s="186" t="s">
        <v>105</v>
      </c>
      <c r="I12" s="75"/>
      <c r="K12" s="430"/>
      <c r="L12" s="430"/>
    </row>
    <row r="13" spans="1:13">
      <c r="A13" s="75"/>
      <c r="B13" s="75"/>
      <c r="C13" s="75"/>
      <c r="D13" s="75"/>
      <c r="E13" s="75"/>
      <c r="F13" s="75"/>
      <c r="G13" s="75"/>
      <c r="H13" s="75"/>
      <c r="I13" s="75"/>
    </row>
    <row r="14" spans="1:13" ht="15.75">
      <c r="B14" s="951" t="s">
        <v>6</v>
      </c>
    </row>
    <row r="15" spans="1:13">
      <c r="A15" s="863">
        <v>1</v>
      </c>
      <c r="B15" s="81"/>
      <c r="C15" s="622" t="s">
        <v>301</v>
      </c>
    </row>
    <row r="16" spans="1:13">
      <c r="A16" s="863">
        <f>A15+1</f>
        <v>2</v>
      </c>
      <c r="B16" s="515">
        <v>30100</v>
      </c>
      <c r="C16" s="88" t="s">
        <v>295</v>
      </c>
      <c r="D16" s="347">
        <v>0</v>
      </c>
      <c r="E16" s="468">
        <v>1</v>
      </c>
      <c r="F16" s="467">
        <v>1</v>
      </c>
      <c r="G16" s="467">
        <f>$F$16</f>
        <v>1</v>
      </c>
      <c r="H16" s="347">
        <f>D16*E16*F16*G16</f>
        <v>0</v>
      </c>
      <c r="I16" s="925"/>
    </row>
    <row r="17" spans="1:8">
      <c r="A17" s="863">
        <f t="shared" ref="A17:A80" si="0">A16+1</f>
        <v>3</v>
      </c>
      <c r="B17" s="515">
        <v>30200</v>
      </c>
      <c r="C17" s="88" t="s">
        <v>154</v>
      </c>
      <c r="D17" s="347">
        <v>0</v>
      </c>
      <c r="E17" s="468">
        <v>1</v>
      </c>
      <c r="F17" s="467">
        <f>$F$16</f>
        <v>1</v>
      </c>
      <c r="G17" s="467">
        <f>$F$16</f>
        <v>1</v>
      </c>
      <c r="H17" s="431">
        <f>D17*E17*F17*G17</f>
        <v>0</v>
      </c>
    </row>
    <row r="18" spans="1:8">
      <c r="A18" s="863">
        <f t="shared" si="0"/>
        <v>4</v>
      </c>
      <c r="B18" s="515"/>
      <c r="C18" s="88"/>
      <c r="D18" s="1068"/>
      <c r="E18" s="468"/>
      <c r="F18" s="467"/>
      <c r="G18" s="467"/>
      <c r="H18" s="1068"/>
    </row>
    <row r="19" spans="1:8">
      <c r="A19" s="863">
        <f t="shared" si="0"/>
        <v>5</v>
      </c>
      <c r="B19" s="709"/>
      <c r="C19" s="88" t="s">
        <v>1359</v>
      </c>
      <c r="D19" s="347">
        <f>SUM(D16:D18)</f>
        <v>0</v>
      </c>
      <c r="E19" s="468"/>
      <c r="F19" s="467"/>
      <c r="G19" s="467"/>
      <c r="H19" s="347">
        <f>SUM(H16:H18)</f>
        <v>0</v>
      </c>
    </row>
    <row r="20" spans="1:8">
      <c r="A20" s="863">
        <f t="shared" si="0"/>
        <v>6</v>
      </c>
      <c r="B20" s="709"/>
      <c r="C20" s="81"/>
      <c r="D20" s="431"/>
      <c r="E20" s="468"/>
      <c r="F20" s="467"/>
      <c r="G20" s="467"/>
      <c r="H20" s="431"/>
    </row>
    <row r="21" spans="1:8">
      <c r="A21" s="863">
        <f t="shared" si="0"/>
        <v>7</v>
      </c>
      <c r="B21" s="709"/>
      <c r="C21" s="622" t="s">
        <v>155</v>
      </c>
      <c r="D21" s="431"/>
      <c r="E21" s="468"/>
      <c r="F21" s="467"/>
      <c r="G21" s="467"/>
      <c r="H21" s="431"/>
    </row>
    <row r="22" spans="1:8">
      <c r="A22" s="863">
        <f t="shared" si="0"/>
        <v>8</v>
      </c>
      <c r="B22" s="515">
        <v>32540</v>
      </c>
      <c r="C22" s="88" t="s">
        <v>162</v>
      </c>
      <c r="D22" s="347">
        <v>0</v>
      </c>
      <c r="E22" s="468">
        <v>1</v>
      </c>
      <c r="F22" s="467">
        <f t="shared" ref="F22:G24" si="1">$F$16</f>
        <v>1</v>
      </c>
      <c r="G22" s="467">
        <f t="shared" si="1"/>
        <v>1</v>
      </c>
      <c r="H22" s="431">
        <f t="shared" ref="H22:H24" si="2">D22*E22*F22*G22</f>
        <v>0</v>
      </c>
    </row>
    <row r="23" spans="1:8">
      <c r="A23" s="863">
        <f t="shared" si="0"/>
        <v>9</v>
      </c>
      <c r="B23" s="515">
        <v>33202</v>
      </c>
      <c r="C23" s="88" t="s">
        <v>602</v>
      </c>
      <c r="D23" s="347">
        <v>0</v>
      </c>
      <c r="E23" s="468">
        <v>1</v>
      </c>
      <c r="F23" s="467">
        <f t="shared" si="1"/>
        <v>1</v>
      </c>
      <c r="G23" s="467">
        <f t="shared" si="1"/>
        <v>1</v>
      </c>
      <c r="H23" s="431">
        <f t="shared" si="2"/>
        <v>0</v>
      </c>
    </row>
    <row r="24" spans="1:8">
      <c r="A24" s="863">
        <f t="shared" si="0"/>
        <v>10</v>
      </c>
      <c r="B24" s="515">
        <v>33400</v>
      </c>
      <c r="C24" s="88" t="s">
        <v>1129</v>
      </c>
      <c r="D24" s="347">
        <v>0</v>
      </c>
      <c r="E24" s="468">
        <v>1</v>
      </c>
      <c r="F24" s="467">
        <f t="shared" si="1"/>
        <v>1</v>
      </c>
      <c r="G24" s="467">
        <f t="shared" si="1"/>
        <v>1</v>
      </c>
      <c r="H24" s="431">
        <f t="shared" si="2"/>
        <v>0</v>
      </c>
    </row>
    <row r="25" spans="1:8">
      <c r="A25" s="863">
        <f t="shared" si="0"/>
        <v>11</v>
      </c>
      <c r="B25" s="515"/>
      <c r="C25" s="81"/>
      <c r="D25" s="1068"/>
      <c r="E25" s="468"/>
      <c r="F25" s="467"/>
      <c r="G25" s="467"/>
      <c r="H25" s="431"/>
    </row>
    <row r="26" spans="1:8">
      <c r="A26" s="863">
        <f t="shared" si="0"/>
        <v>12</v>
      </c>
      <c r="B26" s="515"/>
      <c r="C26" s="81" t="s">
        <v>1358</v>
      </c>
      <c r="D26" s="347">
        <f>SUM(D22:D25)</f>
        <v>0</v>
      </c>
      <c r="E26" s="468"/>
      <c r="F26" s="467"/>
      <c r="G26" s="467"/>
      <c r="H26" s="347">
        <f>SUM(H22:H25)</f>
        <v>0</v>
      </c>
    </row>
    <row r="27" spans="1:8">
      <c r="A27" s="863">
        <f t="shared" si="0"/>
        <v>13</v>
      </c>
      <c r="B27" s="515"/>
      <c r="C27" s="88"/>
      <c r="D27" s="431"/>
      <c r="E27" s="468"/>
      <c r="F27" s="467"/>
      <c r="G27" s="467"/>
      <c r="H27" s="431"/>
    </row>
    <row r="28" spans="1:8">
      <c r="A28" s="863">
        <f t="shared" si="0"/>
        <v>14</v>
      </c>
      <c r="B28" s="515"/>
      <c r="C28" s="622" t="s">
        <v>280</v>
      </c>
      <c r="D28" s="431"/>
      <c r="E28" s="468"/>
      <c r="F28" s="467"/>
      <c r="G28" s="467"/>
      <c r="H28" s="431"/>
    </row>
    <row r="29" spans="1:8">
      <c r="A29" s="863">
        <f t="shared" si="0"/>
        <v>15</v>
      </c>
      <c r="B29" s="515">
        <v>35010</v>
      </c>
      <c r="C29" s="88" t="s">
        <v>296</v>
      </c>
      <c r="D29" s="347">
        <v>0</v>
      </c>
      <c r="E29" s="468">
        <v>1</v>
      </c>
      <c r="F29" s="467">
        <f t="shared" ref="F29:G45" si="3">$F$16</f>
        <v>1</v>
      </c>
      <c r="G29" s="467">
        <f t="shared" si="3"/>
        <v>1</v>
      </c>
      <c r="H29" s="347">
        <f t="shared" ref="H29:H45" si="4">D29*E29*F29*G29</f>
        <v>0</v>
      </c>
    </row>
    <row r="30" spans="1:8">
      <c r="A30" s="863">
        <f t="shared" si="0"/>
        <v>16</v>
      </c>
      <c r="B30" s="515">
        <v>35020</v>
      </c>
      <c r="C30" s="88" t="s">
        <v>799</v>
      </c>
      <c r="D30" s="347">
        <v>11.703950000000001</v>
      </c>
      <c r="E30" s="468">
        <v>1</v>
      </c>
      <c r="F30" s="467">
        <f t="shared" si="3"/>
        <v>1</v>
      </c>
      <c r="G30" s="467">
        <f t="shared" si="3"/>
        <v>1</v>
      </c>
      <c r="H30" s="431">
        <f t="shared" si="4"/>
        <v>11.703950000000001</v>
      </c>
    </row>
    <row r="31" spans="1:8">
      <c r="A31" s="863">
        <f t="shared" si="0"/>
        <v>17</v>
      </c>
      <c r="B31" s="515">
        <v>35100</v>
      </c>
      <c r="C31" s="88" t="s">
        <v>977</v>
      </c>
      <c r="D31" s="347">
        <v>299.20037300000001</v>
      </c>
      <c r="E31" s="468">
        <v>1</v>
      </c>
      <c r="F31" s="467">
        <f t="shared" si="3"/>
        <v>1</v>
      </c>
      <c r="G31" s="467">
        <f t="shared" si="3"/>
        <v>1</v>
      </c>
      <c r="H31" s="431">
        <f t="shared" si="4"/>
        <v>299.20037300000001</v>
      </c>
    </row>
    <row r="32" spans="1:8">
      <c r="A32" s="863">
        <f t="shared" si="0"/>
        <v>18</v>
      </c>
      <c r="B32" s="515">
        <v>35102</v>
      </c>
      <c r="C32" s="88" t="s">
        <v>281</v>
      </c>
      <c r="D32" s="347">
        <v>1931.0923800000003</v>
      </c>
      <c r="E32" s="468">
        <v>1</v>
      </c>
      <c r="F32" s="467">
        <f t="shared" si="3"/>
        <v>1</v>
      </c>
      <c r="G32" s="467">
        <f t="shared" si="3"/>
        <v>1</v>
      </c>
      <c r="H32" s="431">
        <f t="shared" si="4"/>
        <v>1931.0923800000003</v>
      </c>
    </row>
    <row r="33" spans="1:8">
      <c r="A33" s="863">
        <f t="shared" si="0"/>
        <v>19</v>
      </c>
      <c r="B33" s="515">
        <v>35103</v>
      </c>
      <c r="C33" s="88" t="s">
        <v>591</v>
      </c>
      <c r="D33" s="347">
        <v>212.87309600000006</v>
      </c>
      <c r="E33" s="468">
        <v>1</v>
      </c>
      <c r="F33" s="467">
        <f t="shared" si="3"/>
        <v>1</v>
      </c>
      <c r="G33" s="467">
        <f t="shared" si="3"/>
        <v>1</v>
      </c>
      <c r="H33" s="431">
        <f t="shared" si="4"/>
        <v>212.87309600000006</v>
      </c>
    </row>
    <row r="34" spans="1:8">
      <c r="A34" s="863">
        <f t="shared" si="0"/>
        <v>20</v>
      </c>
      <c r="B34" s="515">
        <v>35104</v>
      </c>
      <c r="C34" s="88" t="s">
        <v>592</v>
      </c>
      <c r="D34" s="347">
        <v>1786.7528900000004</v>
      </c>
      <c r="E34" s="468">
        <v>1</v>
      </c>
      <c r="F34" s="467">
        <f t="shared" si="3"/>
        <v>1</v>
      </c>
      <c r="G34" s="467">
        <f t="shared" si="3"/>
        <v>1</v>
      </c>
      <c r="H34" s="431">
        <f t="shared" si="4"/>
        <v>1786.7528900000004</v>
      </c>
    </row>
    <row r="35" spans="1:8">
      <c r="A35" s="863">
        <f t="shared" si="0"/>
        <v>21</v>
      </c>
      <c r="B35" s="515">
        <v>35200</v>
      </c>
      <c r="C35" s="88" t="s">
        <v>446</v>
      </c>
      <c r="D35" s="347">
        <v>143405.44504200001</v>
      </c>
      <c r="E35" s="468">
        <v>1</v>
      </c>
      <c r="F35" s="467">
        <f t="shared" si="3"/>
        <v>1</v>
      </c>
      <c r="G35" s="467">
        <f t="shared" si="3"/>
        <v>1</v>
      </c>
      <c r="H35" s="431">
        <f t="shared" si="4"/>
        <v>143405.44504200001</v>
      </c>
    </row>
    <row r="36" spans="1:8">
      <c r="A36" s="863">
        <f t="shared" si="0"/>
        <v>22</v>
      </c>
      <c r="B36" s="515">
        <v>35201</v>
      </c>
      <c r="C36" s="88" t="s">
        <v>593</v>
      </c>
      <c r="D36" s="347">
        <v>25669.977954000005</v>
      </c>
      <c r="E36" s="468">
        <v>1</v>
      </c>
      <c r="F36" s="467">
        <f t="shared" si="3"/>
        <v>1</v>
      </c>
      <c r="G36" s="467">
        <f t="shared" si="3"/>
        <v>1</v>
      </c>
      <c r="H36" s="431">
        <f t="shared" si="4"/>
        <v>25669.977954000005</v>
      </c>
    </row>
    <row r="37" spans="1:8">
      <c r="A37" s="863">
        <f t="shared" si="0"/>
        <v>23</v>
      </c>
      <c r="B37" s="515">
        <v>35202</v>
      </c>
      <c r="C37" s="88" t="s">
        <v>594</v>
      </c>
      <c r="D37" s="347">
        <v>0</v>
      </c>
      <c r="E37" s="468">
        <v>1</v>
      </c>
      <c r="F37" s="467">
        <f t="shared" si="3"/>
        <v>1</v>
      </c>
      <c r="G37" s="467">
        <f t="shared" si="3"/>
        <v>1</v>
      </c>
      <c r="H37" s="431">
        <f t="shared" si="4"/>
        <v>0</v>
      </c>
    </row>
    <row r="38" spans="1:8">
      <c r="A38" s="863">
        <f t="shared" si="0"/>
        <v>24</v>
      </c>
      <c r="B38" s="515">
        <v>35203</v>
      </c>
      <c r="C38" s="88" t="s">
        <v>347</v>
      </c>
      <c r="D38" s="347">
        <v>30506.993279999999</v>
      </c>
      <c r="E38" s="468">
        <v>1</v>
      </c>
      <c r="F38" s="467">
        <f t="shared" si="3"/>
        <v>1</v>
      </c>
      <c r="G38" s="467">
        <f t="shared" si="3"/>
        <v>1</v>
      </c>
      <c r="H38" s="431">
        <f t="shared" si="4"/>
        <v>30506.993279999999</v>
      </c>
    </row>
    <row r="39" spans="1:8">
      <c r="A39" s="863">
        <f t="shared" si="0"/>
        <v>25</v>
      </c>
      <c r="B39" s="515">
        <v>35210</v>
      </c>
      <c r="C39" s="88" t="s">
        <v>595</v>
      </c>
      <c r="D39" s="347">
        <v>624.85531499999991</v>
      </c>
      <c r="E39" s="468">
        <v>1</v>
      </c>
      <c r="F39" s="467">
        <f t="shared" si="3"/>
        <v>1</v>
      </c>
      <c r="G39" s="467">
        <f t="shared" si="3"/>
        <v>1</v>
      </c>
      <c r="H39" s="431">
        <f t="shared" si="4"/>
        <v>624.85531499999991</v>
      </c>
    </row>
    <row r="40" spans="1:8">
      <c r="A40" s="863">
        <f t="shared" si="0"/>
        <v>26</v>
      </c>
      <c r="B40" s="515">
        <v>35211</v>
      </c>
      <c r="C40" s="88" t="s">
        <v>596</v>
      </c>
      <c r="D40" s="347">
        <v>480.60557599999987</v>
      </c>
      <c r="E40" s="468">
        <v>1</v>
      </c>
      <c r="F40" s="467">
        <f t="shared" si="3"/>
        <v>1</v>
      </c>
      <c r="G40" s="467">
        <f t="shared" si="3"/>
        <v>1</v>
      </c>
      <c r="H40" s="431">
        <f t="shared" si="4"/>
        <v>480.60557599999987</v>
      </c>
    </row>
    <row r="41" spans="1:8">
      <c r="A41" s="863">
        <f t="shared" si="0"/>
        <v>27</v>
      </c>
      <c r="B41" s="515">
        <v>35301</v>
      </c>
      <c r="C41" s="81" t="s">
        <v>163</v>
      </c>
      <c r="D41" s="347">
        <v>1445.8248900000001</v>
      </c>
      <c r="E41" s="468">
        <v>1</v>
      </c>
      <c r="F41" s="467">
        <f t="shared" si="3"/>
        <v>1</v>
      </c>
      <c r="G41" s="467">
        <f t="shared" si="3"/>
        <v>1</v>
      </c>
      <c r="H41" s="431">
        <f t="shared" si="4"/>
        <v>1445.8248900000001</v>
      </c>
    </row>
    <row r="42" spans="1:8">
      <c r="A42" s="863">
        <f t="shared" si="0"/>
        <v>28</v>
      </c>
      <c r="B42" s="515">
        <v>35302</v>
      </c>
      <c r="C42" s="88" t="s">
        <v>602</v>
      </c>
      <c r="D42" s="347">
        <v>1696.6115010000003</v>
      </c>
      <c r="E42" s="468">
        <v>1</v>
      </c>
      <c r="F42" s="467">
        <f t="shared" si="3"/>
        <v>1</v>
      </c>
      <c r="G42" s="467">
        <f t="shared" si="3"/>
        <v>1</v>
      </c>
      <c r="H42" s="431">
        <f t="shared" si="4"/>
        <v>1696.6115010000003</v>
      </c>
    </row>
    <row r="43" spans="1:8">
      <c r="A43" s="863">
        <f t="shared" si="0"/>
        <v>29</v>
      </c>
      <c r="B43" s="515">
        <v>35400</v>
      </c>
      <c r="C43" s="88" t="s">
        <v>597</v>
      </c>
      <c r="D43" s="347">
        <v>16622.028900000001</v>
      </c>
      <c r="E43" s="468">
        <v>1</v>
      </c>
      <c r="F43" s="467">
        <f t="shared" si="3"/>
        <v>1</v>
      </c>
      <c r="G43" s="467">
        <f t="shared" si="3"/>
        <v>1</v>
      </c>
      <c r="H43" s="431">
        <f t="shared" si="4"/>
        <v>16622.028900000001</v>
      </c>
    </row>
    <row r="44" spans="1:8">
      <c r="A44" s="863">
        <f t="shared" si="0"/>
        <v>30</v>
      </c>
      <c r="B44" s="515">
        <v>35500</v>
      </c>
      <c r="C44" s="88" t="s">
        <v>1000</v>
      </c>
      <c r="D44" s="347">
        <v>2268.3028316667373</v>
      </c>
      <c r="E44" s="468">
        <v>1</v>
      </c>
      <c r="F44" s="467">
        <f t="shared" si="3"/>
        <v>1</v>
      </c>
      <c r="G44" s="467">
        <f t="shared" si="3"/>
        <v>1</v>
      </c>
      <c r="H44" s="431">
        <f t="shared" si="4"/>
        <v>2268.3028316667373</v>
      </c>
    </row>
    <row r="45" spans="1:8">
      <c r="A45" s="863">
        <f t="shared" si="0"/>
        <v>31</v>
      </c>
      <c r="B45" s="515">
        <v>35600</v>
      </c>
      <c r="C45" s="88" t="s">
        <v>1049</v>
      </c>
      <c r="D45" s="347">
        <v>8500.6007250000021</v>
      </c>
      <c r="E45" s="468">
        <v>1</v>
      </c>
      <c r="F45" s="467">
        <f t="shared" si="3"/>
        <v>1</v>
      </c>
      <c r="G45" s="467">
        <f t="shared" si="3"/>
        <v>1</v>
      </c>
      <c r="H45" s="1054">
        <f t="shared" si="4"/>
        <v>8500.6007250000021</v>
      </c>
    </row>
    <row r="46" spans="1:8">
      <c r="A46" s="863">
        <f t="shared" si="0"/>
        <v>32</v>
      </c>
      <c r="B46" s="515"/>
      <c r="C46" s="88"/>
      <c r="D46" s="1068"/>
      <c r="E46" s="468"/>
      <c r="F46" s="467"/>
      <c r="G46" s="467"/>
      <c r="H46" s="431"/>
    </row>
    <row r="47" spans="1:8">
      <c r="A47" s="863">
        <f t="shared" si="0"/>
        <v>33</v>
      </c>
      <c r="B47" s="515"/>
      <c r="C47" s="88" t="s">
        <v>1356</v>
      </c>
      <c r="D47" s="347">
        <f>SUM(D29:D46)</f>
        <v>235462.86870366675</v>
      </c>
      <c r="E47" s="468"/>
      <c r="F47" s="467"/>
      <c r="G47" s="467"/>
      <c r="H47" s="347">
        <f>SUM(H29:H46)</f>
        <v>235462.86870366675</v>
      </c>
    </row>
    <row r="48" spans="1:8">
      <c r="A48" s="863">
        <f t="shared" si="0"/>
        <v>34</v>
      </c>
      <c r="B48" s="515"/>
      <c r="C48" s="88"/>
      <c r="D48" s="431"/>
      <c r="E48" s="468"/>
      <c r="F48" s="467"/>
      <c r="G48" s="467"/>
      <c r="H48" s="431"/>
    </row>
    <row r="49" spans="1:8">
      <c r="A49" s="863">
        <f t="shared" si="0"/>
        <v>35</v>
      </c>
      <c r="B49" s="515"/>
      <c r="C49" s="622" t="s">
        <v>1001</v>
      </c>
      <c r="D49" s="431"/>
      <c r="E49" s="468"/>
      <c r="F49" s="467"/>
      <c r="G49" s="467"/>
      <c r="H49" s="431"/>
    </row>
    <row r="50" spans="1:8">
      <c r="A50" s="863">
        <f t="shared" si="0"/>
        <v>36</v>
      </c>
      <c r="B50" s="515">
        <v>36510</v>
      </c>
      <c r="C50" s="88" t="s">
        <v>296</v>
      </c>
      <c r="D50" s="347">
        <v>0</v>
      </c>
      <c r="E50" s="468">
        <v>1</v>
      </c>
      <c r="F50" s="467">
        <f t="shared" ref="F50:G57" si="5">$F$16</f>
        <v>1</v>
      </c>
      <c r="G50" s="467">
        <f t="shared" si="5"/>
        <v>1</v>
      </c>
      <c r="H50" s="347">
        <f t="shared" ref="H50:H57" si="6">D50*E50*F50*G50</f>
        <v>0</v>
      </c>
    </row>
    <row r="51" spans="1:8">
      <c r="A51" s="863">
        <f t="shared" si="0"/>
        <v>37</v>
      </c>
      <c r="B51" s="515">
        <v>36520</v>
      </c>
      <c r="C51" s="88" t="s">
        <v>799</v>
      </c>
      <c r="D51" s="347">
        <v>11541.367600000003</v>
      </c>
      <c r="E51" s="468">
        <v>1</v>
      </c>
      <c r="F51" s="467">
        <f t="shared" si="5"/>
        <v>1</v>
      </c>
      <c r="G51" s="467">
        <f t="shared" si="5"/>
        <v>1</v>
      </c>
      <c r="H51" s="431">
        <f t="shared" si="6"/>
        <v>11541.367600000003</v>
      </c>
    </row>
    <row r="52" spans="1:8">
      <c r="A52" s="863">
        <f t="shared" si="0"/>
        <v>38</v>
      </c>
      <c r="B52" s="515">
        <v>36602</v>
      </c>
      <c r="C52" s="88" t="s">
        <v>863</v>
      </c>
      <c r="D52" s="347">
        <v>872.23061599999994</v>
      </c>
      <c r="E52" s="468">
        <v>1</v>
      </c>
      <c r="F52" s="467">
        <f t="shared" si="5"/>
        <v>1</v>
      </c>
      <c r="G52" s="467">
        <f t="shared" si="5"/>
        <v>1</v>
      </c>
      <c r="H52" s="431">
        <f t="shared" si="6"/>
        <v>872.23061599999994</v>
      </c>
    </row>
    <row r="53" spans="1:8">
      <c r="A53" s="863">
        <f t="shared" si="0"/>
        <v>39</v>
      </c>
      <c r="B53" s="515">
        <v>36603</v>
      </c>
      <c r="C53" s="88" t="s">
        <v>1002</v>
      </c>
      <c r="D53" s="347">
        <v>1082.707962</v>
      </c>
      <c r="E53" s="468">
        <v>1</v>
      </c>
      <c r="F53" s="467">
        <f t="shared" si="5"/>
        <v>1</v>
      </c>
      <c r="G53" s="467">
        <f t="shared" si="5"/>
        <v>1</v>
      </c>
      <c r="H53" s="431">
        <f t="shared" si="6"/>
        <v>1082.707962</v>
      </c>
    </row>
    <row r="54" spans="1:8">
      <c r="A54" s="863">
        <f t="shared" si="0"/>
        <v>40</v>
      </c>
      <c r="B54" s="515">
        <v>36700</v>
      </c>
      <c r="C54" s="88" t="s">
        <v>851</v>
      </c>
      <c r="D54" s="347">
        <v>7946.2720000000018</v>
      </c>
      <c r="E54" s="468">
        <v>1</v>
      </c>
      <c r="F54" s="467">
        <f t="shared" si="5"/>
        <v>1</v>
      </c>
      <c r="G54" s="467">
        <f t="shared" si="5"/>
        <v>1</v>
      </c>
      <c r="H54" s="431">
        <f t="shared" si="6"/>
        <v>7946.2720000000018</v>
      </c>
    </row>
    <row r="55" spans="1:8">
      <c r="A55" s="863">
        <f t="shared" si="0"/>
        <v>41</v>
      </c>
      <c r="B55" s="515">
        <v>36701</v>
      </c>
      <c r="C55" s="88" t="s">
        <v>16</v>
      </c>
      <c r="D55" s="347">
        <v>522461.04680700001</v>
      </c>
      <c r="E55" s="468">
        <v>1</v>
      </c>
      <c r="F55" s="467">
        <f t="shared" si="5"/>
        <v>1</v>
      </c>
      <c r="G55" s="467">
        <f t="shared" si="5"/>
        <v>1</v>
      </c>
      <c r="H55" s="431">
        <f t="shared" si="6"/>
        <v>522461.04680700001</v>
      </c>
    </row>
    <row r="56" spans="1:8">
      <c r="A56" s="863">
        <f t="shared" si="0"/>
        <v>42</v>
      </c>
      <c r="B56" s="515">
        <v>36900</v>
      </c>
      <c r="C56" s="88" t="s">
        <v>1003</v>
      </c>
      <c r="D56" s="347">
        <v>15653.386096</v>
      </c>
      <c r="E56" s="468">
        <v>1</v>
      </c>
      <c r="F56" s="467">
        <f t="shared" si="5"/>
        <v>1</v>
      </c>
      <c r="G56" s="467">
        <f t="shared" si="5"/>
        <v>1</v>
      </c>
      <c r="H56" s="431">
        <f t="shared" si="6"/>
        <v>15653.386096</v>
      </c>
    </row>
    <row r="57" spans="1:8">
      <c r="A57" s="863">
        <f t="shared" si="0"/>
        <v>43</v>
      </c>
      <c r="B57" s="515">
        <v>36901</v>
      </c>
      <c r="C57" s="88" t="s">
        <v>1003</v>
      </c>
      <c r="D57" s="347">
        <v>48568.496473999992</v>
      </c>
      <c r="E57" s="468">
        <v>1</v>
      </c>
      <c r="F57" s="467">
        <f t="shared" si="5"/>
        <v>1</v>
      </c>
      <c r="G57" s="467">
        <f t="shared" si="5"/>
        <v>1</v>
      </c>
      <c r="H57" s="1054">
        <f t="shared" si="6"/>
        <v>48568.496473999992</v>
      </c>
    </row>
    <row r="58" spans="1:8">
      <c r="A58" s="863">
        <f t="shared" si="0"/>
        <v>44</v>
      </c>
      <c r="B58" s="515"/>
      <c r="C58" s="88"/>
      <c r="D58" s="1068"/>
      <c r="E58" s="468"/>
      <c r="F58" s="467"/>
      <c r="G58" s="467"/>
      <c r="H58" s="431"/>
    </row>
    <row r="59" spans="1:8">
      <c r="A59" s="863">
        <f t="shared" si="0"/>
        <v>45</v>
      </c>
      <c r="B59" s="709"/>
      <c r="C59" s="88" t="s">
        <v>1357</v>
      </c>
      <c r="D59" s="347">
        <f>SUM(D50:D58)</f>
        <v>608125.50755500002</v>
      </c>
      <c r="E59" s="468"/>
      <c r="F59" s="467"/>
      <c r="G59" s="467"/>
      <c r="H59" s="347">
        <f>SUM(H50:H58)</f>
        <v>608125.50755500002</v>
      </c>
    </row>
    <row r="60" spans="1:8">
      <c r="A60" s="863">
        <f t="shared" si="0"/>
        <v>46</v>
      </c>
      <c r="B60" s="709"/>
      <c r="C60" s="81"/>
      <c r="D60" s="431"/>
      <c r="E60" s="468"/>
      <c r="F60" s="467"/>
      <c r="G60" s="467"/>
      <c r="H60" s="431"/>
    </row>
    <row r="61" spans="1:8">
      <c r="A61" s="863">
        <f t="shared" si="0"/>
        <v>47</v>
      </c>
      <c r="B61" s="709"/>
      <c r="C61" s="622" t="s">
        <v>303</v>
      </c>
      <c r="D61" s="431"/>
      <c r="E61" s="468"/>
      <c r="F61" s="467"/>
      <c r="G61" s="467"/>
      <c r="H61" s="431"/>
    </row>
    <row r="62" spans="1:8">
      <c r="A62" s="863">
        <f t="shared" si="0"/>
        <v>48</v>
      </c>
      <c r="B62" s="515">
        <v>37400</v>
      </c>
      <c r="C62" s="88" t="s">
        <v>1157</v>
      </c>
      <c r="D62" s="347">
        <v>0</v>
      </c>
      <c r="E62" s="468">
        <v>1</v>
      </c>
      <c r="F62" s="467">
        <f t="shared" ref="F62:G81" si="7">$F$16</f>
        <v>1</v>
      </c>
      <c r="G62" s="467">
        <f t="shared" si="7"/>
        <v>1</v>
      </c>
      <c r="H62" s="347">
        <f t="shared" ref="H62:H81" si="8">D62*E62*F62*G62</f>
        <v>0</v>
      </c>
    </row>
    <row r="63" spans="1:8">
      <c r="A63" s="863">
        <f t="shared" si="0"/>
        <v>49</v>
      </c>
      <c r="B63" s="515">
        <v>37401</v>
      </c>
      <c r="C63" s="88" t="s">
        <v>296</v>
      </c>
      <c r="D63" s="347">
        <v>0</v>
      </c>
      <c r="E63" s="468">
        <v>1</v>
      </c>
      <c r="F63" s="467">
        <f t="shared" si="7"/>
        <v>1</v>
      </c>
      <c r="G63" s="467">
        <f t="shared" si="7"/>
        <v>1</v>
      </c>
      <c r="H63" s="431">
        <f t="shared" si="8"/>
        <v>0</v>
      </c>
    </row>
    <row r="64" spans="1:8">
      <c r="A64" s="863">
        <f t="shared" si="0"/>
        <v>50</v>
      </c>
      <c r="B64" s="515">
        <v>37402</v>
      </c>
      <c r="C64" s="88" t="s">
        <v>1007</v>
      </c>
      <c r="D64" s="347">
        <v>47619.270708477139</v>
      </c>
      <c r="E64" s="468">
        <v>1</v>
      </c>
      <c r="F64" s="467">
        <f t="shared" si="7"/>
        <v>1</v>
      </c>
      <c r="G64" s="467">
        <f t="shared" si="7"/>
        <v>1</v>
      </c>
      <c r="H64" s="431">
        <f t="shared" si="8"/>
        <v>47619.270708477139</v>
      </c>
    </row>
    <row r="65" spans="1:8">
      <c r="A65" s="863">
        <f t="shared" si="0"/>
        <v>51</v>
      </c>
      <c r="B65" s="515">
        <v>37403</v>
      </c>
      <c r="C65" s="88" t="s">
        <v>1004</v>
      </c>
      <c r="D65" s="347">
        <v>0</v>
      </c>
      <c r="E65" s="468">
        <v>1</v>
      </c>
      <c r="F65" s="467">
        <f t="shared" si="7"/>
        <v>1</v>
      </c>
      <c r="G65" s="467">
        <f t="shared" si="7"/>
        <v>1</v>
      </c>
      <c r="H65" s="431">
        <f t="shared" si="8"/>
        <v>0</v>
      </c>
    </row>
    <row r="66" spans="1:8">
      <c r="A66" s="863">
        <f t="shared" si="0"/>
        <v>52</v>
      </c>
      <c r="B66" s="515">
        <v>37500</v>
      </c>
      <c r="C66" s="88" t="s">
        <v>863</v>
      </c>
      <c r="D66" s="347">
        <v>6925.0513239999991</v>
      </c>
      <c r="E66" s="468">
        <v>1</v>
      </c>
      <c r="F66" s="467">
        <f t="shared" si="7"/>
        <v>1</v>
      </c>
      <c r="G66" s="467">
        <f t="shared" si="7"/>
        <v>1</v>
      </c>
      <c r="H66" s="431">
        <f t="shared" si="8"/>
        <v>6925.0513239999991</v>
      </c>
    </row>
    <row r="67" spans="1:8">
      <c r="A67" s="863">
        <f t="shared" si="0"/>
        <v>53</v>
      </c>
      <c r="B67" s="515">
        <v>37501</v>
      </c>
      <c r="C67" s="88" t="s">
        <v>1005</v>
      </c>
      <c r="D67" s="347">
        <v>2056.2534780000001</v>
      </c>
      <c r="E67" s="468">
        <v>1</v>
      </c>
      <c r="F67" s="467">
        <f t="shared" si="7"/>
        <v>1</v>
      </c>
      <c r="G67" s="467">
        <f t="shared" si="7"/>
        <v>1</v>
      </c>
      <c r="H67" s="431">
        <f t="shared" si="8"/>
        <v>2056.2534780000001</v>
      </c>
    </row>
    <row r="68" spans="1:8">
      <c r="A68" s="863">
        <f t="shared" si="0"/>
        <v>54</v>
      </c>
      <c r="B68" s="515">
        <v>37502</v>
      </c>
      <c r="C68" s="88" t="s">
        <v>1007</v>
      </c>
      <c r="D68" s="347">
        <v>953.04231399999992</v>
      </c>
      <c r="E68" s="468">
        <v>1</v>
      </c>
      <c r="F68" s="467">
        <f t="shared" si="7"/>
        <v>1</v>
      </c>
      <c r="G68" s="467">
        <f t="shared" si="7"/>
        <v>1</v>
      </c>
      <c r="H68" s="431">
        <f t="shared" si="8"/>
        <v>953.04231399999992</v>
      </c>
    </row>
    <row r="69" spans="1:8">
      <c r="A69" s="863">
        <f t="shared" si="0"/>
        <v>55</v>
      </c>
      <c r="B69" s="515">
        <v>37503</v>
      </c>
      <c r="C69" s="88" t="s">
        <v>1006</v>
      </c>
      <c r="D69" s="347">
        <v>82.504648000000017</v>
      </c>
      <c r="E69" s="468">
        <v>1</v>
      </c>
      <c r="F69" s="467">
        <f t="shared" si="7"/>
        <v>1</v>
      </c>
      <c r="G69" s="467">
        <f t="shared" si="7"/>
        <v>1</v>
      </c>
      <c r="H69" s="431">
        <f t="shared" si="8"/>
        <v>82.504648000000017</v>
      </c>
    </row>
    <row r="70" spans="1:8">
      <c r="A70" s="863">
        <f t="shared" si="0"/>
        <v>56</v>
      </c>
      <c r="B70" s="515">
        <v>37600</v>
      </c>
      <c r="C70" s="88" t="s">
        <v>851</v>
      </c>
      <c r="D70" s="347">
        <v>1035250.3239195559</v>
      </c>
      <c r="E70" s="468">
        <v>1</v>
      </c>
      <c r="F70" s="467">
        <f t="shared" si="7"/>
        <v>1</v>
      </c>
      <c r="G70" s="467">
        <f t="shared" si="7"/>
        <v>1</v>
      </c>
      <c r="H70" s="431">
        <f t="shared" si="8"/>
        <v>1035250.3239195559</v>
      </c>
    </row>
    <row r="71" spans="1:8">
      <c r="A71" s="863">
        <f t="shared" si="0"/>
        <v>57</v>
      </c>
      <c r="B71" s="515">
        <v>37601</v>
      </c>
      <c r="C71" s="88" t="s">
        <v>16</v>
      </c>
      <c r="D71" s="347">
        <v>2937274.7864633435</v>
      </c>
      <c r="E71" s="468">
        <v>1</v>
      </c>
      <c r="F71" s="467">
        <f t="shared" si="7"/>
        <v>1</v>
      </c>
      <c r="G71" s="467">
        <f t="shared" si="7"/>
        <v>1</v>
      </c>
      <c r="H71" s="431">
        <f t="shared" si="8"/>
        <v>2937274.7864633435</v>
      </c>
    </row>
    <row r="72" spans="1:8">
      <c r="A72" s="863">
        <f t="shared" si="0"/>
        <v>58</v>
      </c>
      <c r="B72" s="515">
        <v>37602</v>
      </c>
      <c r="C72" s="88" t="s">
        <v>852</v>
      </c>
      <c r="D72" s="347">
        <v>2634236.5547177293</v>
      </c>
      <c r="E72" s="468">
        <v>1</v>
      </c>
      <c r="F72" s="467">
        <f t="shared" si="7"/>
        <v>1</v>
      </c>
      <c r="G72" s="467">
        <f t="shared" si="7"/>
        <v>1</v>
      </c>
      <c r="H72" s="431">
        <f t="shared" si="8"/>
        <v>2634236.5547177293</v>
      </c>
    </row>
    <row r="73" spans="1:8">
      <c r="A73" s="863">
        <f t="shared" si="0"/>
        <v>59</v>
      </c>
      <c r="B73" s="515">
        <v>37800</v>
      </c>
      <c r="C73" s="88" t="s">
        <v>230</v>
      </c>
      <c r="D73" s="347">
        <v>397763.51553833036</v>
      </c>
      <c r="E73" s="468">
        <v>1</v>
      </c>
      <c r="F73" s="467">
        <f t="shared" si="7"/>
        <v>1</v>
      </c>
      <c r="G73" s="467">
        <f t="shared" si="7"/>
        <v>1</v>
      </c>
      <c r="H73" s="431">
        <f t="shared" si="8"/>
        <v>397763.51553833036</v>
      </c>
    </row>
    <row r="74" spans="1:8">
      <c r="A74" s="863">
        <f t="shared" si="0"/>
        <v>60</v>
      </c>
      <c r="B74" s="515">
        <v>37900</v>
      </c>
      <c r="C74" s="88" t="s">
        <v>1200</v>
      </c>
      <c r="D74" s="347">
        <v>144583.61554025693</v>
      </c>
      <c r="E74" s="468">
        <v>1</v>
      </c>
      <c r="F74" s="467">
        <f t="shared" si="7"/>
        <v>1</v>
      </c>
      <c r="G74" s="467">
        <f t="shared" si="7"/>
        <v>1</v>
      </c>
      <c r="H74" s="431">
        <f t="shared" si="8"/>
        <v>144583.61554025693</v>
      </c>
    </row>
    <row r="75" spans="1:8">
      <c r="A75" s="863">
        <f t="shared" si="0"/>
        <v>61</v>
      </c>
      <c r="B75" s="515">
        <v>37905</v>
      </c>
      <c r="C75" s="88" t="s">
        <v>732</v>
      </c>
      <c r="D75" s="347">
        <v>81543.758417949182</v>
      </c>
      <c r="E75" s="468">
        <v>1</v>
      </c>
      <c r="F75" s="467">
        <f t="shared" si="7"/>
        <v>1</v>
      </c>
      <c r="G75" s="467">
        <f t="shared" si="7"/>
        <v>1</v>
      </c>
      <c r="H75" s="431">
        <f t="shared" si="8"/>
        <v>81543.758417949182</v>
      </c>
    </row>
    <row r="76" spans="1:8">
      <c r="A76" s="863">
        <f t="shared" si="0"/>
        <v>62</v>
      </c>
      <c r="B76" s="515">
        <v>38000</v>
      </c>
      <c r="C76" s="88" t="s">
        <v>1061</v>
      </c>
      <c r="D76" s="347">
        <v>4883872.2684313403</v>
      </c>
      <c r="E76" s="468">
        <v>1</v>
      </c>
      <c r="F76" s="467">
        <f t="shared" si="7"/>
        <v>1</v>
      </c>
      <c r="G76" s="467">
        <f t="shared" si="7"/>
        <v>1</v>
      </c>
      <c r="H76" s="431">
        <f t="shared" si="8"/>
        <v>4883872.2684313403</v>
      </c>
    </row>
    <row r="77" spans="1:8">
      <c r="A77" s="863">
        <f t="shared" si="0"/>
        <v>63</v>
      </c>
      <c r="B77" s="515">
        <v>38100</v>
      </c>
      <c r="C77" s="88" t="s">
        <v>853</v>
      </c>
      <c r="D77" s="347">
        <v>3498398.3735321122</v>
      </c>
      <c r="E77" s="468">
        <v>1</v>
      </c>
      <c r="F77" s="467">
        <f t="shared" si="7"/>
        <v>1</v>
      </c>
      <c r="G77" s="467">
        <f t="shared" si="7"/>
        <v>1</v>
      </c>
      <c r="H77" s="431">
        <f t="shared" si="8"/>
        <v>3498398.3735321122</v>
      </c>
    </row>
    <row r="78" spans="1:8">
      <c r="A78" s="863">
        <f t="shared" si="0"/>
        <v>64</v>
      </c>
      <c r="B78" s="515">
        <v>38200</v>
      </c>
      <c r="C78" s="88" t="s">
        <v>447</v>
      </c>
      <c r="D78" s="347">
        <v>2355879.7243234329</v>
      </c>
      <c r="E78" s="468">
        <v>1</v>
      </c>
      <c r="F78" s="467">
        <f t="shared" si="7"/>
        <v>1</v>
      </c>
      <c r="G78" s="467">
        <f t="shared" si="7"/>
        <v>1</v>
      </c>
      <c r="H78" s="431">
        <f t="shared" si="8"/>
        <v>2355879.7243234329</v>
      </c>
    </row>
    <row r="79" spans="1:8">
      <c r="A79" s="863">
        <f t="shared" si="0"/>
        <v>65</v>
      </c>
      <c r="B79" s="515">
        <v>38300</v>
      </c>
      <c r="C79" s="88" t="s">
        <v>1062</v>
      </c>
      <c r="D79" s="347">
        <v>369152.70178807154</v>
      </c>
      <c r="E79" s="468">
        <v>1</v>
      </c>
      <c r="F79" s="467">
        <f t="shared" si="7"/>
        <v>1</v>
      </c>
      <c r="G79" s="467">
        <f t="shared" si="7"/>
        <v>1</v>
      </c>
      <c r="H79" s="431">
        <f t="shared" si="8"/>
        <v>369152.70178807154</v>
      </c>
    </row>
    <row r="80" spans="1:8">
      <c r="A80" s="863">
        <f t="shared" si="0"/>
        <v>66</v>
      </c>
      <c r="B80" s="515">
        <v>38400</v>
      </c>
      <c r="C80" s="88" t="s">
        <v>448</v>
      </c>
      <c r="D80" s="347">
        <v>5908.0504593552996</v>
      </c>
      <c r="E80" s="468">
        <v>1</v>
      </c>
      <c r="F80" s="467">
        <f t="shared" si="7"/>
        <v>1</v>
      </c>
      <c r="G80" s="467">
        <f t="shared" si="7"/>
        <v>1</v>
      </c>
      <c r="H80" s="431">
        <f t="shared" si="8"/>
        <v>5908.0504593552996</v>
      </c>
    </row>
    <row r="81" spans="1:13">
      <c r="A81" s="863">
        <f t="shared" ref="A81:A149" si="9">A80+1</f>
        <v>67</v>
      </c>
      <c r="B81" s="515">
        <v>38500</v>
      </c>
      <c r="C81" s="88" t="s">
        <v>449</v>
      </c>
      <c r="D81" s="347">
        <v>142017.01404071556</v>
      </c>
      <c r="E81" s="468">
        <v>1</v>
      </c>
      <c r="F81" s="467">
        <f t="shared" si="7"/>
        <v>1</v>
      </c>
      <c r="G81" s="467">
        <f t="shared" si="7"/>
        <v>1</v>
      </c>
      <c r="H81" s="431">
        <f t="shared" si="8"/>
        <v>142017.01404071556</v>
      </c>
      <c r="M81" s="715"/>
    </row>
    <row r="82" spans="1:13">
      <c r="A82" s="863">
        <f t="shared" si="9"/>
        <v>68</v>
      </c>
      <c r="B82" s="515"/>
      <c r="C82" s="88"/>
      <c r="D82" s="1068"/>
      <c r="E82" s="468"/>
      <c r="F82" s="467"/>
      <c r="G82" s="467"/>
      <c r="H82" s="1068"/>
    </row>
    <row r="83" spans="1:13">
      <c r="A83" s="863">
        <f t="shared" si="9"/>
        <v>69</v>
      </c>
      <c r="B83" s="515"/>
      <c r="C83" s="88" t="s">
        <v>1354</v>
      </c>
      <c r="D83" s="347">
        <f>SUM(D62:D82)</f>
        <v>18543516.809644673</v>
      </c>
      <c r="E83" s="468"/>
      <c r="F83" s="467"/>
      <c r="G83" s="467"/>
      <c r="H83" s="347">
        <f>SUM(H62:H82)</f>
        <v>18543516.809644673</v>
      </c>
    </row>
    <row r="84" spans="1:13">
      <c r="A84" s="863">
        <f t="shared" si="9"/>
        <v>70</v>
      </c>
      <c r="B84" s="515"/>
      <c r="C84" s="88"/>
      <c r="D84" s="431"/>
      <c r="E84" s="468"/>
      <c r="F84" s="467"/>
      <c r="G84" s="467"/>
      <c r="H84" s="431"/>
    </row>
    <row r="85" spans="1:13">
      <c r="A85" s="863">
        <f t="shared" si="9"/>
        <v>71</v>
      </c>
      <c r="B85" s="709"/>
      <c r="C85" s="622" t="s">
        <v>305</v>
      </c>
      <c r="D85" s="431"/>
      <c r="E85" s="468"/>
      <c r="F85" s="467"/>
      <c r="G85" s="467"/>
      <c r="H85" s="431"/>
    </row>
    <row r="86" spans="1:13">
      <c r="A86" s="863">
        <f t="shared" si="9"/>
        <v>72</v>
      </c>
      <c r="B86" s="515">
        <v>38900</v>
      </c>
      <c r="C86" s="88" t="s">
        <v>1562</v>
      </c>
      <c r="D86" s="347">
        <v>0</v>
      </c>
      <c r="E86" s="468">
        <v>1</v>
      </c>
      <c r="F86" s="467">
        <f t="shared" ref="F86:G104" si="10">$F$16</f>
        <v>1</v>
      </c>
      <c r="G86" s="467">
        <f t="shared" si="10"/>
        <v>1</v>
      </c>
      <c r="H86" s="347">
        <f t="shared" ref="H86:H111" si="11">D86*E86*F86*G86</f>
        <v>0</v>
      </c>
    </row>
    <row r="87" spans="1:13">
      <c r="A87" s="863">
        <f t="shared" si="9"/>
        <v>73</v>
      </c>
      <c r="B87" s="515">
        <v>39000</v>
      </c>
      <c r="C87" s="88" t="s">
        <v>1563</v>
      </c>
      <c r="D87" s="347">
        <v>268780.86544112815</v>
      </c>
      <c r="E87" s="468">
        <v>1</v>
      </c>
      <c r="F87" s="467">
        <f t="shared" si="10"/>
        <v>1</v>
      </c>
      <c r="G87" s="467">
        <f t="shared" si="10"/>
        <v>1</v>
      </c>
      <c r="H87" s="431">
        <f t="shared" si="11"/>
        <v>268780.86544112815</v>
      </c>
    </row>
    <row r="88" spans="1:13">
      <c r="A88" s="863">
        <f t="shared" si="9"/>
        <v>74</v>
      </c>
      <c r="B88" s="515">
        <v>39002</v>
      </c>
      <c r="C88" s="88" t="s">
        <v>1564</v>
      </c>
      <c r="D88" s="347">
        <v>6509.1183599999995</v>
      </c>
      <c r="E88" s="468">
        <v>1</v>
      </c>
      <c r="F88" s="467">
        <f t="shared" si="10"/>
        <v>1</v>
      </c>
      <c r="G88" s="467">
        <f t="shared" si="10"/>
        <v>1</v>
      </c>
      <c r="H88" s="431">
        <f t="shared" si="11"/>
        <v>6509.1183599999995</v>
      </c>
    </row>
    <row r="89" spans="1:13">
      <c r="A89" s="863">
        <f t="shared" si="9"/>
        <v>75</v>
      </c>
      <c r="B89" s="515">
        <v>39003</v>
      </c>
      <c r="C89" s="88" t="s">
        <v>1565</v>
      </c>
      <c r="D89" s="347">
        <v>26665.889167999998</v>
      </c>
      <c r="E89" s="468">
        <v>1</v>
      </c>
      <c r="F89" s="467">
        <f t="shared" si="10"/>
        <v>1</v>
      </c>
      <c r="G89" s="467">
        <f t="shared" si="10"/>
        <v>1</v>
      </c>
      <c r="H89" s="431">
        <f t="shared" si="11"/>
        <v>26665.889167999998</v>
      </c>
    </row>
    <row r="90" spans="1:13">
      <c r="A90" s="863">
        <f t="shared" si="9"/>
        <v>76</v>
      </c>
      <c r="B90" s="515">
        <v>39004</v>
      </c>
      <c r="C90" s="88" t="s">
        <v>1566</v>
      </c>
      <c r="D90" s="347">
        <v>487.09822400000002</v>
      </c>
      <c r="E90" s="468">
        <v>1</v>
      </c>
      <c r="F90" s="467">
        <f t="shared" si="10"/>
        <v>1</v>
      </c>
      <c r="G90" s="467">
        <f t="shared" si="10"/>
        <v>1</v>
      </c>
      <c r="H90" s="431">
        <f t="shared" si="11"/>
        <v>487.09822400000002</v>
      </c>
    </row>
    <row r="91" spans="1:13">
      <c r="A91" s="863">
        <f t="shared" si="9"/>
        <v>77</v>
      </c>
      <c r="B91" s="515">
        <v>39009</v>
      </c>
      <c r="C91" s="88" t="s">
        <v>1567</v>
      </c>
      <c r="D91" s="347">
        <v>97151.221282499988</v>
      </c>
      <c r="E91" s="468">
        <v>1</v>
      </c>
      <c r="F91" s="467">
        <f t="shared" si="10"/>
        <v>1</v>
      </c>
      <c r="G91" s="467">
        <f t="shared" si="10"/>
        <v>1</v>
      </c>
      <c r="H91" s="431">
        <f t="shared" si="11"/>
        <v>97151.221282499988</v>
      </c>
    </row>
    <row r="92" spans="1:13">
      <c r="A92" s="863">
        <f t="shared" si="9"/>
        <v>78</v>
      </c>
      <c r="B92" s="515">
        <v>39100</v>
      </c>
      <c r="C92" s="88" t="s">
        <v>1568</v>
      </c>
      <c r="D92" s="347">
        <v>119701.09396999997</v>
      </c>
      <c r="E92" s="468">
        <v>1</v>
      </c>
      <c r="F92" s="467">
        <f t="shared" si="10"/>
        <v>1</v>
      </c>
      <c r="G92" s="467">
        <f t="shared" si="10"/>
        <v>1</v>
      </c>
      <c r="H92" s="431">
        <f t="shared" si="11"/>
        <v>119701.09396999997</v>
      </c>
    </row>
    <row r="93" spans="1:13">
      <c r="A93" s="863">
        <f t="shared" si="9"/>
        <v>79</v>
      </c>
      <c r="B93" s="515">
        <v>39103</v>
      </c>
      <c r="C93" s="88" t="s">
        <v>787</v>
      </c>
      <c r="D93" s="347">
        <v>0</v>
      </c>
      <c r="E93" s="468">
        <v>1</v>
      </c>
      <c r="F93" s="467">
        <f t="shared" si="10"/>
        <v>1</v>
      </c>
      <c r="G93" s="467">
        <f t="shared" si="10"/>
        <v>1</v>
      </c>
      <c r="H93" s="431">
        <f t="shared" si="11"/>
        <v>0</v>
      </c>
    </row>
    <row r="94" spans="1:13">
      <c r="A94" s="863">
        <f t="shared" si="9"/>
        <v>80</v>
      </c>
      <c r="B94" s="515">
        <v>39200</v>
      </c>
      <c r="C94" s="88" t="s">
        <v>1569</v>
      </c>
      <c r="D94" s="347">
        <v>33457.416659999995</v>
      </c>
      <c r="E94" s="468">
        <v>1</v>
      </c>
      <c r="F94" s="467">
        <f t="shared" si="10"/>
        <v>1</v>
      </c>
      <c r="G94" s="467">
        <f t="shared" si="10"/>
        <v>1</v>
      </c>
      <c r="H94" s="431">
        <f t="shared" si="11"/>
        <v>33457.416659999995</v>
      </c>
    </row>
    <row r="95" spans="1:13">
      <c r="A95" s="863">
        <f t="shared" si="9"/>
        <v>81</v>
      </c>
      <c r="B95" s="515">
        <v>39202</v>
      </c>
      <c r="C95" s="88" t="s">
        <v>1570</v>
      </c>
      <c r="D95" s="347">
        <v>0</v>
      </c>
      <c r="E95" s="468">
        <v>1</v>
      </c>
      <c r="F95" s="467">
        <f t="shared" si="10"/>
        <v>1</v>
      </c>
      <c r="G95" s="467">
        <f t="shared" si="10"/>
        <v>1</v>
      </c>
      <c r="H95" s="431">
        <f t="shared" si="11"/>
        <v>0</v>
      </c>
    </row>
    <row r="96" spans="1:13">
      <c r="A96" s="863">
        <f t="shared" si="9"/>
        <v>82</v>
      </c>
      <c r="B96" s="515">
        <v>39400</v>
      </c>
      <c r="C96" s="88" t="s">
        <v>1571</v>
      </c>
      <c r="D96" s="347">
        <v>345697.5226118596</v>
      </c>
      <c r="E96" s="468">
        <v>1</v>
      </c>
      <c r="F96" s="467">
        <f t="shared" si="10"/>
        <v>1</v>
      </c>
      <c r="G96" s="467">
        <f t="shared" si="10"/>
        <v>1</v>
      </c>
      <c r="H96" s="431">
        <f t="shared" si="11"/>
        <v>345697.5226118596</v>
      </c>
    </row>
    <row r="97" spans="1:11">
      <c r="A97" s="863">
        <f t="shared" si="9"/>
        <v>83</v>
      </c>
      <c r="B97" s="515">
        <v>39603</v>
      </c>
      <c r="C97" s="88" t="s">
        <v>1572</v>
      </c>
      <c r="D97" s="347">
        <v>3213.3677400000006</v>
      </c>
      <c r="E97" s="468">
        <v>1</v>
      </c>
      <c r="F97" s="467">
        <f t="shared" si="10"/>
        <v>1</v>
      </c>
      <c r="G97" s="467">
        <f t="shared" si="10"/>
        <v>1</v>
      </c>
      <c r="H97" s="431">
        <f t="shared" si="11"/>
        <v>3213.3677400000006</v>
      </c>
    </row>
    <row r="98" spans="1:11">
      <c r="A98" s="863">
        <f t="shared" si="9"/>
        <v>84</v>
      </c>
      <c r="B98" s="515">
        <v>39604</v>
      </c>
      <c r="C98" s="88" t="s">
        <v>1573</v>
      </c>
      <c r="D98" s="347">
        <v>5090.37390125</v>
      </c>
      <c r="E98" s="1076">
        <v>0.45708609533023048</v>
      </c>
      <c r="F98" s="467">
        <f t="shared" si="10"/>
        <v>1</v>
      </c>
      <c r="G98" s="467">
        <f t="shared" si="10"/>
        <v>1</v>
      </c>
      <c r="H98" s="431">
        <f t="shared" si="11"/>
        <v>2326.7391302932747</v>
      </c>
      <c r="K98" s="693"/>
    </row>
    <row r="99" spans="1:11">
      <c r="A99" s="863">
        <f t="shared" si="9"/>
        <v>85</v>
      </c>
      <c r="B99" s="515">
        <v>39605</v>
      </c>
      <c r="C99" s="88" t="s">
        <v>1574</v>
      </c>
      <c r="D99" s="347">
        <v>3152.0680674999999</v>
      </c>
      <c r="E99" s="1076">
        <v>0.45708609533023048</v>
      </c>
      <c r="F99" s="467">
        <f t="shared" si="10"/>
        <v>1</v>
      </c>
      <c r="G99" s="467">
        <f t="shared" si="10"/>
        <v>1</v>
      </c>
      <c r="H99" s="431">
        <f t="shared" si="11"/>
        <v>1440.7664851886802</v>
      </c>
      <c r="K99" s="693"/>
    </row>
    <row r="100" spans="1:11">
      <c r="A100" s="863">
        <f t="shared" si="9"/>
        <v>86</v>
      </c>
      <c r="B100" s="515">
        <v>39700</v>
      </c>
      <c r="C100" s="88" t="s">
        <v>1575</v>
      </c>
      <c r="D100" s="347">
        <v>23942.933484000005</v>
      </c>
      <c r="E100" s="1076">
        <v>0.45665536834919274</v>
      </c>
      <c r="F100" s="467">
        <f t="shared" si="10"/>
        <v>1</v>
      </c>
      <c r="G100" s="467">
        <f t="shared" si="10"/>
        <v>1</v>
      </c>
      <c r="H100" s="431">
        <f t="shared" si="11"/>
        <v>10933.669109496243</v>
      </c>
      <c r="K100" s="693"/>
    </row>
    <row r="101" spans="1:11">
      <c r="A101" s="863">
        <f t="shared" si="9"/>
        <v>87</v>
      </c>
      <c r="B101" s="709">
        <v>39701</v>
      </c>
      <c r="C101" s="88" t="s">
        <v>1535</v>
      </c>
      <c r="D101" s="347">
        <v>0</v>
      </c>
      <c r="E101" s="1076">
        <v>2.0000506085680381E-2</v>
      </c>
      <c r="F101" s="467">
        <f t="shared" si="10"/>
        <v>1</v>
      </c>
      <c r="G101" s="467">
        <f t="shared" si="10"/>
        <v>1</v>
      </c>
      <c r="H101" s="431">
        <f t="shared" si="11"/>
        <v>0</v>
      </c>
      <c r="K101" s="693"/>
    </row>
    <row r="102" spans="1:11">
      <c r="A102" s="863">
        <f t="shared" si="9"/>
        <v>88</v>
      </c>
      <c r="B102" s="709">
        <v>39702</v>
      </c>
      <c r="C102" s="81" t="s">
        <v>1535</v>
      </c>
      <c r="D102" s="347">
        <v>0</v>
      </c>
      <c r="E102" s="1076">
        <v>2.0000506085680381E-2</v>
      </c>
      <c r="F102" s="467">
        <f t="shared" si="10"/>
        <v>1</v>
      </c>
      <c r="G102" s="467">
        <f t="shared" si="10"/>
        <v>1</v>
      </c>
      <c r="H102" s="431">
        <f t="shared" si="11"/>
        <v>0</v>
      </c>
      <c r="K102" s="693"/>
    </row>
    <row r="103" spans="1:11">
      <c r="A103" s="863">
        <f t="shared" si="9"/>
        <v>89</v>
      </c>
      <c r="B103" s="709">
        <v>39705</v>
      </c>
      <c r="C103" s="88" t="s">
        <v>1576</v>
      </c>
      <c r="D103" s="347">
        <v>0</v>
      </c>
      <c r="E103" s="468">
        <v>1</v>
      </c>
      <c r="F103" s="467">
        <f t="shared" si="10"/>
        <v>1</v>
      </c>
      <c r="G103" s="467">
        <f t="shared" si="10"/>
        <v>1</v>
      </c>
      <c r="H103" s="431">
        <f t="shared" si="11"/>
        <v>0</v>
      </c>
    </row>
    <row r="104" spans="1:11">
      <c r="A104" s="863">
        <f t="shared" si="9"/>
        <v>90</v>
      </c>
      <c r="B104" s="709">
        <v>39800</v>
      </c>
      <c r="C104" s="88" t="s">
        <v>1577</v>
      </c>
      <c r="D104" s="347">
        <v>189434.17572625176</v>
      </c>
      <c r="E104" s="468">
        <v>1</v>
      </c>
      <c r="F104" s="467">
        <f t="shared" si="10"/>
        <v>1</v>
      </c>
      <c r="G104" s="467">
        <f t="shared" si="10"/>
        <v>1</v>
      </c>
      <c r="H104" s="431">
        <f t="shared" si="11"/>
        <v>189434.17572625176</v>
      </c>
    </row>
    <row r="105" spans="1:11">
      <c r="A105" s="863">
        <f t="shared" si="9"/>
        <v>91</v>
      </c>
      <c r="B105" s="709">
        <v>39901</v>
      </c>
      <c r="C105" s="88" t="s">
        <v>1536</v>
      </c>
      <c r="D105" s="347">
        <v>1438.9759999999997</v>
      </c>
      <c r="E105" s="468">
        <v>1</v>
      </c>
      <c r="F105" s="467">
        <f t="shared" ref="F105:G111" si="12">$F$16</f>
        <v>1</v>
      </c>
      <c r="G105" s="467">
        <f t="shared" si="12"/>
        <v>1</v>
      </c>
      <c r="H105" s="431">
        <f t="shared" si="11"/>
        <v>1438.9759999999997</v>
      </c>
    </row>
    <row r="106" spans="1:11">
      <c r="A106" s="863">
        <f t="shared" si="9"/>
        <v>92</v>
      </c>
      <c r="B106" s="709">
        <v>39902</v>
      </c>
      <c r="C106" s="88" t="s">
        <v>1537</v>
      </c>
      <c r="D106" s="347">
        <v>0</v>
      </c>
      <c r="E106" s="468">
        <v>1</v>
      </c>
      <c r="F106" s="467">
        <f t="shared" si="12"/>
        <v>1</v>
      </c>
      <c r="G106" s="467">
        <f t="shared" si="12"/>
        <v>1</v>
      </c>
      <c r="H106" s="431">
        <f t="shared" si="11"/>
        <v>0</v>
      </c>
    </row>
    <row r="107" spans="1:11">
      <c r="A107" s="863">
        <f t="shared" si="9"/>
        <v>93</v>
      </c>
      <c r="B107" s="709">
        <v>39903</v>
      </c>
      <c r="C107" s="88" t="s">
        <v>1578</v>
      </c>
      <c r="D107" s="347">
        <v>13459.885999999997</v>
      </c>
      <c r="E107" s="468">
        <v>1</v>
      </c>
      <c r="F107" s="467">
        <f t="shared" si="12"/>
        <v>1</v>
      </c>
      <c r="G107" s="467">
        <f t="shared" si="12"/>
        <v>1</v>
      </c>
      <c r="H107" s="431">
        <f t="shared" si="11"/>
        <v>13459.885999999997</v>
      </c>
    </row>
    <row r="108" spans="1:11">
      <c r="A108" s="863">
        <f t="shared" si="9"/>
        <v>94</v>
      </c>
      <c r="B108" s="709">
        <v>39906</v>
      </c>
      <c r="C108" s="88" t="s">
        <v>1579</v>
      </c>
      <c r="D108" s="347">
        <v>357344.44602401124</v>
      </c>
      <c r="E108" s="468">
        <v>1</v>
      </c>
      <c r="F108" s="467">
        <f t="shared" si="12"/>
        <v>1</v>
      </c>
      <c r="G108" s="467">
        <f t="shared" si="12"/>
        <v>1</v>
      </c>
      <c r="H108" s="431">
        <f t="shared" si="11"/>
        <v>357344.44602401124</v>
      </c>
    </row>
    <row r="109" spans="1:11">
      <c r="A109" s="863">
        <f t="shared" si="9"/>
        <v>95</v>
      </c>
      <c r="B109" s="709">
        <v>39907</v>
      </c>
      <c r="C109" s="88" t="s">
        <v>1580</v>
      </c>
      <c r="D109" s="347">
        <v>0</v>
      </c>
      <c r="E109" s="468">
        <v>1</v>
      </c>
      <c r="F109" s="467">
        <f t="shared" si="12"/>
        <v>1</v>
      </c>
      <c r="G109" s="467">
        <f t="shared" si="12"/>
        <v>1</v>
      </c>
      <c r="H109" s="431">
        <f t="shared" si="11"/>
        <v>0</v>
      </c>
    </row>
    <row r="110" spans="1:11">
      <c r="A110" s="863">
        <f t="shared" si="9"/>
        <v>96</v>
      </c>
      <c r="B110" s="709">
        <v>39908</v>
      </c>
      <c r="C110" s="88" t="s">
        <v>1581</v>
      </c>
      <c r="D110" s="347">
        <v>2059.6097902500001</v>
      </c>
      <c r="E110" s="468">
        <v>1</v>
      </c>
      <c r="F110" s="467">
        <f t="shared" si="12"/>
        <v>1</v>
      </c>
      <c r="G110" s="467">
        <f t="shared" si="12"/>
        <v>1</v>
      </c>
      <c r="H110" s="431">
        <f t="shared" si="11"/>
        <v>2059.6097902500001</v>
      </c>
    </row>
    <row r="111" spans="1:11" ht="15.75">
      <c r="A111" s="863">
        <f t="shared" si="9"/>
        <v>97</v>
      </c>
      <c r="B111" s="709"/>
      <c r="C111" s="88" t="s">
        <v>1277</v>
      </c>
      <c r="D111" s="347">
        <v>0</v>
      </c>
      <c r="E111" s="468">
        <v>1</v>
      </c>
      <c r="F111" s="467">
        <f t="shared" si="12"/>
        <v>1</v>
      </c>
      <c r="G111" s="467">
        <f t="shared" si="12"/>
        <v>1</v>
      </c>
      <c r="H111" s="431">
        <f t="shared" si="11"/>
        <v>0</v>
      </c>
      <c r="J111" s="911"/>
      <c r="K111" s="693"/>
    </row>
    <row r="112" spans="1:11">
      <c r="A112" s="863">
        <f t="shared" si="9"/>
        <v>98</v>
      </c>
      <c r="B112" s="709"/>
      <c r="C112" s="88"/>
      <c r="D112" s="1068"/>
      <c r="E112" s="714"/>
      <c r="H112" s="1068"/>
    </row>
    <row r="113" spans="1:14">
      <c r="A113" s="863">
        <f t="shared" si="9"/>
        <v>99</v>
      </c>
      <c r="B113" s="391"/>
      <c r="C113" s="88" t="s">
        <v>1353</v>
      </c>
      <c r="D113" s="347">
        <f>SUM(D86:D112)</f>
        <v>1497586.062450751</v>
      </c>
      <c r="E113" s="713"/>
      <c r="H113" s="347">
        <f>SUM(H86:H112)</f>
        <v>1480101.861722979</v>
      </c>
    </row>
    <row r="114" spans="1:14">
      <c r="A114" s="863">
        <f t="shared" si="9"/>
        <v>100</v>
      </c>
      <c r="B114" s="391"/>
      <c r="C114" s="88"/>
      <c r="D114" s="431"/>
      <c r="E114" s="714"/>
      <c r="H114" s="431"/>
    </row>
    <row r="115" spans="1:14">
      <c r="A115" s="863">
        <f t="shared" si="9"/>
        <v>101</v>
      </c>
      <c r="B115" s="391"/>
      <c r="C115" s="88" t="s">
        <v>1350</v>
      </c>
      <c r="D115" s="347">
        <f>D113+D83+D59+D47+D26+D19</f>
        <v>20884691.248354092</v>
      </c>
      <c r="E115" s="713"/>
      <c r="H115" s="347">
        <f>H113+H83+H59+H47+H26+H19</f>
        <v>20867207.04762632</v>
      </c>
      <c r="M115" s="673"/>
      <c r="N115" s="673"/>
    </row>
    <row r="116" spans="1:14">
      <c r="A116" s="863">
        <f t="shared" si="9"/>
        <v>102</v>
      </c>
      <c r="B116" s="391"/>
      <c r="C116" s="88"/>
      <c r="D116" s="431"/>
    </row>
    <row r="117" spans="1:14">
      <c r="A117" s="863">
        <f t="shared" si="9"/>
        <v>103</v>
      </c>
      <c r="B117" s="391"/>
      <c r="C117" s="81"/>
      <c r="D117" s="431"/>
    </row>
    <row r="118" spans="1:14">
      <c r="A118" s="863">
        <f t="shared" si="9"/>
        <v>104</v>
      </c>
      <c r="B118" s="1050"/>
      <c r="D118" s="431"/>
    </row>
    <row r="119" spans="1:14" ht="15.75">
      <c r="A119" s="863">
        <f t="shared" si="9"/>
        <v>105</v>
      </c>
      <c r="B119" s="1055" t="s">
        <v>7</v>
      </c>
      <c r="D119" s="431"/>
    </row>
    <row r="120" spans="1:14">
      <c r="A120" s="863">
        <f t="shared" si="9"/>
        <v>106</v>
      </c>
      <c r="B120" s="1050"/>
      <c r="D120" s="431"/>
    </row>
    <row r="121" spans="1:14">
      <c r="A121" s="863">
        <f t="shared" si="9"/>
        <v>107</v>
      </c>
      <c r="B121" s="391"/>
      <c r="C121" s="622" t="s">
        <v>301</v>
      </c>
      <c r="D121" s="431"/>
    </row>
    <row r="122" spans="1:14">
      <c r="A122" s="863">
        <f t="shared" si="9"/>
        <v>108</v>
      </c>
      <c r="B122" s="515">
        <v>30100</v>
      </c>
      <c r="C122" s="88" t="s">
        <v>295</v>
      </c>
      <c r="D122" s="347">
        <v>0</v>
      </c>
      <c r="E122" s="468">
        <v>1</v>
      </c>
      <c r="F122" s="467">
        <f>$F$16</f>
        <v>1</v>
      </c>
      <c r="G122" s="468">
        <f>Allocation!$D$17</f>
        <v>0.49440000000000001</v>
      </c>
      <c r="H122" s="347">
        <f>D122*E122*F122*G122</f>
        <v>0</v>
      </c>
    </row>
    <row r="123" spans="1:14">
      <c r="A123" s="863">
        <f t="shared" si="9"/>
        <v>109</v>
      </c>
      <c r="B123" s="515">
        <v>30300</v>
      </c>
      <c r="C123" s="88" t="s">
        <v>548</v>
      </c>
      <c r="D123" s="347">
        <v>0</v>
      </c>
      <c r="E123" s="468">
        <v>1</v>
      </c>
      <c r="F123" s="467">
        <f>$F$16</f>
        <v>1</v>
      </c>
      <c r="G123" s="468">
        <f>$G$122</f>
        <v>0.49440000000000001</v>
      </c>
      <c r="H123" s="1054">
        <f>D123*E123*F123*G123</f>
        <v>0</v>
      </c>
    </row>
    <row r="124" spans="1:14">
      <c r="A124" s="863">
        <f t="shared" si="9"/>
        <v>110</v>
      </c>
      <c r="B124" s="515"/>
      <c r="C124" s="88"/>
    </row>
    <row r="125" spans="1:14">
      <c r="A125" s="863">
        <f t="shared" si="9"/>
        <v>111</v>
      </c>
      <c r="B125" s="709"/>
      <c r="C125" s="88" t="s">
        <v>1355</v>
      </c>
      <c r="D125" s="347">
        <f>SUM(D122:D124)</f>
        <v>0</v>
      </c>
      <c r="E125" s="713"/>
      <c r="F125" s="467"/>
      <c r="G125" s="467"/>
      <c r="H125" s="347">
        <f>SUM(H122:H124)</f>
        <v>0</v>
      </c>
    </row>
    <row r="126" spans="1:14">
      <c r="A126" s="863">
        <f t="shared" si="9"/>
        <v>112</v>
      </c>
      <c r="B126" s="1070"/>
    </row>
    <row r="127" spans="1:14">
      <c r="A127" s="863">
        <f t="shared" si="9"/>
        <v>113</v>
      </c>
      <c r="B127" s="709"/>
      <c r="C127" s="622" t="s">
        <v>303</v>
      </c>
    </row>
    <row r="128" spans="1:14">
      <c r="A128" s="863">
        <f t="shared" si="9"/>
        <v>114</v>
      </c>
      <c r="B128" s="515">
        <v>37400</v>
      </c>
      <c r="C128" s="88" t="s">
        <v>1157</v>
      </c>
      <c r="D128" s="347">
        <v>0</v>
      </c>
      <c r="E128" s="468">
        <v>1</v>
      </c>
      <c r="F128" s="467">
        <f t="shared" ref="F128:F148" si="13">$F$16</f>
        <v>1</v>
      </c>
      <c r="G128" s="468">
        <f t="shared" ref="G128:G148" si="14">$G$122</f>
        <v>0.49440000000000001</v>
      </c>
      <c r="H128" s="347">
        <f>D128*E128*F128*G128</f>
        <v>0</v>
      </c>
    </row>
    <row r="129" spans="1:15">
      <c r="A129" s="863">
        <f t="shared" si="9"/>
        <v>115</v>
      </c>
      <c r="B129" s="515">
        <v>35010</v>
      </c>
      <c r="C129" s="88" t="s">
        <v>296</v>
      </c>
      <c r="D129" s="431">
        <v>0</v>
      </c>
      <c r="E129" s="468">
        <v>1</v>
      </c>
      <c r="F129" s="467">
        <f t="shared" si="13"/>
        <v>1</v>
      </c>
      <c r="G129" s="468">
        <f t="shared" si="14"/>
        <v>0.49440000000000001</v>
      </c>
      <c r="H129" s="431">
        <f t="shared" ref="H129:H148" si="15">D129*E129*F129*G129</f>
        <v>0</v>
      </c>
    </row>
    <row r="130" spans="1:15">
      <c r="A130" s="863">
        <f t="shared" si="9"/>
        <v>116</v>
      </c>
      <c r="B130" s="515">
        <v>37402</v>
      </c>
      <c r="C130" s="88" t="s">
        <v>1007</v>
      </c>
      <c r="D130" s="431">
        <v>0</v>
      </c>
      <c r="E130" s="468">
        <v>1</v>
      </c>
      <c r="F130" s="467">
        <f t="shared" si="13"/>
        <v>1</v>
      </c>
      <c r="G130" s="468">
        <f t="shared" si="14"/>
        <v>0.49440000000000001</v>
      </c>
      <c r="H130" s="431">
        <f t="shared" si="15"/>
        <v>0</v>
      </c>
    </row>
    <row r="131" spans="1:15">
      <c r="A131" s="863">
        <f t="shared" si="9"/>
        <v>117</v>
      </c>
      <c r="B131" s="515">
        <v>37403</v>
      </c>
      <c r="C131" s="88" t="s">
        <v>1004</v>
      </c>
      <c r="D131" s="431">
        <v>0</v>
      </c>
      <c r="E131" s="468">
        <v>1</v>
      </c>
      <c r="F131" s="467">
        <f t="shared" si="13"/>
        <v>1</v>
      </c>
      <c r="G131" s="468">
        <f t="shared" si="14"/>
        <v>0.49440000000000001</v>
      </c>
      <c r="H131" s="431">
        <f t="shared" si="15"/>
        <v>0</v>
      </c>
      <c r="O131" s="88"/>
    </row>
    <row r="132" spans="1:15">
      <c r="A132" s="863">
        <f t="shared" si="9"/>
        <v>118</v>
      </c>
      <c r="B132" s="515">
        <v>36602</v>
      </c>
      <c r="C132" s="88" t="s">
        <v>863</v>
      </c>
      <c r="D132" s="431">
        <v>0</v>
      </c>
      <c r="E132" s="468">
        <v>1</v>
      </c>
      <c r="F132" s="467">
        <f t="shared" si="13"/>
        <v>1</v>
      </c>
      <c r="G132" s="468">
        <f t="shared" si="14"/>
        <v>0.49440000000000001</v>
      </c>
      <c r="H132" s="431">
        <f t="shared" si="15"/>
        <v>0</v>
      </c>
    </row>
    <row r="133" spans="1:15">
      <c r="A133" s="863">
        <f t="shared" si="9"/>
        <v>119</v>
      </c>
      <c r="B133" s="515">
        <v>37501</v>
      </c>
      <c r="C133" s="88" t="s">
        <v>1005</v>
      </c>
      <c r="D133" s="431">
        <v>0</v>
      </c>
      <c r="E133" s="468">
        <v>1</v>
      </c>
      <c r="F133" s="467">
        <f t="shared" si="13"/>
        <v>1</v>
      </c>
      <c r="G133" s="468">
        <f t="shared" si="14"/>
        <v>0.49440000000000001</v>
      </c>
      <c r="H133" s="431">
        <f t="shared" si="15"/>
        <v>0</v>
      </c>
      <c r="O133" s="515"/>
    </row>
    <row r="134" spans="1:15">
      <c r="A134" s="863">
        <f t="shared" si="9"/>
        <v>120</v>
      </c>
      <c r="B134" s="515">
        <v>37402</v>
      </c>
      <c r="C134" s="88" t="s">
        <v>1007</v>
      </c>
      <c r="D134" s="431">
        <v>0</v>
      </c>
      <c r="E134" s="468">
        <v>1</v>
      </c>
      <c r="F134" s="467">
        <f t="shared" si="13"/>
        <v>1</v>
      </c>
      <c r="G134" s="468">
        <f t="shared" si="14"/>
        <v>0.49440000000000001</v>
      </c>
      <c r="H134" s="431">
        <f t="shared" si="15"/>
        <v>0</v>
      </c>
    </row>
    <row r="135" spans="1:15">
      <c r="A135" s="863">
        <f t="shared" si="9"/>
        <v>121</v>
      </c>
      <c r="B135" s="515">
        <v>37503</v>
      </c>
      <c r="C135" s="88" t="s">
        <v>1006</v>
      </c>
      <c r="D135" s="431">
        <v>0</v>
      </c>
      <c r="E135" s="468">
        <v>1</v>
      </c>
      <c r="F135" s="467">
        <f t="shared" si="13"/>
        <v>1</v>
      </c>
      <c r="G135" s="468">
        <f t="shared" si="14"/>
        <v>0.49440000000000001</v>
      </c>
      <c r="H135" s="431">
        <f t="shared" si="15"/>
        <v>0</v>
      </c>
      <c r="O135" s="515"/>
    </row>
    <row r="136" spans="1:15">
      <c r="A136" s="863">
        <f t="shared" si="9"/>
        <v>122</v>
      </c>
      <c r="B136" s="515">
        <v>36700</v>
      </c>
      <c r="C136" s="88" t="s">
        <v>851</v>
      </c>
      <c r="D136" s="431">
        <v>0</v>
      </c>
      <c r="E136" s="468">
        <v>1</v>
      </c>
      <c r="F136" s="467">
        <f t="shared" si="13"/>
        <v>1</v>
      </c>
      <c r="G136" s="468">
        <f t="shared" si="14"/>
        <v>0.49440000000000001</v>
      </c>
      <c r="H136" s="431">
        <f t="shared" si="15"/>
        <v>0</v>
      </c>
    </row>
    <row r="137" spans="1:15">
      <c r="A137" s="863">
        <f t="shared" si="9"/>
        <v>123</v>
      </c>
      <c r="B137" s="515">
        <v>36701</v>
      </c>
      <c r="C137" s="88" t="s">
        <v>16</v>
      </c>
      <c r="D137" s="431">
        <v>0</v>
      </c>
      <c r="E137" s="468">
        <v>1</v>
      </c>
      <c r="F137" s="467">
        <f t="shared" si="13"/>
        <v>1</v>
      </c>
      <c r="G137" s="468">
        <f t="shared" si="14"/>
        <v>0.49440000000000001</v>
      </c>
      <c r="H137" s="431">
        <f t="shared" si="15"/>
        <v>0</v>
      </c>
    </row>
    <row r="138" spans="1:15">
      <c r="A138" s="863">
        <f t="shared" si="9"/>
        <v>124</v>
      </c>
      <c r="B138" s="515">
        <v>37602</v>
      </c>
      <c r="C138" s="88" t="s">
        <v>852</v>
      </c>
      <c r="D138" s="431">
        <v>0</v>
      </c>
      <c r="E138" s="468">
        <v>1</v>
      </c>
      <c r="F138" s="467">
        <f t="shared" si="13"/>
        <v>1</v>
      </c>
      <c r="G138" s="468">
        <f t="shared" si="14"/>
        <v>0.49440000000000001</v>
      </c>
      <c r="H138" s="431">
        <f t="shared" si="15"/>
        <v>0</v>
      </c>
    </row>
    <row r="139" spans="1:15">
      <c r="A139" s="863">
        <f t="shared" si="9"/>
        <v>125</v>
      </c>
      <c r="B139" s="515">
        <v>37800</v>
      </c>
      <c r="C139" s="88" t="s">
        <v>230</v>
      </c>
      <c r="D139" s="431">
        <v>0</v>
      </c>
      <c r="E139" s="468">
        <v>1</v>
      </c>
      <c r="F139" s="467">
        <f t="shared" si="13"/>
        <v>1</v>
      </c>
      <c r="G139" s="468">
        <f t="shared" si="14"/>
        <v>0.49440000000000001</v>
      </c>
      <c r="H139" s="431">
        <f t="shared" si="15"/>
        <v>0</v>
      </c>
      <c r="M139" s="718"/>
      <c r="N139" s="716"/>
    </row>
    <row r="140" spans="1:15">
      <c r="A140" s="863">
        <f t="shared" si="9"/>
        <v>126</v>
      </c>
      <c r="B140" s="515">
        <v>37900</v>
      </c>
      <c r="C140" s="88" t="s">
        <v>1200</v>
      </c>
      <c r="D140" s="431">
        <v>0</v>
      </c>
      <c r="E140" s="468">
        <v>1</v>
      </c>
      <c r="F140" s="467">
        <f t="shared" si="13"/>
        <v>1</v>
      </c>
      <c r="G140" s="468">
        <f t="shared" si="14"/>
        <v>0.49440000000000001</v>
      </c>
      <c r="H140" s="431">
        <f t="shared" si="15"/>
        <v>0</v>
      </c>
    </row>
    <row r="141" spans="1:15">
      <c r="A141" s="863">
        <f t="shared" si="9"/>
        <v>127</v>
      </c>
      <c r="B141" s="515">
        <v>37905</v>
      </c>
      <c r="C141" s="88" t="s">
        <v>732</v>
      </c>
      <c r="D141" s="431">
        <v>0</v>
      </c>
      <c r="E141" s="468">
        <v>1</v>
      </c>
      <c r="F141" s="467">
        <f t="shared" si="13"/>
        <v>1</v>
      </c>
      <c r="G141" s="468">
        <f t="shared" si="14"/>
        <v>0.49440000000000001</v>
      </c>
      <c r="H141" s="431">
        <f t="shared" si="15"/>
        <v>0</v>
      </c>
      <c r="M141" s="715"/>
      <c r="N141" s="717"/>
    </row>
    <row r="142" spans="1:15">
      <c r="A142" s="863">
        <f t="shared" si="9"/>
        <v>128</v>
      </c>
      <c r="B142" s="515">
        <v>38000</v>
      </c>
      <c r="C142" s="88" t="s">
        <v>1061</v>
      </c>
      <c r="D142" s="431">
        <v>0</v>
      </c>
      <c r="E142" s="468">
        <v>1</v>
      </c>
      <c r="F142" s="467">
        <f t="shared" si="13"/>
        <v>1</v>
      </c>
      <c r="G142" s="468">
        <f t="shared" si="14"/>
        <v>0.49440000000000001</v>
      </c>
      <c r="H142" s="431">
        <f t="shared" si="15"/>
        <v>0</v>
      </c>
    </row>
    <row r="143" spans="1:15">
      <c r="A143" s="863">
        <f t="shared" si="9"/>
        <v>129</v>
      </c>
      <c r="B143" s="515">
        <v>38100</v>
      </c>
      <c r="C143" s="88" t="s">
        <v>853</v>
      </c>
      <c r="D143" s="431">
        <v>0</v>
      </c>
      <c r="E143" s="468">
        <v>1</v>
      </c>
      <c r="F143" s="467">
        <f t="shared" si="13"/>
        <v>1</v>
      </c>
      <c r="G143" s="468">
        <f t="shared" si="14"/>
        <v>0.49440000000000001</v>
      </c>
      <c r="H143" s="431">
        <f t="shared" si="15"/>
        <v>0</v>
      </c>
      <c r="M143" s="715"/>
      <c r="N143" s="716"/>
    </row>
    <row r="144" spans="1:15">
      <c r="A144" s="863">
        <f t="shared" si="9"/>
        <v>130</v>
      </c>
      <c r="B144" s="515">
        <v>38200</v>
      </c>
      <c r="C144" s="88" t="s">
        <v>447</v>
      </c>
      <c r="D144" s="431">
        <v>0</v>
      </c>
      <c r="E144" s="468">
        <v>1</v>
      </c>
      <c r="F144" s="467">
        <f t="shared" si="13"/>
        <v>1</v>
      </c>
      <c r="G144" s="468">
        <f t="shared" si="14"/>
        <v>0.49440000000000001</v>
      </c>
      <c r="H144" s="431">
        <f t="shared" si="15"/>
        <v>0</v>
      </c>
    </row>
    <row r="145" spans="1:14">
      <c r="A145" s="863">
        <f t="shared" si="9"/>
        <v>131</v>
      </c>
      <c r="B145" s="515">
        <v>38300</v>
      </c>
      <c r="C145" s="88" t="s">
        <v>1062</v>
      </c>
      <c r="D145" s="431">
        <v>0</v>
      </c>
      <c r="E145" s="468">
        <v>1</v>
      </c>
      <c r="F145" s="467">
        <f t="shared" si="13"/>
        <v>1</v>
      </c>
      <c r="G145" s="468">
        <f t="shared" si="14"/>
        <v>0.49440000000000001</v>
      </c>
      <c r="H145" s="431">
        <f t="shared" si="15"/>
        <v>0</v>
      </c>
      <c r="M145" s="715"/>
      <c r="N145" s="716"/>
    </row>
    <row r="146" spans="1:14">
      <c r="A146" s="863">
        <f t="shared" si="9"/>
        <v>132</v>
      </c>
      <c r="B146" s="515">
        <v>38400</v>
      </c>
      <c r="C146" s="88" t="s">
        <v>448</v>
      </c>
      <c r="D146" s="431">
        <v>0</v>
      </c>
      <c r="E146" s="468">
        <v>1</v>
      </c>
      <c r="F146" s="467">
        <f t="shared" si="13"/>
        <v>1</v>
      </c>
      <c r="G146" s="468">
        <f t="shared" si="14"/>
        <v>0.49440000000000001</v>
      </c>
      <c r="H146" s="431">
        <f t="shared" si="15"/>
        <v>0</v>
      </c>
    </row>
    <row r="147" spans="1:14">
      <c r="A147" s="863">
        <f t="shared" si="9"/>
        <v>133</v>
      </c>
      <c r="B147" s="515">
        <v>38500</v>
      </c>
      <c r="C147" s="88" t="s">
        <v>449</v>
      </c>
      <c r="D147" s="431">
        <v>0</v>
      </c>
      <c r="E147" s="468">
        <v>1</v>
      </c>
      <c r="F147" s="467">
        <f t="shared" si="13"/>
        <v>1</v>
      </c>
      <c r="G147" s="468">
        <f t="shared" si="14"/>
        <v>0.49440000000000001</v>
      </c>
      <c r="H147" s="431">
        <f t="shared" si="15"/>
        <v>0</v>
      </c>
    </row>
    <row r="148" spans="1:14">
      <c r="A148" s="863">
        <f t="shared" si="9"/>
        <v>134</v>
      </c>
      <c r="B148" s="515">
        <v>38600</v>
      </c>
      <c r="C148" s="88" t="s">
        <v>107</v>
      </c>
      <c r="D148" s="1054">
        <v>0</v>
      </c>
      <c r="E148" s="468">
        <v>1</v>
      </c>
      <c r="F148" s="467">
        <f t="shared" si="13"/>
        <v>1</v>
      </c>
      <c r="G148" s="468">
        <f t="shared" si="14"/>
        <v>0.49440000000000001</v>
      </c>
      <c r="H148" s="1054">
        <f t="shared" si="15"/>
        <v>0</v>
      </c>
    </row>
    <row r="149" spans="1:14">
      <c r="A149" s="863">
        <f t="shared" si="9"/>
        <v>135</v>
      </c>
      <c r="B149" s="515"/>
      <c r="C149" s="88"/>
    </row>
    <row r="150" spans="1:14">
      <c r="A150" s="863">
        <f t="shared" ref="A150:A241" si="16">A149+1</f>
        <v>136</v>
      </c>
      <c r="B150" s="515"/>
      <c r="C150" s="88" t="s">
        <v>1354</v>
      </c>
      <c r="D150" s="347">
        <f>SUM(D128:D149)</f>
        <v>0</v>
      </c>
      <c r="E150" s="713"/>
      <c r="H150" s="347">
        <f>SUM(H128:H149)</f>
        <v>0</v>
      </c>
    </row>
    <row r="151" spans="1:14">
      <c r="A151" s="863">
        <f t="shared" si="16"/>
        <v>137</v>
      </c>
      <c r="B151" s="515"/>
      <c r="C151" s="88"/>
    </row>
    <row r="152" spans="1:14">
      <c r="A152" s="863">
        <f t="shared" si="16"/>
        <v>138</v>
      </c>
      <c r="B152" s="709"/>
      <c r="C152" s="622" t="s">
        <v>305</v>
      </c>
    </row>
    <row r="153" spans="1:14">
      <c r="A153" s="863">
        <f t="shared" si="16"/>
        <v>139</v>
      </c>
      <c r="B153" s="515">
        <v>39001</v>
      </c>
      <c r="C153" s="88" t="s">
        <v>1582</v>
      </c>
      <c r="D153" s="347">
        <v>4806.2723359999991</v>
      </c>
      <c r="E153" s="468">
        <v>1</v>
      </c>
      <c r="F153" s="467">
        <f t="shared" ref="F153:F173" si="17">$F$16</f>
        <v>1</v>
      </c>
      <c r="G153" s="468">
        <f t="shared" ref="G153:G173" si="18">$G$122</f>
        <v>0.49440000000000001</v>
      </c>
      <c r="H153" s="347">
        <f t="shared" ref="H153:H173" si="19">D153*E153*F153*G153</f>
        <v>2376.2210429183997</v>
      </c>
      <c r="N153" s="468"/>
    </row>
    <row r="154" spans="1:14">
      <c r="A154" s="863">
        <f t="shared" si="16"/>
        <v>140</v>
      </c>
      <c r="B154" s="515">
        <v>39004</v>
      </c>
      <c r="C154" s="88" t="s">
        <v>1566</v>
      </c>
      <c r="D154" s="347">
        <v>1127.6406030000001</v>
      </c>
      <c r="E154" s="468">
        <v>1</v>
      </c>
      <c r="F154" s="467">
        <f t="shared" si="17"/>
        <v>1</v>
      </c>
      <c r="G154" s="468">
        <f t="shared" si="18"/>
        <v>0.49440000000000001</v>
      </c>
      <c r="H154" s="431">
        <f t="shared" si="19"/>
        <v>557.50551412319999</v>
      </c>
      <c r="N154" s="468"/>
    </row>
    <row r="155" spans="1:14">
      <c r="A155" s="863">
        <f t="shared" si="16"/>
        <v>141</v>
      </c>
      <c r="B155" s="515">
        <v>39009</v>
      </c>
      <c r="C155" s="88" t="s">
        <v>1567</v>
      </c>
      <c r="D155" s="347">
        <v>0</v>
      </c>
      <c r="E155" s="468">
        <v>1</v>
      </c>
      <c r="F155" s="467">
        <f t="shared" si="17"/>
        <v>1</v>
      </c>
      <c r="G155" s="468">
        <f t="shared" si="18"/>
        <v>0.49440000000000001</v>
      </c>
      <c r="H155" s="431">
        <f t="shared" si="19"/>
        <v>0</v>
      </c>
      <c r="N155" s="468"/>
    </row>
    <row r="156" spans="1:14">
      <c r="A156" s="863">
        <f t="shared" si="16"/>
        <v>142</v>
      </c>
      <c r="B156" s="515">
        <v>39100</v>
      </c>
      <c r="C156" s="88" t="s">
        <v>1568</v>
      </c>
      <c r="D156" s="347">
        <v>0</v>
      </c>
      <c r="E156" s="468">
        <v>1</v>
      </c>
      <c r="F156" s="467">
        <f t="shared" si="17"/>
        <v>1</v>
      </c>
      <c r="G156" s="468">
        <f t="shared" si="18"/>
        <v>0.49440000000000001</v>
      </c>
      <c r="H156" s="431">
        <f t="shared" si="19"/>
        <v>0</v>
      </c>
      <c r="N156" s="468"/>
    </row>
    <row r="157" spans="1:14">
      <c r="A157" s="863">
        <f t="shared" si="16"/>
        <v>143</v>
      </c>
      <c r="B157" s="515">
        <v>39101</v>
      </c>
      <c r="C157" s="88" t="s">
        <v>1538</v>
      </c>
      <c r="D157" s="347">
        <v>0</v>
      </c>
      <c r="E157" s="468">
        <v>1</v>
      </c>
      <c r="F157" s="467">
        <f t="shared" si="17"/>
        <v>1</v>
      </c>
      <c r="G157" s="468">
        <f t="shared" si="18"/>
        <v>0.49440000000000001</v>
      </c>
      <c r="H157" s="431">
        <f t="shared" si="19"/>
        <v>0</v>
      </c>
      <c r="K157" s="693"/>
      <c r="N157" s="468"/>
    </row>
    <row r="158" spans="1:14">
      <c r="A158" s="863">
        <f t="shared" si="16"/>
        <v>144</v>
      </c>
      <c r="B158" s="515">
        <v>39103</v>
      </c>
      <c r="C158" s="88" t="s">
        <v>787</v>
      </c>
      <c r="D158" s="347">
        <v>0</v>
      </c>
      <c r="E158" s="468">
        <v>1</v>
      </c>
      <c r="F158" s="467">
        <f t="shared" si="17"/>
        <v>1</v>
      </c>
      <c r="G158" s="468">
        <f t="shared" si="18"/>
        <v>0.49440000000000001</v>
      </c>
      <c r="H158" s="431">
        <f t="shared" si="19"/>
        <v>0</v>
      </c>
      <c r="K158" s="693"/>
      <c r="N158" s="468"/>
    </row>
    <row r="159" spans="1:14">
      <c r="A159" s="863">
        <f t="shared" si="16"/>
        <v>145</v>
      </c>
      <c r="B159" s="515">
        <v>39200</v>
      </c>
      <c r="C159" s="88" t="s">
        <v>1583</v>
      </c>
      <c r="D159" s="347">
        <v>1819.888823</v>
      </c>
      <c r="E159" s="1076">
        <v>0.45672337245593209</v>
      </c>
      <c r="F159" s="467">
        <f t="shared" si="17"/>
        <v>1</v>
      </c>
      <c r="G159" s="468">
        <f t="shared" si="18"/>
        <v>0.49440000000000001</v>
      </c>
      <c r="H159" s="431">
        <f t="shared" si="19"/>
        <v>410.9382401075901</v>
      </c>
      <c r="K159" s="693"/>
      <c r="N159" s="468"/>
    </row>
    <row r="160" spans="1:14">
      <c r="A160" s="863">
        <f t="shared" si="16"/>
        <v>146</v>
      </c>
      <c r="B160" s="515">
        <v>39300</v>
      </c>
      <c r="C160" s="88" t="s">
        <v>655</v>
      </c>
      <c r="D160" s="347">
        <v>0</v>
      </c>
      <c r="E160" s="468">
        <v>1</v>
      </c>
      <c r="F160" s="467">
        <f t="shared" si="17"/>
        <v>1</v>
      </c>
      <c r="G160" s="468">
        <f t="shared" si="18"/>
        <v>0.49440000000000001</v>
      </c>
      <c r="H160" s="431">
        <f t="shared" si="19"/>
        <v>0</v>
      </c>
      <c r="K160" s="693"/>
      <c r="N160" s="468"/>
    </row>
    <row r="161" spans="1:14">
      <c r="A161" s="863">
        <f t="shared" si="16"/>
        <v>147</v>
      </c>
      <c r="B161" s="515">
        <v>39400</v>
      </c>
      <c r="C161" s="88" t="s">
        <v>1571</v>
      </c>
      <c r="D161" s="347">
        <v>6183.9150513847453</v>
      </c>
      <c r="E161" s="1076">
        <v>0.456653713716759</v>
      </c>
      <c r="F161" s="467">
        <f t="shared" si="17"/>
        <v>1</v>
      </c>
      <c r="G161" s="468">
        <f t="shared" si="18"/>
        <v>0.49440000000000001</v>
      </c>
      <c r="H161" s="431">
        <f t="shared" si="19"/>
        <v>1396.1400032301699</v>
      </c>
      <c r="K161" s="693"/>
      <c r="N161" s="468"/>
    </row>
    <row r="162" spans="1:14">
      <c r="A162" s="863">
        <f t="shared" si="16"/>
        <v>148</v>
      </c>
      <c r="B162" s="515">
        <v>39600</v>
      </c>
      <c r="C162" s="88" t="s">
        <v>1584</v>
      </c>
      <c r="D162" s="347">
        <v>894.48408400000005</v>
      </c>
      <c r="E162" s="1076">
        <v>1.9989267507378727E-2</v>
      </c>
      <c r="F162" s="467">
        <f t="shared" si="17"/>
        <v>1</v>
      </c>
      <c r="G162" s="468">
        <f t="shared" si="18"/>
        <v>0.49440000000000001</v>
      </c>
      <c r="H162" s="431">
        <f t="shared" si="19"/>
        <v>8.8399123609217689</v>
      </c>
      <c r="K162" s="693"/>
      <c r="N162" s="468"/>
    </row>
    <row r="163" spans="1:14">
      <c r="A163" s="863">
        <f t="shared" si="16"/>
        <v>149</v>
      </c>
      <c r="B163" s="515">
        <v>39700</v>
      </c>
      <c r="C163" s="88" t="s">
        <v>1575</v>
      </c>
      <c r="D163" s="347">
        <v>1704.3723963036516</v>
      </c>
      <c r="E163" s="468">
        <v>1</v>
      </c>
      <c r="F163" s="467">
        <f t="shared" si="17"/>
        <v>1</v>
      </c>
      <c r="G163" s="468">
        <f t="shared" si="18"/>
        <v>0.49440000000000001</v>
      </c>
      <c r="H163" s="431">
        <f t="shared" si="19"/>
        <v>842.64171273252532</v>
      </c>
      <c r="K163" s="693"/>
      <c r="N163" s="468"/>
    </row>
    <row r="164" spans="1:14">
      <c r="A164" s="863">
        <f t="shared" si="16"/>
        <v>150</v>
      </c>
      <c r="B164" s="515">
        <v>39701</v>
      </c>
      <c r="C164" s="88" t="s">
        <v>1535</v>
      </c>
      <c r="D164" s="347">
        <v>0</v>
      </c>
      <c r="E164" s="468">
        <v>1</v>
      </c>
      <c r="F164" s="467">
        <f t="shared" si="17"/>
        <v>1</v>
      </c>
      <c r="G164" s="468">
        <f t="shared" si="18"/>
        <v>0.49440000000000001</v>
      </c>
      <c r="H164" s="431">
        <f t="shared" si="19"/>
        <v>0</v>
      </c>
      <c r="K164" s="693"/>
      <c r="N164" s="468"/>
    </row>
    <row r="165" spans="1:14">
      <c r="A165" s="863">
        <f t="shared" si="16"/>
        <v>151</v>
      </c>
      <c r="B165" s="709">
        <v>39702</v>
      </c>
      <c r="C165" s="88" t="s">
        <v>1535</v>
      </c>
      <c r="D165" s="347">
        <v>0</v>
      </c>
      <c r="E165" s="468">
        <v>1</v>
      </c>
      <c r="F165" s="467">
        <f t="shared" si="17"/>
        <v>1</v>
      </c>
      <c r="G165" s="468">
        <f t="shared" si="18"/>
        <v>0.49440000000000001</v>
      </c>
      <c r="H165" s="431">
        <f t="shared" si="19"/>
        <v>0</v>
      </c>
      <c r="N165" s="468"/>
    </row>
    <row r="166" spans="1:14">
      <c r="A166" s="863">
        <f t="shared" si="16"/>
        <v>152</v>
      </c>
      <c r="B166" s="709">
        <v>39800</v>
      </c>
      <c r="C166" s="88" t="s">
        <v>1577</v>
      </c>
      <c r="D166" s="347">
        <v>28251.590736000002</v>
      </c>
      <c r="E166" s="468">
        <v>1</v>
      </c>
      <c r="F166" s="467">
        <f t="shared" si="17"/>
        <v>1</v>
      </c>
      <c r="G166" s="468">
        <f t="shared" si="18"/>
        <v>0.49440000000000001</v>
      </c>
      <c r="H166" s="431">
        <f t="shared" si="19"/>
        <v>13967.586459878401</v>
      </c>
      <c r="N166" s="468"/>
    </row>
    <row r="167" spans="1:14">
      <c r="A167" s="863">
        <f t="shared" si="16"/>
        <v>153</v>
      </c>
      <c r="B167" s="709">
        <v>39900</v>
      </c>
      <c r="C167" s="88" t="s">
        <v>1585</v>
      </c>
      <c r="D167" s="347">
        <v>0</v>
      </c>
      <c r="E167" s="468">
        <v>1</v>
      </c>
      <c r="F167" s="467">
        <f t="shared" si="17"/>
        <v>1</v>
      </c>
      <c r="G167" s="468">
        <f t="shared" si="18"/>
        <v>0.49440000000000001</v>
      </c>
      <c r="H167" s="431">
        <f t="shared" si="19"/>
        <v>0</v>
      </c>
      <c r="N167" s="468"/>
    </row>
    <row r="168" spans="1:14">
      <c r="A168" s="863">
        <f t="shared" si="16"/>
        <v>154</v>
      </c>
      <c r="B168" s="709">
        <v>39901</v>
      </c>
      <c r="C168" s="88" t="s">
        <v>1586</v>
      </c>
      <c r="D168" s="347">
        <v>0</v>
      </c>
      <c r="E168" s="468">
        <v>1</v>
      </c>
      <c r="F168" s="467">
        <f t="shared" si="17"/>
        <v>1</v>
      </c>
      <c r="G168" s="468">
        <f t="shared" si="18"/>
        <v>0.49440000000000001</v>
      </c>
      <c r="H168" s="431">
        <f t="shared" si="19"/>
        <v>0</v>
      </c>
      <c r="N168" s="468"/>
    </row>
    <row r="169" spans="1:14">
      <c r="A169" s="863">
        <f t="shared" si="16"/>
        <v>155</v>
      </c>
      <c r="B169" s="709">
        <v>39902</v>
      </c>
      <c r="C169" s="88" t="s">
        <v>1587</v>
      </c>
      <c r="D169" s="347">
        <v>0</v>
      </c>
      <c r="E169" s="468">
        <v>1</v>
      </c>
      <c r="F169" s="467">
        <f t="shared" si="17"/>
        <v>1</v>
      </c>
      <c r="G169" s="468">
        <f t="shared" si="18"/>
        <v>0.49440000000000001</v>
      </c>
      <c r="H169" s="431">
        <f t="shared" si="19"/>
        <v>0</v>
      </c>
      <c r="N169" s="468"/>
    </row>
    <row r="170" spans="1:14">
      <c r="A170" s="863">
        <f t="shared" si="16"/>
        <v>156</v>
      </c>
      <c r="B170" s="709">
        <v>39903</v>
      </c>
      <c r="C170" s="88" t="s">
        <v>1578</v>
      </c>
      <c r="D170" s="347">
        <v>0</v>
      </c>
      <c r="E170" s="468">
        <v>1</v>
      </c>
      <c r="F170" s="467">
        <f t="shared" si="17"/>
        <v>1</v>
      </c>
      <c r="G170" s="468">
        <f t="shared" si="18"/>
        <v>0.49440000000000001</v>
      </c>
      <c r="H170" s="431">
        <f t="shared" si="19"/>
        <v>0</v>
      </c>
      <c r="N170" s="468"/>
    </row>
    <row r="171" spans="1:14">
      <c r="A171" s="863">
        <f t="shared" si="16"/>
        <v>157</v>
      </c>
      <c r="B171" s="709">
        <v>39906</v>
      </c>
      <c r="C171" s="88" t="s">
        <v>1579</v>
      </c>
      <c r="D171" s="347">
        <v>0</v>
      </c>
      <c r="E171" s="468">
        <v>1</v>
      </c>
      <c r="F171" s="467">
        <f t="shared" si="17"/>
        <v>1</v>
      </c>
      <c r="G171" s="468">
        <f t="shared" si="18"/>
        <v>0.49440000000000001</v>
      </c>
      <c r="H171" s="431">
        <f t="shared" si="19"/>
        <v>0</v>
      </c>
      <c r="N171" s="468"/>
    </row>
    <row r="172" spans="1:14">
      <c r="A172" s="863">
        <f t="shared" si="16"/>
        <v>158</v>
      </c>
      <c r="B172" s="709">
        <v>39907</v>
      </c>
      <c r="C172" s="88" t="s">
        <v>1580</v>
      </c>
      <c r="D172" s="347">
        <v>3895.5848469999987</v>
      </c>
      <c r="E172" s="468">
        <v>1</v>
      </c>
      <c r="F172" s="467">
        <f t="shared" si="17"/>
        <v>1</v>
      </c>
      <c r="G172" s="468">
        <f t="shared" si="18"/>
        <v>0.49440000000000001</v>
      </c>
      <c r="H172" s="431">
        <f t="shared" si="19"/>
        <v>1925.9771483567995</v>
      </c>
      <c r="N172" s="468"/>
    </row>
    <row r="173" spans="1:14">
      <c r="A173" s="863">
        <f t="shared" si="16"/>
        <v>159</v>
      </c>
      <c r="B173" s="709">
        <v>39908</v>
      </c>
      <c r="C173" s="88" t="s">
        <v>1581</v>
      </c>
      <c r="D173" s="347">
        <v>0</v>
      </c>
      <c r="E173" s="468">
        <v>1</v>
      </c>
      <c r="F173" s="467">
        <f t="shared" si="17"/>
        <v>1</v>
      </c>
      <c r="G173" s="468">
        <f t="shared" si="18"/>
        <v>0.49440000000000001</v>
      </c>
      <c r="H173" s="431">
        <f t="shared" si="19"/>
        <v>0</v>
      </c>
      <c r="N173" s="468"/>
    </row>
    <row r="174" spans="1:14">
      <c r="A174" s="863">
        <f t="shared" si="16"/>
        <v>160</v>
      </c>
      <c r="B174" s="709"/>
      <c r="C174" s="88"/>
      <c r="D174" s="431"/>
      <c r="E174" s="468"/>
      <c r="F174" s="467"/>
      <c r="G174" s="468"/>
      <c r="H174" s="431"/>
    </row>
    <row r="175" spans="1:14">
      <c r="A175" s="863">
        <f t="shared" si="16"/>
        <v>161</v>
      </c>
      <c r="B175" s="391"/>
      <c r="C175" s="88"/>
      <c r="D175" s="621"/>
      <c r="E175" s="1037"/>
      <c r="H175" s="621"/>
    </row>
    <row r="176" spans="1:14">
      <c r="A176" s="863">
        <f t="shared" si="16"/>
        <v>162</v>
      </c>
      <c r="B176" s="391"/>
      <c r="C176" s="88" t="s">
        <v>1353</v>
      </c>
      <c r="D176" s="347">
        <f>SUM(D153:D174)</f>
        <v>48683.748876688398</v>
      </c>
      <c r="E176" s="1077"/>
      <c r="H176" s="347">
        <f>SUM(H153:H174)</f>
        <v>21485.850033708008</v>
      </c>
    </row>
    <row r="177" spans="1:14">
      <c r="A177" s="863">
        <f t="shared" si="16"/>
        <v>163</v>
      </c>
      <c r="B177" s="391"/>
      <c r="C177" s="88"/>
      <c r="E177" s="1037"/>
    </row>
    <row r="178" spans="1:14" ht="15.75" thickBot="1">
      <c r="A178" s="863">
        <f t="shared" si="16"/>
        <v>164</v>
      </c>
      <c r="B178" s="391"/>
      <c r="C178" s="88" t="s">
        <v>1349</v>
      </c>
      <c r="D178" s="330">
        <f>D125+D150+D176</f>
        <v>48683.748876688398</v>
      </c>
      <c r="E178" s="1077"/>
      <c r="H178" s="330">
        <f>H125+H150+H176</f>
        <v>21485.850033708008</v>
      </c>
    </row>
    <row r="179" spans="1:14" ht="15.75" thickTop="1">
      <c r="A179" s="863">
        <f t="shared" si="16"/>
        <v>165</v>
      </c>
      <c r="B179" s="1050"/>
      <c r="D179" s="431"/>
      <c r="E179" s="1037"/>
    </row>
    <row r="180" spans="1:14" ht="15.75">
      <c r="A180" s="863">
        <f t="shared" si="16"/>
        <v>166</v>
      </c>
      <c r="B180" s="1055" t="s">
        <v>8</v>
      </c>
      <c r="D180" s="431"/>
    </row>
    <row r="181" spans="1:14">
      <c r="A181" s="863">
        <f t="shared" si="16"/>
        <v>167</v>
      </c>
      <c r="D181" s="431"/>
    </row>
    <row r="182" spans="1:14">
      <c r="A182" s="863">
        <f t="shared" si="16"/>
        <v>168</v>
      </c>
      <c r="B182" s="391"/>
      <c r="C182" s="622" t="s">
        <v>305</v>
      </c>
      <c r="D182" s="431"/>
    </row>
    <row r="183" spans="1:14">
      <c r="A183" s="863">
        <f t="shared" si="16"/>
        <v>169</v>
      </c>
      <c r="B183" s="515">
        <v>39000</v>
      </c>
      <c r="C183" s="88" t="s">
        <v>1563</v>
      </c>
      <c r="D183" s="347">
        <v>42485.43138220167</v>
      </c>
      <c r="E183" s="467">
        <v>1</v>
      </c>
      <c r="F183" s="468">
        <f>Allocation!$C$14</f>
        <v>9.8900000000000002E-2</v>
      </c>
      <c r="G183" s="468">
        <f>Allocation!$D$14</f>
        <v>0.49440000000000001</v>
      </c>
      <c r="H183" s="347">
        <f>D183*E183*F183*G183</f>
        <v>2077.3744505331542</v>
      </c>
      <c r="N183" s="468"/>
    </row>
    <row r="184" spans="1:14">
      <c r="A184" s="863">
        <f t="shared" si="16"/>
        <v>170</v>
      </c>
      <c r="B184" s="515">
        <v>39005</v>
      </c>
      <c r="C184" s="88" t="s">
        <v>1588</v>
      </c>
      <c r="D184" s="347">
        <v>274903.73915899993</v>
      </c>
      <c r="E184" s="467">
        <v>1</v>
      </c>
      <c r="F184" s="468">
        <v>1</v>
      </c>
      <c r="G184" s="468">
        <f>Allocation!$I$20</f>
        <v>1.550753E-2</v>
      </c>
      <c r="H184" s="431">
        <f t="shared" ref="H184:H218" si="20">D184*E184*F184*G184</f>
        <v>4263.077982120366</v>
      </c>
      <c r="N184" s="468"/>
    </row>
    <row r="185" spans="1:14">
      <c r="A185" s="863">
        <f t="shared" si="16"/>
        <v>171</v>
      </c>
      <c r="B185" s="515">
        <v>39009</v>
      </c>
      <c r="C185" s="88" t="s">
        <v>1567</v>
      </c>
      <c r="D185" s="347">
        <v>318539.92345479981</v>
      </c>
      <c r="E185" s="467">
        <v>1</v>
      </c>
      <c r="F185" s="468">
        <f t="shared" ref="F185:F198" si="21">$F$183</f>
        <v>9.8900000000000002E-2</v>
      </c>
      <c r="G185" s="468">
        <f t="shared" ref="G185:G198" si="22">$G$183</f>
        <v>0.49440000000000001</v>
      </c>
      <c r="H185" s="431">
        <f t="shared" si="20"/>
        <v>15575.379063633643</v>
      </c>
      <c r="N185" s="468"/>
    </row>
    <row r="186" spans="1:14">
      <c r="A186" s="863">
        <f t="shared" si="16"/>
        <v>172</v>
      </c>
      <c r="B186" s="515">
        <v>39020</v>
      </c>
      <c r="C186" s="88" t="s">
        <v>1539</v>
      </c>
      <c r="D186" s="347">
        <v>0</v>
      </c>
      <c r="E186" s="467">
        <v>1</v>
      </c>
      <c r="F186" s="468">
        <v>1</v>
      </c>
      <c r="G186" s="468">
        <f>Allocation!$E$22</f>
        <v>6.437198999999999E-2</v>
      </c>
      <c r="H186" s="431">
        <f t="shared" si="20"/>
        <v>0</v>
      </c>
      <c r="N186" s="468"/>
    </row>
    <row r="187" spans="1:14">
      <c r="A187" s="863">
        <f t="shared" si="16"/>
        <v>173</v>
      </c>
      <c r="B187" s="515">
        <v>39029</v>
      </c>
      <c r="C187" s="88" t="s">
        <v>1540</v>
      </c>
      <c r="D187" s="347">
        <v>0</v>
      </c>
      <c r="E187" s="467">
        <v>1</v>
      </c>
      <c r="F187" s="468">
        <v>1</v>
      </c>
      <c r="G187" s="468">
        <f>Allocation!$E$22</f>
        <v>6.437198999999999E-2</v>
      </c>
      <c r="H187" s="431">
        <f t="shared" si="20"/>
        <v>0</v>
      </c>
      <c r="N187" s="468"/>
    </row>
    <row r="188" spans="1:14">
      <c r="A188" s="863">
        <f t="shared" si="16"/>
        <v>174</v>
      </c>
      <c r="B188" s="515">
        <v>39100</v>
      </c>
      <c r="C188" s="88" t="s">
        <v>1568</v>
      </c>
      <c r="D188" s="347">
        <v>203100.32636179886</v>
      </c>
      <c r="E188" s="467">
        <v>1</v>
      </c>
      <c r="F188" s="468">
        <f t="shared" si="21"/>
        <v>9.8900000000000002E-2</v>
      </c>
      <c r="G188" s="468">
        <f t="shared" si="22"/>
        <v>0.49440000000000001</v>
      </c>
      <c r="H188" s="431">
        <f t="shared" si="20"/>
        <v>9930.8260538387349</v>
      </c>
      <c r="N188" s="468"/>
    </row>
    <row r="189" spans="1:14">
      <c r="A189" s="863">
        <f t="shared" si="16"/>
        <v>175</v>
      </c>
      <c r="B189" s="515">
        <v>39102</v>
      </c>
      <c r="C189" s="88" t="s">
        <v>1589</v>
      </c>
      <c r="D189" s="347">
        <v>0</v>
      </c>
      <c r="E189" s="467">
        <v>1</v>
      </c>
      <c r="F189" s="468">
        <f t="shared" si="21"/>
        <v>9.8900000000000002E-2</v>
      </c>
      <c r="G189" s="468">
        <f t="shared" si="22"/>
        <v>0.49440000000000001</v>
      </c>
      <c r="H189" s="431">
        <f t="shared" si="20"/>
        <v>0</v>
      </c>
      <c r="N189" s="468"/>
    </row>
    <row r="190" spans="1:14">
      <c r="A190" s="863">
        <f t="shared" si="16"/>
        <v>176</v>
      </c>
      <c r="B190" s="515">
        <v>39103</v>
      </c>
      <c r="C190" s="88" t="s">
        <v>1342</v>
      </c>
      <c r="D190" s="347">
        <v>0</v>
      </c>
      <c r="E190" s="467">
        <v>1</v>
      </c>
      <c r="F190" s="468">
        <f t="shared" si="21"/>
        <v>9.8900000000000002E-2</v>
      </c>
      <c r="G190" s="468">
        <f t="shared" si="22"/>
        <v>0.49440000000000001</v>
      </c>
      <c r="H190" s="431">
        <f t="shared" si="20"/>
        <v>0</v>
      </c>
      <c r="N190" s="468"/>
    </row>
    <row r="191" spans="1:14">
      <c r="A191" s="863">
        <f t="shared" si="16"/>
        <v>177</v>
      </c>
      <c r="B191" s="515">
        <v>39104</v>
      </c>
      <c r="C191" s="88" t="s">
        <v>1590</v>
      </c>
      <c r="D191" s="347">
        <v>10428.180444000001</v>
      </c>
      <c r="E191" s="467">
        <v>1</v>
      </c>
      <c r="F191" s="468">
        <v>1</v>
      </c>
      <c r="G191" s="468">
        <f>Allocation!$I$20</f>
        <v>1.550753E-2</v>
      </c>
      <c r="H191" s="431">
        <f t="shared" si="20"/>
        <v>161.71532108074334</v>
      </c>
      <c r="N191" s="468"/>
    </row>
    <row r="192" spans="1:14">
      <c r="A192" s="863">
        <f t="shared" si="16"/>
        <v>178</v>
      </c>
      <c r="B192" s="515">
        <v>39120</v>
      </c>
      <c r="C192" s="88" t="s">
        <v>1541</v>
      </c>
      <c r="D192" s="347">
        <v>282.16623600000003</v>
      </c>
      <c r="E192" s="467">
        <v>1</v>
      </c>
      <c r="F192" s="468">
        <v>1</v>
      </c>
      <c r="G192" s="468">
        <f>Allocation!$E$22</f>
        <v>6.437198999999999E-2</v>
      </c>
      <c r="H192" s="431">
        <f t="shared" si="20"/>
        <v>18.163602122129639</v>
      </c>
      <c r="N192" s="468"/>
    </row>
    <row r="193" spans="1:14">
      <c r="A193" s="863">
        <f t="shared" si="16"/>
        <v>179</v>
      </c>
      <c r="B193" s="515">
        <v>39200</v>
      </c>
      <c r="C193" s="88" t="s">
        <v>1569</v>
      </c>
      <c r="D193" s="347">
        <v>0</v>
      </c>
      <c r="E193" s="467">
        <v>1</v>
      </c>
      <c r="F193" s="468">
        <f t="shared" si="21"/>
        <v>9.8900000000000002E-2</v>
      </c>
      <c r="G193" s="468">
        <f t="shared" si="22"/>
        <v>0.49440000000000001</v>
      </c>
      <c r="H193" s="431">
        <f t="shared" si="20"/>
        <v>0</v>
      </c>
      <c r="N193" s="468"/>
    </row>
    <row r="194" spans="1:14">
      <c r="A194" s="863">
        <f t="shared" si="16"/>
        <v>180</v>
      </c>
      <c r="B194" s="515">
        <v>39300</v>
      </c>
      <c r="C194" s="88" t="s">
        <v>1591</v>
      </c>
      <c r="D194" s="347">
        <v>0</v>
      </c>
      <c r="E194" s="467">
        <v>1</v>
      </c>
      <c r="F194" s="468">
        <f t="shared" si="21"/>
        <v>9.8900000000000002E-2</v>
      </c>
      <c r="G194" s="468">
        <f t="shared" si="22"/>
        <v>0.49440000000000001</v>
      </c>
      <c r="H194" s="431">
        <f t="shared" si="20"/>
        <v>0</v>
      </c>
      <c r="N194" s="468"/>
    </row>
    <row r="195" spans="1:14">
      <c r="A195" s="863">
        <f t="shared" si="16"/>
        <v>181</v>
      </c>
      <c r="B195" s="515">
        <v>39400</v>
      </c>
      <c r="C195" s="88" t="s">
        <v>1571</v>
      </c>
      <c r="D195" s="347">
        <v>33858.632992884741</v>
      </c>
      <c r="E195" s="467">
        <v>1</v>
      </c>
      <c r="F195" s="468">
        <f t="shared" si="21"/>
        <v>9.8900000000000002E-2</v>
      </c>
      <c r="G195" s="468">
        <f t="shared" si="22"/>
        <v>0.49440000000000001</v>
      </c>
      <c r="H195" s="431">
        <f t="shared" si="20"/>
        <v>1655.5571362013711</v>
      </c>
      <c r="N195" s="468"/>
    </row>
    <row r="196" spans="1:14">
      <c r="A196" s="863">
        <f t="shared" si="16"/>
        <v>182</v>
      </c>
      <c r="B196" s="515">
        <v>39420</v>
      </c>
      <c r="C196" s="88" t="s">
        <v>1542</v>
      </c>
      <c r="D196" s="347">
        <v>0</v>
      </c>
      <c r="E196" s="467">
        <v>1</v>
      </c>
      <c r="F196" s="468">
        <v>1</v>
      </c>
      <c r="G196" s="468">
        <f>Allocation!$E$22</f>
        <v>6.437198999999999E-2</v>
      </c>
      <c r="H196" s="431">
        <f t="shared" si="20"/>
        <v>0</v>
      </c>
      <c r="N196" s="468"/>
    </row>
    <row r="197" spans="1:14">
      <c r="A197" s="863">
        <f t="shared" si="16"/>
        <v>183</v>
      </c>
      <c r="B197" s="515">
        <v>39500</v>
      </c>
      <c r="C197" s="88" t="s">
        <v>1592</v>
      </c>
      <c r="D197" s="347">
        <v>0</v>
      </c>
      <c r="E197" s="467">
        <v>1</v>
      </c>
      <c r="F197" s="468">
        <f t="shared" si="21"/>
        <v>9.8900000000000002E-2</v>
      </c>
      <c r="G197" s="468">
        <f t="shared" si="22"/>
        <v>0.49440000000000001</v>
      </c>
      <c r="H197" s="431">
        <f t="shared" si="20"/>
        <v>0</v>
      </c>
      <c r="N197" s="468"/>
    </row>
    <row r="198" spans="1:14">
      <c r="A198" s="863">
        <f t="shared" si="16"/>
        <v>184</v>
      </c>
      <c r="B198" s="515">
        <v>39700</v>
      </c>
      <c r="C198" s="88" t="s">
        <v>1575</v>
      </c>
      <c r="D198" s="347">
        <v>516.2238900000001</v>
      </c>
      <c r="E198" s="467">
        <v>1</v>
      </c>
      <c r="F198" s="468">
        <f t="shared" si="21"/>
        <v>9.8900000000000002E-2</v>
      </c>
      <c r="G198" s="468">
        <f t="shared" si="22"/>
        <v>0.49440000000000001</v>
      </c>
      <c r="H198" s="431">
        <f t="shared" si="20"/>
        <v>25.241365921262407</v>
      </c>
      <c r="N198" s="468"/>
    </row>
    <row r="199" spans="1:14">
      <c r="A199" s="863">
        <f t="shared" si="16"/>
        <v>185</v>
      </c>
      <c r="B199" s="515">
        <v>39720</v>
      </c>
      <c r="C199" s="88" t="s">
        <v>1543</v>
      </c>
      <c r="D199" s="347">
        <v>0</v>
      </c>
      <c r="E199" s="467">
        <v>1</v>
      </c>
      <c r="F199" s="468">
        <v>1</v>
      </c>
      <c r="G199" s="468">
        <f>Allocation!$E$22</f>
        <v>6.437198999999999E-2</v>
      </c>
      <c r="H199" s="431">
        <f t="shared" si="20"/>
        <v>0</v>
      </c>
      <c r="N199" s="468"/>
    </row>
    <row r="200" spans="1:14">
      <c r="A200" s="863">
        <f t="shared" si="16"/>
        <v>186</v>
      </c>
      <c r="B200" s="515">
        <v>39800</v>
      </c>
      <c r="C200" s="88" t="s">
        <v>1577</v>
      </c>
      <c r="D200" s="347">
        <v>390.84583099999992</v>
      </c>
      <c r="E200" s="467">
        <v>1</v>
      </c>
      <c r="F200" s="468">
        <f t="shared" ref="F200:F215" si="23">$F$183</f>
        <v>9.8900000000000002E-2</v>
      </c>
      <c r="G200" s="468">
        <f t="shared" ref="G200:G215" si="24">$G$183</f>
        <v>0.49440000000000001</v>
      </c>
      <c r="H200" s="431">
        <f t="shared" si="20"/>
        <v>19.110860287908956</v>
      </c>
      <c r="N200" s="468"/>
    </row>
    <row r="201" spans="1:14">
      <c r="A201" s="863">
        <f t="shared" si="16"/>
        <v>187</v>
      </c>
      <c r="B201" s="515">
        <v>39820</v>
      </c>
      <c r="C201" s="88" t="s">
        <v>1544</v>
      </c>
      <c r="D201" s="347">
        <v>715.33130108333341</v>
      </c>
      <c r="E201" s="467">
        <v>1</v>
      </c>
      <c r="F201" s="468">
        <v>1</v>
      </c>
      <c r="G201" s="468">
        <f>Allocation!$E$22</f>
        <v>6.437198999999999E-2</v>
      </c>
      <c r="H201" s="431">
        <f t="shared" si="20"/>
        <v>46.047299360023324</v>
      </c>
      <c r="N201" s="468"/>
    </row>
    <row r="202" spans="1:14">
      <c r="A202" s="863">
        <f t="shared" si="16"/>
        <v>188</v>
      </c>
      <c r="B202" s="515">
        <v>39900</v>
      </c>
      <c r="C202" s="88" t="s">
        <v>1593</v>
      </c>
      <c r="D202" s="347">
        <v>0</v>
      </c>
      <c r="E202" s="467">
        <v>1</v>
      </c>
      <c r="F202" s="468">
        <f t="shared" si="23"/>
        <v>9.8900000000000002E-2</v>
      </c>
      <c r="G202" s="468">
        <f t="shared" si="24"/>
        <v>0.49440000000000001</v>
      </c>
      <c r="H202" s="431">
        <f t="shared" si="20"/>
        <v>0</v>
      </c>
      <c r="N202" s="468"/>
    </row>
    <row r="203" spans="1:14">
      <c r="A203" s="863">
        <f t="shared" si="16"/>
        <v>189</v>
      </c>
      <c r="B203" s="515">
        <v>39901</v>
      </c>
      <c r="C203" s="80" t="s">
        <v>1586</v>
      </c>
      <c r="D203" s="347">
        <v>1801728.2654160003</v>
      </c>
      <c r="E203" s="467">
        <v>1</v>
      </c>
      <c r="F203" s="468">
        <f t="shared" si="23"/>
        <v>9.8900000000000002E-2</v>
      </c>
      <c r="G203" s="468">
        <f t="shared" si="24"/>
        <v>0.49440000000000001</v>
      </c>
      <c r="H203" s="431">
        <f t="shared" si="20"/>
        <v>88097.593542303221</v>
      </c>
      <c r="N203" s="468"/>
    </row>
    <row r="204" spans="1:14">
      <c r="A204" s="863">
        <f t="shared" si="16"/>
        <v>190</v>
      </c>
      <c r="B204" s="515">
        <v>39902</v>
      </c>
      <c r="C204" s="88" t="s">
        <v>1587</v>
      </c>
      <c r="D204" s="347">
        <v>316921.52343900001</v>
      </c>
      <c r="E204" s="467">
        <v>1</v>
      </c>
      <c r="F204" s="468">
        <f t="shared" si="23"/>
        <v>9.8900000000000002E-2</v>
      </c>
      <c r="G204" s="468">
        <f t="shared" si="24"/>
        <v>0.49440000000000001</v>
      </c>
      <c r="H204" s="431">
        <f t="shared" si="20"/>
        <v>15496.245517517094</v>
      </c>
      <c r="N204" s="468"/>
    </row>
    <row r="205" spans="1:14">
      <c r="A205" s="863">
        <f t="shared" si="16"/>
        <v>191</v>
      </c>
      <c r="B205" s="515">
        <v>39903</v>
      </c>
      <c r="C205" s="88" t="s">
        <v>1578</v>
      </c>
      <c r="D205" s="347">
        <v>0</v>
      </c>
      <c r="E205" s="467">
        <v>1</v>
      </c>
      <c r="F205" s="468">
        <f t="shared" si="23"/>
        <v>9.8900000000000002E-2</v>
      </c>
      <c r="G205" s="468">
        <f t="shared" si="24"/>
        <v>0.49440000000000001</v>
      </c>
      <c r="H205" s="431">
        <f t="shared" si="20"/>
        <v>0</v>
      </c>
      <c r="N205" s="468"/>
    </row>
    <row r="206" spans="1:14">
      <c r="A206" s="863">
        <f t="shared" si="16"/>
        <v>192</v>
      </c>
      <c r="B206" s="515">
        <v>39904</v>
      </c>
      <c r="C206" s="88" t="s">
        <v>1594</v>
      </c>
      <c r="D206" s="347">
        <v>0</v>
      </c>
      <c r="E206" s="467">
        <v>1</v>
      </c>
      <c r="F206" s="468">
        <f t="shared" si="23"/>
        <v>9.8900000000000002E-2</v>
      </c>
      <c r="G206" s="468">
        <f t="shared" si="24"/>
        <v>0.49440000000000001</v>
      </c>
      <c r="H206" s="431">
        <f t="shared" si="20"/>
        <v>0</v>
      </c>
      <c r="N206" s="468"/>
    </row>
    <row r="207" spans="1:14">
      <c r="A207" s="863">
        <f t="shared" si="16"/>
        <v>193</v>
      </c>
      <c r="B207" s="515">
        <v>39905</v>
      </c>
      <c r="C207" s="88" t="s">
        <v>1595</v>
      </c>
      <c r="D207" s="347">
        <v>0</v>
      </c>
      <c r="E207" s="467">
        <v>1</v>
      </c>
      <c r="F207" s="468">
        <f t="shared" si="23"/>
        <v>9.8900000000000002E-2</v>
      </c>
      <c r="G207" s="468">
        <f t="shared" si="24"/>
        <v>0.49440000000000001</v>
      </c>
      <c r="H207" s="431">
        <f t="shared" si="20"/>
        <v>0</v>
      </c>
      <c r="N207" s="468"/>
    </row>
    <row r="208" spans="1:14">
      <c r="A208" s="863">
        <f t="shared" si="16"/>
        <v>194</v>
      </c>
      <c r="B208" s="709">
        <v>39906</v>
      </c>
      <c r="C208" s="88" t="s">
        <v>1579</v>
      </c>
      <c r="D208" s="347">
        <v>95919.791029699685</v>
      </c>
      <c r="E208" s="467">
        <v>1</v>
      </c>
      <c r="F208" s="468">
        <f t="shared" si="23"/>
        <v>9.8900000000000002E-2</v>
      </c>
      <c r="G208" s="468">
        <f t="shared" si="24"/>
        <v>0.49440000000000001</v>
      </c>
      <c r="H208" s="431">
        <f t="shared" si="20"/>
        <v>4690.1094493547607</v>
      </c>
      <c r="N208" s="468"/>
    </row>
    <row r="209" spans="1:14">
      <c r="A209" s="863">
        <f t="shared" si="16"/>
        <v>195</v>
      </c>
      <c r="B209" s="709">
        <v>39907</v>
      </c>
      <c r="C209" s="88" t="s">
        <v>1580</v>
      </c>
      <c r="D209" s="347">
        <v>0</v>
      </c>
      <c r="E209" s="467">
        <v>1</v>
      </c>
      <c r="F209" s="468">
        <f t="shared" si="23"/>
        <v>9.8900000000000002E-2</v>
      </c>
      <c r="G209" s="468">
        <f t="shared" si="24"/>
        <v>0.49440000000000001</v>
      </c>
      <c r="H209" s="431">
        <f t="shared" si="20"/>
        <v>0</v>
      </c>
      <c r="N209" s="468"/>
    </row>
    <row r="210" spans="1:14">
      <c r="A210" s="863">
        <f t="shared" si="16"/>
        <v>196</v>
      </c>
      <c r="B210" s="709">
        <v>39908</v>
      </c>
      <c r="C210" s="88" t="s">
        <v>1581</v>
      </c>
      <c r="D210" s="347">
        <v>3721.0535760000002</v>
      </c>
      <c r="E210" s="467">
        <v>1</v>
      </c>
      <c r="F210" s="468">
        <f t="shared" si="23"/>
        <v>9.8900000000000002E-2</v>
      </c>
      <c r="G210" s="468">
        <f t="shared" si="24"/>
        <v>0.49440000000000001</v>
      </c>
      <c r="H210" s="431">
        <f t="shared" si="20"/>
        <v>181.94523102066819</v>
      </c>
      <c r="N210" s="468"/>
    </row>
    <row r="211" spans="1:14">
      <c r="A211" s="863">
        <f t="shared" si="16"/>
        <v>197</v>
      </c>
      <c r="B211" s="709">
        <v>39909</v>
      </c>
      <c r="C211" s="88" t="s">
        <v>1596</v>
      </c>
      <c r="D211" s="347">
        <v>0</v>
      </c>
      <c r="E211" s="467">
        <v>1</v>
      </c>
      <c r="F211" s="468">
        <f t="shared" si="23"/>
        <v>9.8900000000000002E-2</v>
      </c>
      <c r="G211" s="468">
        <f t="shared" si="24"/>
        <v>0.49440000000000001</v>
      </c>
      <c r="H211" s="431">
        <f t="shared" si="20"/>
        <v>0</v>
      </c>
      <c r="N211" s="468"/>
    </row>
    <row r="212" spans="1:14">
      <c r="A212" s="863">
        <f t="shared" si="16"/>
        <v>198</v>
      </c>
      <c r="B212" s="709">
        <v>39921</v>
      </c>
      <c r="C212" s="88" t="s">
        <v>1545</v>
      </c>
      <c r="D212" s="347">
        <v>67191.769235999993</v>
      </c>
      <c r="E212" s="467">
        <v>1</v>
      </c>
      <c r="F212" s="468">
        <v>1</v>
      </c>
      <c r="G212" s="468">
        <f>Allocation!$E$22</f>
        <v>6.437198999999999E-2</v>
      </c>
      <c r="H212" s="431">
        <f t="shared" si="20"/>
        <v>4325.2678973420989</v>
      </c>
      <c r="N212" s="468"/>
    </row>
    <row r="213" spans="1:14">
      <c r="A213" s="863">
        <f t="shared" si="16"/>
        <v>199</v>
      </c>
      <c r="B213" s="709">
        <v>39922</v>
      </c>
      <c r="C213" s="88" t="s">
        <v>1546</v>
      </c>
      <c r="D213" s="347">
        <v>9561.0702039999996</v>
      </c>
      <c r="E213" s="467">
        <v>1</v>
      </c>
      <c r="F213" s="468">
        <v>1</v>
      </c>
      <c r="G213" s="468">
        <f>Allocation!$E$22</f>
        <v>6.437198999999999E-2</v>
      </c>
      <c r="H213" s="431">
        <f t="shared" si="20"/>
        <v>615.46511556118583</v>
      </c>
      <c r="N213" s="468"/>
    </row>
    <row r="214" spans="1:14">
      <c r="A214" s="863">
        <f t="shared" si="16"/>
        <v>200</v>
      </c>
      <c r="B214" s="709">
        <v>39923</v>
      </c>
      <c r="C214" s="88" t="s">
        <v>1547</v>
      </c>
      <c r="D214" s="347">
        <v>0</v>
      </c>
      <c r="E214" s="467">
        <v>1</v>
      </c>
      <c r="F214" s="468">
        <v>1</v>
      </c>
      <c r="G214" s="468">
        <f>Allocation!$E$22</f>
        <v>6.437198999999999E-2</v>
      </c>
      <c r="H214" s="431">
        <f t="shared" si="20"/>
        <v>0</v>
      </c>
      <c r="N214" s="468"/>
    </row>
    <row r="215" spans="1:14">
      <c r="A215" s="863">
        <f t="shared" si="16"/>
        <v>201</v>
      </c>
      <c r="B215" s="709">
        <v>39924</v>
      </c>
      <c r="C215" s="88" t="s">
        <v>1413</v>
      </c>
      <c r="D215" s="347">
        <v>0</v>
      </c>
      <c r="E215" s="467">
        <v>1</v>
      </c>
      <c r="F215" s="468">
        <f t="shared" si="23"/>
        <v>9.8900000000000002E-2</v>
      </c>
      <c r="G215" s="468">
        <f t="shared" si="24"/>
        <v>0.49440000000000001</v>
      </c>
      <c r="H215" s="431">
        <f t="shared" si="20"/>
        <v>0</v>
      </c>
      <c r="N215" s="468"/>
    </row>
    <row r="216" spans="1:14">
      <c r="A216" s="863">
        <f t="shared" si="16"/>
        <v>202</v>
      </c>
      <c r="B216" s="709">
        <v>39926</v>
      </c>
      <c r="C216" s="88" t="s">
        <v>1556</v>
      </c>
      <c r="D216" s="347">
        <v>0</v>
      </c>
      <c r="E216" s="467">
        <v>1</v>
      </c>
      <c r="F216" s="468">
        <v>1</v>
      </c>
      <c r="G216" s="468">
        <f>Allocation!$E$22</f>
        <v>6.437198999999999E-2</v>
      </c>
      <c r="H216" s="431">
        <f t="shared" si="20"/>
        <v>0</v>
      </c>
      <c r="N216" s="468"/>
    </row>
    <row r="217" spans="1:14">
      <c r="A217" s="863">
        <f t="shared" si="16"/>
        <v>203</v>
      </c>
      <c r="B217" s="709">
        <v>39928</v>
      </c>
      <c r="C217" s="88" t="s">
        <v>1557</v>
      </c>
      <c r="D217" s="347">
        <v>27081.432444961738</v>
      </c>
      <c r="E217" s="467">
        <v>1</v>
      </c>
      <c r="F217" s="468">
        <v>1</v>
      </c>
      <c r="G217" s="468">
        <f>Allocation!$E$22</f>
        <v>6.437198999999999E-2</v>
      </c>
      <c r="H217" s="431">
        <f t="shared" si="20"/>
        <v>1743.2856985327523</v>
      </c>
      <c r="N217" s="468"/>
    </row>
    <row r="218" spans="1:14">
      <c r="A218" s="863">
        <f t="shared" si="16"/>
        <v>204</v>
      </c>
      <c r="B218" s="709">
        <v>39931</v>
      </c>
      <c r="C218" s="88" t="s">
        <v>1558</v>
      </c>
      <c r="D218" s="347">
        <v>23034.296638170734</v>
      </c>
      <c r="E218" s="467">
        <v>1</v>
      </c>
      <c r="F218" s="468">
        <v>1</v>
      </c>
      <c r="G218" s="468">
        <f>Allocation!$E$23</f>
        <v>0</v>
      </c>
      <c r="H218" s="431">
        <f t="shared" si="20"/>
        <v>0</v>
      </c>
      <c r="N218" s="468"/>
    </row>
    <row r="219" spans="1:14">
      <c r="A219" s="863">
        <f t="shared" si="16"/>
        <v>205</v>
      </c>
      <c r="B219" s="709">
        <v>39932</v>
      </c>
      <c r="C219" s="88" t="s">
        <v>1559</v>
      </c>
      <c r="D219" s="347">
        <v>0</v>
      </c>
      <c r="E219" s="467">
        <v>1</v>
      </c>
      <c r="F219" s="468">
        <v>1</v>
      </c>
      <c r="G219" s="468">
        <f>Allocation!$E$23</f>
        <v>0</v>
      </c>
      <c r="H219" s="431">
        <f t="shared" ref="H219:H220" si="25">D219*E219*F219*G219</f>
        <v>0</v>
      </c>
      <c r="N219" s="468"/>
    </row>
    <row r="220" spans="1:14">
      <c r="A220" s="863">
        <f t="shared" si="16"/>
        <v>206</v>
      </c>
      <c r="B220" s="709">
        <v>39938</v>
      </c>
      <c r="C220" s="88" t="s">
        <v>1560</v>
      </c>
      <c r="D220" s="347">
        <v>0</v>
      </c>
      <c r="E220" s="467">
        <v>1</v>
      </c>
      <c r="F220" s="468">
        <v>1</v>
      </c>
      <c r="G220" s="468">
        <f>Allocation!$E$23</f>
        <v>0</v>
      </c>
      <c r="H220" s="431">
        <f t="shared" si="25"/>
        <v>0</v>
      </c>
      <c r="N220" s="468"/>
    </row>
    <row r="221" spans="1:14">
      <c r="A221" s="863">
        <f t="shared" si="16"/>
        <v>207</v>
      </c>
      <c r="B221" s="793"/>
      <c r="C221" s="838"/>
      <c r="D221" s="932"/>
      <c r="E221" s="384"/>
      <c r="F221" s="424"/>
      <c r="G221" s="424"/>
      <c r="H221" s="1054"/>
    </row>
    <row r="222" spans="1:14">
      <c r="A222" s="863">
        <f t="shared" si="16"/>
        <v>208</v>
      </c>
      <c r="B222" s="391"/>
      <c r="C222" s="88"/>
      <c r="E222" s="1037"/>
    </row>
    <row r="223" spans="1:14" ht="15.75" thickBot="1">
      <c r="A223" s="863">
        <f t="shared" si="16"/>
        <v>209</v>
      </c>
      <c r="B223" s="391"/>
      <c r="C223" s="88" t="s">
        <v>1351</v>
      </c>
      <c r="D223" s="330">
        <f>SUM(D183:D221)</f>
        <v>3230380.0030366005</v>
      </c>
      <c r="E223" s="1077"/>
      <c r="H223" s="330">
        <f>SUM(H183:H221)</f>
        <v>148922.4055867311</v>
      </c>
      <c r="M223" s="673"/>
      <c r="N223" s="673"/>
    </row>
    <row r="224" spans="1:14" ht="15.75" thickTop="1">
      <c r="A224" s="863">
        <f t="shared" si="16"/>
        <v>210</v>
      </c>
      <c r="B224" s="1050"/>
      <c r="D224" s="431"/>
      <c r="E224" s="1037"/>
    </row>
    <row r="225" spans="1:14" ht="15.75">
      <c r="A225" s="863">
        <f t="shared" si="16"/>
        <v>211</v>
      </c>
      <c r="B225" s="1055" t="s">
        <v>9</v>
      </c>
      <c r="D225" s="431"/>
    </row>
    <row r="226" spans="1:14">
      <c r="A226" s="863">
        <f t="shared" si="16"/>
        <v>212</v>
      </c>
      <c r="B226" s="1050"/>
      <c r="D226" s="431"/>
      <c r="K226" s="673"/>
    </row>
    <row r="227" spans="1:14">
      <c r="A227" s="863">
        <f t="shared" si="16"/>
        <v>213</v>
      </c>
      <c r="B227" s="391"/>
      <c r="C227" s="622" t="s">
        <v>305</v>
      </c>
      <c r="D227" s="431"/>
    </row>
    <row r="228" spans="1:14">
      <c r="A228" s="863">
        <f t="shared" si="16"/>
        <v>214</v>
      </c>
      <c r="B228" s="515">
        <v>38900</v>
      </c>
      <c r="C228" s="88" t="s">
        <v>1597</v>
      </c>
      <c r="D228" s="347">
        <v>0</v>
      </c>
      <c r="E228" s="467">
        <v>1</v>
      </c>
      <c r="F228" s="468">
        <f>Allocation!$C$15</f>
        <v>0.10929999999999999</v>
      </c>
      <c r="G228" s="468">
        <f>Allocation!$D$15</f>
        <v>0.51883860656465508</v>
      </c>
      <c r="H228" s="347">
        <f>D228*E228*F228*G228</f>
        <v>0</v>
      </c>
      <c r="J228" s="425"/>
      <c r="N228" s="468"/>
    </row>
    <row r="229" spans="1:14">
      <c r="A229" s="863">
        <f t="shared" si="16"/>
        <v>215</v>
      </c>
      <c r="B229" s="515">
        <v>38910</v>
      </c>
      <c r="C229" s="88" t="s">
        <v>1598</v>
      </c>
      <c r="D229" s="347">
        <v>0</v>
      </c>
      <c r="E229" s="626">
        <v>1</v>
      </c>
      <c r="F229" s="468">
        <v>1</v>
      </c>
      <c r="G229" s="468">
        <f>Allocation!$E$21</f>
        <v>2.3324339999999999E-2</v>
      </c>
      <c r="H229" s="431">
        <f t="shared" ref="H229:H256" si="26">D229*E229*F229*G229</f>
        <v>0</v>
      </c>
      <c r="N229" s="468"/>
    </row>
    <row r="230" spans="1:14">
      <c r="A230" s="863">
        <f t="shared" si="16"/>
        <v>216</v>
      </c>
      <c r="B230" s="515">
        <v>39000</v>
      </c>
      <c r="C230" s="88" t="s">
        <v>1563</v>
      </c>
      <c r="D230" s="347">
        <v>379882.0243259999</v>
      </c>
      <c r="E230" s="626">
        <v>1</v>
      </c>
      <c r="F230" s="468">
        <f>Allocation!$C$15</f>
        <v>0.10929999999999999</v>
      </c>
      <c r="G230" s="468">
        <f>Allocation!$D$15</f>
        <v>0.51883860656465508</v>
      </c>
      <c r="H230" s="431">
        <f t="shared" si="26"/>
        <v>21542.752395516654</v>
      </c>
      <c r="N230" s="468"/>
    </row>
    <row r="231" spans="1:14">
      <c r="A231" s="863">
        <f t="shared" si="16"/>
        <v>217</v>
      </c>
      <c r="B231" s="515">
        <v>39009</v>
      </c>
      <c r="C231" s="88" t="s">
        <v>1567</v>
      </c>
      <c r="D231" s="347">
        <v>91669.940375000006</v>
      </c>
      <c r="E231" s="626">
        <v>1</v>
      </c>
      <c r="F231" s="468">
        <f>Allocation!$C$15</f>
        <v>0.10929999999999999</v>
      </c>
      <c r="G231" s="468">
        <f>Allocation!$D$15</f>
        <v>0.51883860656465508</v>
      </c>
      <c r="H231" s="431">
        <f t="shared" si="26"/>
        <v>5198.5161211936811</v>
      </c>
      <c r="N231" s="468"/>
    </row>
    <row r="232" spans="1:14">
      <c r="A232" s="863">
        <f t="shared" si="16"/>
        <v>218</v>
      </c>
      <c r="B232" s="515">
        <v>39010</v>
      </c>
      <c r="C232" s="88" t="s">
        <v>1599</v>
      </c>
      <c r="D232" s="347">
        <v>637303.63470947754</v>
      </c>
      <c r="E232" s="626">
        <v>1</v>
      </c>
      <c r="F232" s="468">
        <v>1</v>
      </c>
      <c r="G232" s="468">
        <f>Allocation!$E$21</f>
        <v>2.3324339999999999E-2</v>
      </c>
      <c r="H232" s="431">
        <f t="shared" si="26"/>
        <v>14864.686659199655</v>
      </c>
      <c r="N232" s="468"/>
    </row>
    <row r="233" spans="1:14">
      <c r="A233" s="863">
        <f t="shared" si="16"/>
        <v>219</v>
      </c>
      <c r="B233" s="515">
        <v>39100</v>
      </c>
      <c r="C233" s="88" t="s">
        <v>1568</v>
      </c>
      <c r="D233" s="347">
        <v>96658.226631775353</v>
      </c>
      <c r="E233" s="626">
        <v>1</v>
      </c>
      <c r="F233" s="468">
        <f>Allocation!$C$15</f>
        <v>0.10929999999999999</v>
      </c>
      <c r="G233" s="468">
        <f>Allocation!$D$15</f>
        <v>0.51883860656465508</v>
      </c>
      <c r="H233" s="431">
        <f t="shared" si="26"/>
        <v>5481.3971443174569</v>
      </c>
      <c r="N233" s="468"/>
    </row>
    <row r="234" spans="1:14">
      <c r="A234" s="863">
        <f t="shared" si="16"/>
        <v>220</v>
      </c>
      <c r="B234" s="515">
        <v>39101</v>
      </c>
      <c r="C234" s="88" t="s">
        <v>1538</v>
      </c>
      <c r="D234" s="347">
        <v>0</v>
      </c>
      <c r="E234" s="626">
        <v>1</v>
      </c>
      <c r="F234" s="468">
        <f>Allocation!$C$15</f>
        <v>0.10929999999999999</v>
      </c>
      <c r="G234" s="468">
        <f>Allocation!$D$15</f>
        <v>0.51883860656465508</v>
      </c>
      <c r="H234" s="431">
        <f t="shared" si="26"/>
        <v>0</v>
      </c>
      <c r="N234" s="468"/>
    </row>
    <row r="235" spans="1:14">
      <c r="A235" s="863">
        <f t="shared" si="16"/>
        <v>221</v>
      </c>
      <c r="B235" s="515">
        <v>39102</v>
      </c>
      <c r="C235" s="88" t="s">
        <v>1548</v>
      </c>
      <c r="D235" s="347">
        <v>0</v>
      </c>
      <c r="E235" s="626">
        <v>1</v>
      </c>
      <c r="F235" s="468">
        <f>Allocation!$C$15</f>
        <v>0.10929999999999999</v>
      </c>
      <c r="G235" s="468">
        <f>Allocation!$D$15</f>
        <v>0.51883860656465508</v>
      </c>
      <c r="H235" s="431">
        <f t="shared" si="26"/>
        <v>0</v>
      </c>
      <c r="N235" s="468"/>
    </row>
    <row r="236" spans="1:14">
      <c r="A236" s="863">
        <f t="shared" si="16"/>
        <v>222</v>
      </c>
      <c r="B236" s="515">
        <v>39103</v>
      </c>
      <c r="C236" s="88" t="s">
        <v>1342</v>
      </c>
      <c r="D236" s="347">
        <v>0</v>
      </c>
      <c r="E236" s="626">
        <v>1</v>
      </c>
      <c r="F236" s="468">
        <f>Allocation!$C$15</f>
        <v>0.10929999999999999</v>
      </c>
      <c r="G236" s="468">
        <f>Allocation!$D$15</f>
        <v>0.51883860656465508</v>
      </c>
      <c r="H236" s="431">
        <f t="shared" si="26"/>
        <v>0</v>
      </c>
      <c r="N236" s="468"/>
    </row>
    <row r="237" spans="1:14">
      <c r="A237" s="863">
        <f t="shared" si="16"/>
        <v>223</v>
      </c>
      <c r="B237" s="515">
        <v>39110</v>
      </c>
      <c r="C237" s="88" t="s">
        <v>1549</v>
      </c>
      <c r="D237" s="347">
        <v>81919.320780240945</v>
      </c>
      <c r="E237" s="626">
        <v>1</v>
      </c>
      <c r="F237" s="468">
        <v>1</v>
      </c>
      <c r="G237" s="468">
        <f>Allocation!$E$21</f>
        <v>2.3324339999999999E-2</v>
      </c>
      <c r="H237" s="431">
        <f t="shared" si="26"/>
        <v>1910.7140904474049</v>
      </c>
      <c r="N237" s="468"/>
    </row>
    <row r="238" spans="1:14">
      <c r="A238" s="863">
        <f t="shared" si="16"/>
        <v>224</v>
      </c>
      <c r="B238" s="515">
        <v>39210</v>
      </c>
      <c r="C238" s="88" t="s">
        <v>1550</v>
      </c>
      <c r="D238" s="347">
        <v>1338.4340580000001</v>
      </c>
      <c r="E238" s="626">
        <v>1</v>
      </c>
      <c r="F238" s="468">
        <v>1</v>
      </c>
      <c r="G238" s="468">
        <f>Allocation!$E$21</f>
        <v>2.3324339999999999E-2</v>
      </c>
      <c r="H238" s="431">
        <f t="shared" si="26"/>
        <v>31.218091036371721</v>
      </c>
      <c r="N238" s="468"/>
    </row>
    <row r="239" spans="1:14">
      <c r="A239" s="863">
        <f t="shared" si="16"/>
        <v>225</v>
      </c>
      <c r="B239" s="515">
        <v>39410</v>
      </c>
      <c r="C239" s="88" t="s">
        <v>1551</v>
      </c>
      <c r="D239" s="347">
        <v>29108.725649999993</v>
      </c>
      <c r="E239" s="626">
        <v>1</v>
      </c>
      <c r="F239" s="468">
        <v>1</v>
      </c>
      <c r="G239" s="468">
        <f>Allocation!$E$21</f>
        <v>2.3324339999999999E-2</v>
      </c>
      <c r="H239" s="431">
        <f t="shared" si="26"/>
        <v>678.94181402732079</v>
      </c>
      <c r="N239" s="468"/>
    </row>
    <row r="240" spans="1:14">
      <c r="A240" s="863">
        <f t="shared" si="16"/>
        <v>226</v>
      </c>
      <c r="B240" s="515">
        <v>39510</v>
      </c>
      <c r="C240" s="88" t="s">
        <v>1552</v>
      </c>
      <c r="D240" s="347">
        <v>2375.0230350000002</v>
      </c>
      <c r="E240" s="626">
        <v>1</v>
      </c>
      <c r="F240" s="468">
        <v>1</v>
      </c>
      <c r="G240" s="468">
        <f>Allocation!$E$21</f>
        <v>2.3324339999999999E-2</v>
      </c>
      <c r="H240" s="431">
        <f t="shared" si="26"/>
        <v>55.395844776171899</v>
      </c>
      <c r="N240" s="468"/>
    </row>
    <row r="241" spans="1:14">
      <c r="A241" s="863">
        <f t="shared" si="16"/>
        <v>227</v>
      </c>
      <c r="B241" s="515">
        <v>39700</v>
      </c>
      <c r="C241" s="88" t="s">
        <v>1575</v>
      </c>
      <c r="D241" s="347">
        <v>111917.35093500004</v>
      </c>
      <c r="E241" s="626">
        <v>1</v>
      </c>
      <c r="F241" s="468">
        <f>Allocation!$C$15</f>
        <v>0.10929999999999999</v>
      </c>
      <c r="G241" s="468">
        <f>Allocation!$D$15</f>
        <v>0.51883860656465508</v>
      </c>
      <c r="H241" s="431">
        <f t="shared" si="26"/>
        <v>6346.7277353608551</v>
      </c>
      <c r="N241" s="468"/>
    </row>
    <row r="242" spans="1:14">
      <c r="A242" s="863">
        <f t="shared" ref="A242:A246" si="27">A241+1</f>
        <v>228</v>
      </c>
      <c r="B242" s="515">
        <v>39710</v>
      </c>
      <c r="C242" s="88" t="s">
        <v>1600</v>
      </c>
      <c r="D242" s="347">
        <v>17217.687824999997</v>
      </c>
      <c r="E242" s="626">
        <v>1</v>
      </c>
      <c r="F242" s="468">
        <v>1</v>
      </c>
      <c r="G242" s="468">
        <f>Allocation!$E$21</f>
        <v>2.3324339999999999E-2</v>
      </c>
      <c r="H242" s="431">
        <f t="shared" si="26"/>
        <v>401.59120484416042</v>
      </c>
      <c r="N242" s="468"/>
    </row>
    <row r="243" spans="1:14">
      <c r="A243" s="863">
        <f t="shared" si="27"/>
        <v>229</v>
      </c>
      <c r="B243" s="515">
        <v>39800</v>
      </c>
      <c r="C243" s="88" t="s">
        <v>1577</v>
      </c>
      <c r="D243" s="347">
        <v>3703.8284140000001</v>
      </c>
      <c r="E243" s="626">
        <v>1</v>
      </c>
      <c r="F243" s="468">
        <f>Allocation!$C$15</f>
        <v>0.10929999999999999</v>
      </c>
      <c r="G243" s="468">
        <f>Allocation!$D$15</f>
        <v>0.51883860656465508</v>
      </c>
      <c r="H243" s="431">
        <f t="shared" si="26"/>
        <v>210.04062663888496</v>
      </c>
      <c r="N243" s="468"/>
    </row>
    <row r="244" spans="1:14">
      <c r="A244" s="863">
        <f t="shared" si="27"/>
        <v>230</v>
      </c>
      <c r="B244" s="709">
        <v>39810</v>
      </c>
      <c r="C244" s="88" t="s">
        <v>1553</v>
      </c>
      <c r="D244" s="347">
        <v>26941.062764999999</v>
      </c>
      <c r="E244" s="626">
        <v>1</v>
      </c>
      <c r="F244" s="468">
        <v>1</v>
      </c>
      <c r="G244" s="468">
        <f>Allocation!$E$21</f>
        <v>2.3324339999999999E-2</v>
      </c>
      <c r="H244" s="431">
        <f t="shared" si="26"/>
        <v>628.38250789220001</v>
      </c>
      <c r="N244" s="468"/>
    </row>
    <row r="245" spans="1:14">
      <c r="A245" s="863">
        <f t="shared" si="27"/>
        <v>231</v>
      </c>
      <c r="B245" s="709">
        <v>39900</v>
      </c>
      <c r="C245" s="88" t="s">
        <v>1585</v>
      </c>
      <c r="D245" s="347">
        <v>82169.139675999992</v>
      </c>
      <c r="E245" s="626">
        <v>1</v>
      </c>
      <c r="F245" s="468">
        <f>Allocation!$C$15</f>
        <v>0.10929999999999999</v>
      </c>
      <c r="G245" s="468">
        <f>Allocation!$D$15</f>
        <v>0.51883860656465508</v>
      </c>
      <c r="H245" s="431">
        <f t="shared" si="26"/>
        <v>4659.7346471798801</v>
      </c>
      <c r="N245" s="468"/>
    </row>
    <row r="246" spans="1:14">
      <c r="A246" s="863">
        <f t="shared" si="27"/>
        <v>232</v>
      </c>
      <c r="B246" s="709">
        <v>39901</v>
      </c>
      <c r="C246" s="88" t="s">
        <v>1586</v>
      </c>
      <c r="D246" s="347">
        <v>882786.08511253493</v>
      </c>
      <c r="E246" s="626">
        <v>1</v>
      </c>
      <c r="F246" s="468">
        <f>Allocation!$C$15</f>
        <v>0.10929999999999999</v>
      </c>
      <c r="G246" s="468">
        <f>Allocation!$D$15</f>
        <v>0.51883860656465508</v>
      </c>
      <c r="H246" s="431">
        <f t="shared" si="26"/>
        <v>50061.968800783892</v>
      </c>
      <c r="N246" s="468"/>
    </row>
    <row r="247" spans="1:14">
      <c r="A247" s="863">
        <f t="shared" ref="A247:A261" si="28">A246+1</f>
        <v>233</v>
      </c>
      <c r="B247" s="709">
        <v>39902</v>
      </c>
      <c r="C247" s="88" t="s">
        <v>1587</v>
      </c>
      <c r="D247" s="347">
        <v>168879.22171000001</v>
      </c>
      <c r="E247" s="626">
        <v>1</v>
      </c>
      <c r="F247" s="468">
        <f>Allocation!$C$15</f>
        <v>0.10929999999999999</v>
      </c>
      <c r="G247" s="468">
        <f>Allocation!$D$15</f>
        <v>0.51883860656465508</v>
      </c>
      <c r="H247" s="431">
        <f t="shared" si="26"/>
        <v>9576.9818656225652</v>
      </c>
      <c r="N247" s="468"/>
    </row>
    <row r="248" spans="1:14">
      <c r="A248" s="863">
        <f t="shared" si="28"/>
        <v>234</v>
      </c>
      <c r="B248" s="709">
        <v>39903</v>
      </c>
      <c r="C248" s="88" t="s">
        <v>1578</v>
      </c>
      <c r="D248" s="347">
        <v>43982.870837999995</v>
      </c>
      <c r="E248" s="626">
        <v>1</v>
      </c>
      <c r="F248" s="468">
        <f>Allocation!$C$15</f>
        <v>0.10929999999999999</v>
      </c>
      <c r="G248" s="468">
        <f>Allocation!$D$15</f>
        <v>0.51883860656465508</v>
      </c>
      <c r="H248" s="431">
        <f t="shared" si="26"/>
        <v>2494.2272480203123</v>
      </c>
      <c r="N248" s="468"/>
    </row>
    <row r="249" spans="1:14">
      <c r="A249" s="863">
        <f t="shared" si="28"/>
        <v>235</v>
      </c>
      <c r="B249" s="709">
        <v>39906</v>
      </c>
      <c r="C249" s="88" t="s">
        <v>1579</v>
      </c>
      <c r="D249" s="347">
        <v>97403.740166402888</v>
      </c>
      <c r="E249" s="626">
        <v>1</v>
      </c>
      <c r="F249" s="468">
        <f>Allocation!$C$15</f>
        <v>0.10929999999999999</v>
      </c>
      <c r="G249" s="468">
        <f>Allocation!$D$15</f>
        <v>0.51883860656465508</v>
      </c>
      <c r="H249" s="431">
        <f t="shared" si="26"/>
        <v>5523.6745158579561</v>
      </c>
      <c r="N249" s="468"/>
    </row>
    <row r="250" spans="1:14">
      <c r="A250" s="863">
        <f t="shared" si="28"/>
        <v>236</v>
      </c>
      <c r="B250" s="709">
        <v>39907</v>
      </c>
      <c r="C250" s="88" t="s">
        <v>1580</v>
      </c>
      <c r="D250" s="347">
        <v>12613.374110999996</v>
      </c>
      <c r="E250" s="626">
        <v>1</v>
      </c>
      <c r="F250" s="468">
        <f>Allocation!$C$15</f>
        <v>0.10929999999999999</v>
      </c>
      <c r="G250" s="468">
        <f>Allocation!$D$15</f>
        <v>0.51883860656465508</v>
      </c>
      <c r="H250" s="431">
        <f t="shared" si="26"/>
        <v>715.29258544781158</v>
      </c>
      <c r="N250" s="468"/>
    </row>
    <row r="251" spans="1:14">
      <c r="A251" s="863">
        <f t="shared" si="28"/>
        <v>237</v>
      </c>
      <c r="B251" s="709">
        <v>39908</v>
      </c>
      <c r="C251" s="88" t="s">
        <v>1581</v>
      </c>
      <c r="D251" s="347">
        <v>5873180.0525449412</v>
      </c>
      <c r="E251" s="626">
        <v>1</v>
      </c>
      <c r="F251" s="468">
        <f>Allocation!$C$15</f>
        <v>0.10929999999999999</v>
      </c>
      <c r="G251" s="468">
        <f>Allocation!$D$15</f>
        <v>0.51883860656465508</v>
      </c>
      <c r="H251" s="431">
        <f t="shared" si="26"/>
        <v>333062.5182140359</v>
      </c>
      <c r="N251" s="468"/>
    </row>
    <row r="252" spans="1:14">
      <c r="A252" s="863">
        <f t="shared" si="28"/>
        <v>238</v>
      </c>
      <c r="B252" s="709">
        <v>39910</v>
      </c>
      <c r="C252" s="88" t="s">
        <v>1601</v>
      </c>
      <c r="D252" s="347">
        <v>34649.924694853325</v>
      </c>
      <c r="E252" s="626">
        <v>1</v>
      </c>
      <c r="F252" s="468">
        <v>1</v>
      </c>
      <c r="G252" s="468">
        <f>Allocation!$E$21</f>
        <v>2.3324339999999999E-2</v>
      </c>
      <c r="H252" s="431">
        <f t="shared" si="26"/>
        <v>808.18662455715514</v>
      </c>
      <c r="N252" s="468"/>
    </row>
    <row r="253" spans="1:14">
      <c r="A253" s="863">
        <f t="shared" si="28"/>
        <v>239</v>
      </c>
      <c r="B253" s="709">
        <v>39916</v>
      </c>
      <c r="C253" s="88" t="s">
        <v>1602</v>
      </c>
      <c r="D253" s="347">
        <v>30686.966603715307</v>
      </c>
      <c r="E253" s="626">
        <v>1</v>
      </c>
      <c r="F253" s="468">
        <v>1</v>
      </c>
      <c r="G253" s="468">
        <f>Allocation!$E$21</f>
        <v>2.3324339999999999E-2</v>
      </c>
      <c r="H253" s="431">
        <f t="shared" si="26"/>
        <v>715.75324263370101</v>
      </c>
      <c r="N253" s="468"/>
    </row>
    <row r="254" spans="1:14">
      <c r="A254" s="863">
        <f t="shared" si="28"/>
        <v>240</v>
      </c>
      <c r="B254" s="709">
        <v>39917</v>
      </c>
      <c r="C254" s="88" t="s">
        <v>1603</v>
      </c>
      <c r="D254" s="347">
        <v>8169.7541181367878</v>
      </c>
      <c r="E254" s="626">
        <v>1</v>
      </c>
      <c r="F254" s="468">
        <v>1</v>
      </c>
      <c r="G254" s="468">
        <f>Allocation!$E$21</f>
        <v>2.3324339999999999E-2</v>
      </c>
      <c r="H254" s="431">
        <f t="shared" si="26"/>
        <v>190.55412276782261</v>
      </c>
      <c r="N254" s="468"/>
    </row>
    <row r="255" spans="1:14">
      <c r="A255" s="863">
        <f t="shared" si="28"/>
        <v>241</v>
      </c>
      <c r="B255" s="709">
        <v>39918</v>
      </c>
      <c r="C255" s="88" t="s">
        <v>1554</v>
      </c>
      <c r="D255" s="347">
        <v>1340.522432</v>
      </c>
      <c r="E255" s="626">
        <v>1</v>
      </c>
      <c r="F255" s="468">
        <v>1</v>
      </c>
      <c r="G255" s="468">
        <f>Allocation!$E$21</f>
        <v>2.3324339999999999E-2</v>
      </c>
      <c r="H255" s="431">
        <f t="shared" si="26"/>
        <v>31.266800981594876</v>
      </c>
      <c r="N255" s="468"/>
    </row>
    <row r="256" spans="1:14">
      <c r="A256" s="863">
        <f t="shared" si="28"/>
        <v>242</v>
      </c>
      <c r="B256" s="709">
        <v>39924</v>
      </c>
      <c r="C256" s="88" t="s">
        <v>1555</v>
      </c>
      <c r="D256" s="347">
        <v>0</v>
      </c>
      <c r="E256" s="626">
        <v>1</v>
      </c>
      <c r="F256" s="468">
        <f>Allocation!$C$15</f>
        <v>0.10929999999999999</v>
      </c>
      <c r="G256" s="468">
        <f>Allocation!$D$15</f>
        <v>0.51883860656465508</v>
      </c>
      <c r="H256" s="431">
        <f t="shared" si="26"/>
        <v>0</v>
      </c>
      <c r="N256" s="468"/>
    </row>
    <row r="257" spans="1:8">
      <c r="A257" s="863">
        <f t="shared" si="28"/>
        <v>243</v>
      </c>
      <c r="B257" s="709"/>
      <c r="C257" s="88"/>
      <c r="D257" s="1054"/>
      <c r="E257" s="1078"/>
      <c r="F257" s="468"/>
      <c r="G257" s="468"/>
      <c r="H257" s="1054"/>
    </row>
    <row r="258" spans="1:8">
      <c r="A258" s="863">
        <f t="shared" si="28"/>
        <v>244</v>
      </c>
      <c r="B258" s="81"/>
      <c r="C258" s="88"/>
      <c r="D258" s="431"/>
      <c r="E258" s="1037"/>
    </row>
    <row r="259" spans="1:8" ht="15.75" thickBot="1">
      <c r="A259" s="863">
        <f t="shared" si="28"/>
        <v>245</v>
      </c>
      <c r="B259" s="81"/>
      <c r="C259" s="88" t="s">
        <v>1352</v>
      </c>
      <c r="D259" s="469">
        <f>SUM(D228:D258)</f>
        <v>8715896.9115120769</v>
      </c>
      <c r="E259" s="1077"/>
      <c r="H259" s="469">
        <f>SUM(H228:H258)</f>
        <v>465190.52290313935</v>
      </c>
    </row>
    <row r="260" spans="1:8" ht="15.75" thickTop="1">
      <c r="A260" s="863">
        <f t="shared" si="28"/>
        <v>246</v>
      </c>
      <c r="E260" s="1037"/>
    </row>
    <row r="261" spans="1:8" ht="30.75" thickBot="1">
      <c r="A261" s="863">
        <f t="shared" si="28"/>
        <v>247</v>
      </c>
      <c r="C261" s="617" t="s">
        <v>1155</v>
      </c>
      <c r="D261" s="469">
        <f>D259+D223+D178+D115</f>
        <v>32879651.911779456</v>
      </c>
      <c r="E261" s="1077"/>
      <c r="H261" s="469">
        <f>H259+H223+H178+H115</f>
        <v>21502805.8261499</v>
      </c>
    </row>
    <row r="262" spans="1:8" ht="15.75" thickTop="1"/>
    <row r="263" spans="1:8">
      <c r="C263" s="80" t="s">
        <v>691</v>
      </c>
      <c r="D263" s="425"/>
    </row>
    <row r="264" spans="1:8">
      <c r="C264" s="80" t="s">
        <v>1607</v>
      </c>
    </row>
  </sheetData>
  <mergeCells count="4">
    <mergeCell ref="A1:I1"/>
    <mergeCell ref="A2:I2"/>
    <mergeCell ref="A3:I3"/>
    <mergeCell ref="A4:I4"/>
  </mergeCells>
  <phoneticPr fontId="22" type="noConversion"/>
  <printOptions horizontalCentered="1"/>
  <pageMargins left="0.75" right="0.49" top="0.78" bottom="1" header="0.5" footer="0.33"/>
  <pageSetup scale="16" fitToHeight="15" orientation="portrait" r:id="rId1"/>
  <headerFooter alignWithMargins="0"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3"/>
  <sheetViews>
    <sheetView view="pageBreakPreview" zoomScale="60" zoomScaleNormal="100" workbookViewId="0">
      <selection activeCell="E14" sqref="E14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7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7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7" s="1" customFormat="1">
      <c r="A3" s="1164" t="s">
        <v>436</v>
      </c>
      <c r="B3" s="1164"/>
      <c r="C3" s="1164"/>
      <c r="D3" s="1164"/>
      <c r="E3" s="1164"/>
    </row>
    <row r="4" spans="1:7" s="1" customFormat="1">
      <c r="A4" s="1164" t="str">
        <f>'B.1 B'!A4</f>
        <v>as of December 31, 2017</v>
      </c>
      <c r="B4" s="1164"/>
      <c r="C4" s="1164"/>
      <c r="D4" s="1164"/>
      <c r="E4" s="1164"/>
    </row>
    <row r="5" spans="1:7" s="1" customFormat="1">
      <c r="A5" s="81"/>
    </row>
    <row r="6" spans="1:7" s="1" customFormat="1">
      <c r="A6" s="4" t="str">
        <f>'B.1 B'!A6</f>
        <v>Data:__X___Base Period______Forecasted Period</v>
      </c>
      <c r="E6" s="1" t="s">
        <v>1447</v>
      </c>
    </row>
    <row r="7" spans="1:7" s="1" customFormat="1">
      <c r="A7" s="4" t="str">
        <f>'B.1 B'!A7</f>
        <v>Type of Filing:___X____Original________Updated ________Revised</v>
      </c>
      <c r="B7" s="4"/>
      <c r="E7" s="4" t="s">
        <v>708</v>
      </c>
    </row>
    <row r="8" spans="1:7" s="1" customFormat="1">
      <c r="A8" s="51" t="str">
        <f>'B.1 B'!A8</f>
        <v>Workpaper Reference No(s).</v>
      </c>
      <c r="B8" s="6"/>
      <c r="C8" s="6"/>
      <c r="D8" s="6"/>
      <c r="E8" s="5" t="str">
        <f>'B.1 B'!F8</f>
        <v>Witness:   Waller</v>
      </c>
    </row>
    <row r="9" spans="1:7" s="1" customFormat="1">
      <c r="C9" s="2" t="s">
        <v>706</v>
      </c>
    </row>
    <row r="10" spans="1:7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7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7" s="1" customFormat="1">
      <c r="E12" s="2"/>
    </row>
    <row r="14" spans="1:7" s="1" customFormat="1">
      <c r="A14" s="2" t="s">
        <v>1104</v>
      </c>
      <c r="B14" s="88" t="s">
        <v>791</v>
      </c>
      <c r="C14" s="88" t="s">
        <v>33</v>
      </c>
      <c r="D14" s="117" t="s">
        <v>82</v>
      </c>
      <c r="E14" s="307">
        <f>'B.4.2 B'!H32</f>
        <v>3339798.6797992988</v>
      </c>
      <c r="F14" s="81"/>
      <c r="G14" s="81"/>
    </row>
    <row r="15" spans="1:7" s="1" customFormat="1">
      <c r="D15" s="11"/>
      <c r="E15" s="73"/>
      <c r="F15" s="81"/>
      <c r="G15" s="81"/>
    </row>
    <row r="16" spans="1:7" s="1" customFormat="1">
      <c r="A16" s="2">
        <v>2</v>
      </c>
      <c r="B16" s="4" t="s">
        <v>798</v>
      </c>
      <c r="C16" s="4" t="s">
        <v>84</v>
      </c>
      <c r="D16" s="2" t="s">
        <v>83</v>
      </c>
      <c r="E16" s="357">
        <f>'B.4.1 B'!K21</f>
        <v>207083.73471999998</v>
      </c>
      <c r="F16" s="81"/>
      <c r="G16" s="81"/>
    </row>
    <row r="17" spans="1:7" s="1" customFormat="1">
      <c r="D17" s="11"/>
      <c r="E17" s="357"/>
      <c r="F17" s="81"/>
      <c r="G17" s="81"/>
    </row>
    <row r="18" spans="1:7" s="1" customFormat="1">
      <c r="A18" s="2">
        <v>3</v>
      </c>
      <c r="B18" s="4" t="s">
        <v>1096</v>
      </c>
      <c r="C18" s="4" t="s">
        <v>84</v>
      </c>
      <c r="D18" s="2" t="s">
        <v>83</v>
      </c>
      <c r="E18" s="357">
        <f>'B.4.1 B'!K28</f>
        <v>8607714.4584615398</v>
      </c>
      <c r="F18" s="81"/>
      <c r="G18" s="81"/>
    </row>
    <row r="19" spans="1:7" s="1" customFormat="1">
      <c r="D19" s="11"/>
      <c r="E19" s="357"/>
      <c r="F19" s="81"/>
      <c r="G19" s="81"/>
    </row>
    <row r="20" spans="1:7" s="1" customFormat="1">
      <c r="A20" s="2">
        <v>4</v>
      </c>
      <c r="B20" s="4" t="s">
        <v>797</v>
      </c>
      <c r="C20" s="4" t="s">
        <v>84</v>
      </c>
      <c r="D20" s="2" t="s">
        <v>83</v>
      </c>
      <c r="E20" s="432">
        <f>'B.4.1 B'!K35</f>
        <v>1664610.0360170968</v>
      </c>
      <c r="F20" s="81"/>
      <c r="G20" s="81"/>
    </row>
    <row r="21" spans="1:7" s="1" customFormat="1">
      <c r="D21" s="11"/>
      <c r="E21" s="10"/>
      <c r="F21" s="81"/>
      <c r="G21" s="81"/>
    </row>
    <row r="22" spans="1:7" ht="15.75" thickBot="1">
      <c r="A22" s="2">
        <v>5</v>
      </c>
      <c r="B22" s="4" t="s">
        <v>495</v>
      </c>
      <c r="C22" s="1"/>
      <c r="D22" s="1"/>
      <c r="E22" s="309">
        <f>SUM(E14:E20)</f>
        <v>13819206.908997936</v>
      </c>
      <c r="F22" s="196"/>
      <c r="G22" s="196"/>
    </row>
    <row r="23" spans="1:7" ht="15.75" thickTop="1">
      <c r="D23" s="228"/>
      <c r="E23" s="188"/>
      <c r="F23" s="196"/>
      <c r="G23" s="196"/>
    </row>
    <row r="24" spans="1:7">
      <c r="E24" s="188"/>
      <c r="F24" s="196"/>
      <c r="G24" s="196"/>
    </row>
    <row r="25" spans="1:7">
      <c r="D25" s="228"/>
      <c r="E25" s="188"/>
      <c r="F25" s="196"/>
      <c r="G25" s="196"/>
    </row>
    <row r="26" spans="1:7">
      <c r="E26" s="188"/>
      <c r="F26" s="196"/>
      <c r="G26" s="196"/>
    </row>
    <row r="27" spans="1:7">
      <c r="D27" s="228"/>
      <c r="E27" s="188"/>
      <c r="F27" s="196"/>
      <c r="G27" s="196"/>
    </row>
    <row r="28" spans="1:7">
      <c r="E28" s="188"/>
      <c r="F28" s="196"/>
      <c r="G28" s="196"/>
    </row>
    <row r="29" spans="1:7">
      <c r="D29" s="228"/>
      <c r="E29" s="188"/>
    </row>
    <row r="30" spans="1:7">
      <c r="E30" s="188"/>
    </row>
    <row r="31" spans="1:7">
      <c r="E31" s="188"/>
    </row>
    <row r="32" spans="1:7">
      <c r="E32" s="188"/>
    </row>
    <row r="33" spans="5:5">
      <c r="E33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A1:F39"/>
  <sheetViews>
    <sheetView view="pageBreakPreview" zoomScale="60" zoomScaleNormal="100" workbookViewId="0">
      <selection activeCell="D7" sqref="D7"/>
    </sheetView>
  </sheetViews>
  <sheetFormatPr defaultColWidth="8.44140625" defaultRowHeight="15"/>
  <cols>
    <col min="1" max="1" width="6.6640625" style="40" customWidth="1"/>
    <col min="2" max="2" width="30.6640625" style="40" customWidth="1"/>
    <col min="3" max="3" width="24.6640625" style="40" customWidth="1"/>
    <col min="4" max="4" width="17" style="40" customWidth="1"/>
    <col min="5" max="5" width="14.44140625" style="40" customWidth="1"/>
    <col min="6" max="6" width="11.88671875" style="40" customWidth="1"/>
    <col min="7" max="16384" width="8.44140625" style="40"/>
  </cols>
  <sheetData>
    <row r="1" spans="1:6" s="1" customFormat="1">
      <c r="A1" s="1164" t="str">
        <f>'Table of Contents'!A1:C1</f>
        <v>Atmos Energy Corporation, Kentucky/Mid-States Division</v>
      </c>
      <c r="B1" s="1164"/>
      <c r="C1" s="1164"/>
      <c r="D1" s="1164"/>
      <c r="E1" s="1164"/>
    </row>
    <row r="2" spans="1:6" s="1" customFormat="1">
      <c r="A2" s="1164" t="str">
        <f>'Table of Contents'!A2:C2</f>
        <v>Kentucky Jurisdiction Case No. 2017-00349</v>
      </c>
      <c r="B2" s="1164"/>
      <c r="C2" s="1164"/>
      <c r="D2" s="1164"/>
      <c r="E2" s="1164"/>
    </row>
    <row r="3" spans="1:6" s="1" customFormat="1">
      <c r="A3" s="1164" t="s">
        <v>436</v>
      </c>
      <c r="B3" s="1164"/>
      <c r="C3" s="1164"/>
      <c r="D3" s="1164"/>
      <c r="E3" s="1164"/>
    </row>
    <row r="4" spans="1:6" s="1" customFormat="1">
      <c r="A4" s="1164" t="str">
        <f>'B.1 F '!A4</f>
        <v>as of March 31, 2019</v>
      </c>
      <c r="B4" s="1164"/>
      <c r="C4" s="1164"/>
      <c r="D4" s="1164"/>
      <c r="E4" s="1164"/>
    </row>
    <row r="5" spans="1:6" s="1" customFormat="1">
      <c r="A5" s="81"/>
    </row>
    <row r="6" spans="1:6" s="1" customFormat="1">
      <c r="A6" s="4" t="str">
        <f>'B.1 F '!A6</f>
        <v>Data:______Base Period__X___Forecasted Period</v>
      </c>
      <c r="E6" s="1" t="s">
        <v>1447</v>
      </c>
    </row>
    <row r="7" spans="1:6" s="1" customFormat="1">
      <c r="A7" s="4" t="str">
        <f>'B.1 F '!A7</f>
        <v>Type of Filing:___X____Original________Updated ________Revised</v>
      </c>
      <c r="B7" s="4"/>
      <c r="E7" s="4" t="s">
        <v>709</v>
      </c>
    </row>
    <row r="8" spans="1:6" s="1" customFormat="1">
      <c r="A8" s="51" t="str">
        <f>'B.1 F '!A8</f>
        <v>Workpaper Reference No(s).</v>
      </c>
      <c r="B8" s="6"/>
      <c r="C8" s="6"/>
      <c r="D8" s="6"/>
      <c r="E8" s="5" t="str">
        <f>'B.1 F '!F8</f>
        <v>Witness:   Waller</v>
      </c>
    </row>
    <row r="9" spans="1:6" s="1" customFormat="1">
      <c r="C9" s="2" t="s">
        <v>706</v>
      </c>
    </row>
    <row r="10" spans="1:6" s="1" customFormat="1">
      <c r="A10" s="2" t="s">
        <v>94</v>
      </c>
      <c r="B10" s="4" t="s">
        <v>792</v>
      </c>
      <c r="C10" s="2" t="s">
        <v>707</v>
      </c>
      <c r="D10" s="2" t="s">
        <v>96</v>
      </c>
      <c r="E10" s="2" t="s">
        <v>97</v>
      </c>
    </row>
    <row r="11" spans="1:6" s="1" customFormat="1">
      <c r="A11" s="9" t="s">
        <v>100</v>
      </c>
      <c r="B11" s="5" t="s">
        <v>1199</v>
      </c>
      <c r="C11" s="9" t="s">
        <v>566</v>
      </c>
      <c r="D11" s="9" t="s">
        <v>533</v>
      </c>
      <c r="E11" s="9" t="s">
        <v>103</v>
      </c>
    </row>
    <row r="12" spans="1:6" s="1" customFormat="1">
      <c r="E12" s="2"/>
    </row>
    <row r="14" spans="1:6" s="1" customFormat="1">
      <c r="A14" s="2">
        <v>1</v>
      </c>
      <c r="B14" s="4" t="s">
        <v>791</v>
      </c>
      <c r="C14" s="4" t="s">
        <v>33</v>
      </c>
      <c r="D14" s="2" t="s">
        <v>82</v>
      </c>
      <c r="E14" s="307">
        <f>'B.4.2 F'!H32</f>
        <v>3224599.4733913648</v>
      </c>
      <c r="F14" s="81"/>
    </row>
    <row r="15" spans="1:6" s="1" customFormat="1">
      <c r="D15" s="11"/>
      <c r="E15" s="73"/>
      <c r="F15" s="81"/>
    </row>
    <row r="16" spans="1:6" s="1" customFormat="1">
      <c r="A16" s="2">
        <v>2</v>
      </c>
      <c r="B16" s="4" t="s">
        <v>798</v>
      </c>
      <c r="C16" s="4" t="s">
        <v>84</v>
      </c>
      <c r="D16" s="2" t="s">
        <v>83</v>
      </c>
      <c r="E16" s="73">
        <f>'B.4.1 F'!K21</f>
        <v>201853.22863466665</v>
      </c>
      <c r="F16" s="81"/>
    </row>
    <row r="17" spans="1:6" s="1" customFormat="1">
      <c r="D17" s="11"/>
      <c r="E17" s="73"/>
      <c r="F17" s="81"/>
    </row>
    <row r="18" spans="1:6" s="1" customFormat="1">
      <c r="A18" s="2">
        <v>3</v>
      </c>
      <c r="B18" s="4" t="s">
        <v>1096</v>
      </c>
      <c r="C18" s="4" t="s">
        <v>84</v>
      </c>
      <c r="D18" s="2" t="s">
        <v>83</v>
      </c>
      <c r="E18" s="73">
        <f>'B.4.1 F'!K28</f>
        <v>8259601.0594371371</v>
      </c>
      <c r="F18" s="81"/>
    </row>
    <row r="19" spans="1:6" s="1" customFormat="1">
      <c r="D19" s="11"/>
      <c r="E19" s="73"/>
      <c r="F19" s="81"/>
    </row>
    <row r="20" spans="1:6" s="1" customFormat="1">
      <c r="A20" s="2">
        <v>4</v>
      </c>
      <c r="B20" s="4" t="s">
        <v>797</v>
      </c>
      <c r="C20" s="4" t="s">
        <v>84</v>
      </c>
      <c r="D20" s="2" t="s">
        <v>83</v>
      </c>
      <c r="E20" s="85">
        <f>'B.4.1 F'!K35</f>
        <v>1636065.3907948972</v>
      </c>
      <c r="F20" s="81"/>
    </row>
    <row r="21" spans="1:6" s="1" customFormat="1">
      <c r="D21" s="2"/>
      <c r="E21" s="10"/>
      <c r="F21" s="81"/>
    </row>
    <row r="22" spans="1:6" ht="15.75" thickBot="1">
      <c r="A22" s="2">
        <v>5</v>
      </c>
      <c r="B22" s="4" t="s">
        <v>495</v>
      </c>
      <c r="C22" s="1"/>
      <c r="D22" s="1"/>
      <c r="E22" s="309">
        <f>SUM(E14:E20)</f>
        <v>13322119.152258066</v>
      </c>
      <c r="F22" s="196"/>
    </row>
    <row r="23" spans="1:6" ht="15.75" thickTop="1">
      <c r="E23" s="188"/>
      <c r="F23" s="196"/>
    </row>
    <row r="24" spans="1:6">
      <c r="D24" s="228"/>
      <c r="E24" s="188"/>
      <c r="F24" s="196"/>
    </row>
    <row r="25" spans="1:6">
      <c r="E25" s="188"/>
      <c r="F25" s="196"/>
    </row>
    <row r="26" spans="1:6">
      <c r="D26" s="228"/>
      <c r="E26" s="188"/>
      <c r="F26" s="196"/>
    </row>
    <row r="27" spans="1:6">
      <c r="E27" s="188"/>
      <c r="F27" s="196"/>
    </row>
    <row r="28" spans="1:6">
      <c r="D28" s="228"/>
      <c r="E28" s="188"/>
      <c r="F28" s="196"/>
    </row>
    <row r="29" spans="1:6">
      <c r="E29" s="188"/>
      <c r="F29" s="196"/>
    </row>
    <row r="30" spans="1:6">
      <c r="E30" s="188"/>
      <c r="F30" s="196"/>
    </row>
    <row r="31" spans="1:6">
      <c r="E31" s="188"/>
    </row>
    <row r="32" spans="1:6">
      <c r="A32" s="181"/>
      <c r="B32" s="181"/>
      <c r="E32" s="188"/>
    </row>
    <row r="33" spans="2:5">
      <c r="B33" s="181"/>
      <c r="E33" s="188"/>
    </row>
    <row r="34" spans="2:5">
      <c r="B34" s="181"/>
      <c r="E34" s="188"/>
    </row>
    <row r="35" spans="2:5">
      <c r="B35" s="181"/>
      <c r="E35" s="188"/>
    </row>
    <row r="36" spans="2:5">
      <c r="E36" s="188"/>
    </row>
    <row r="37" spans="2:5">
      <c r="E37" s="188"/>
    </row>
    <row r="38" spans="2:5">
      <c r="E38" s="188"/>
    </row>
    <row r="39" spans="2:5">
      <c r="E39" s="188"/>
    </row>
  </sheetData>
  <mergeCells count="4">
    <mergeCell ref="A1:E1"/>
    <mergeCell ref="A2:E2"/>
    <mergeCell ref="A3:E3"/>
    <mergeCell ref="A4:E4"/>
  </mergeCells>
  <phoneticPr fontId="22" type="noConversion"/>
  <printOptions horizontalCentered="1"/>
  <pageMargins left="0.75" right="0.75" top="1.0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47"/>
  <sheetViews>
    <sheetView view="pageBreakPreview" zoomScale="70" zoomScaleNormal="80" zoomScaleSheetLayoutView="70" workbookViewId="0">
      <selection activeCell="F35" sqref="F35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4.109375" style="62" customWidth="1"/>
    <col min="4" max="4" width="13.5546875" style="62" customWidth="1"/>
    <col min="5" max="5" width="11.77734375" style="62" customWidth="1"/>
    <col min="6" max="6" width="12.5546875" style="62" customWidth="1"/>
    <col min="7" max="7" width="2.88671875" style="94" customWidth="1"/>
    <col min="8" max="8" width="13.33203125" style="62" bestFit="1" customWidth="1"/>
    <col min="9" max="9" width="12.6640625" style="62" customWidth="1"/>
    <col min="10" max="10" width="10.77734375" style="62" customWidth="1"/>
    <col min="11" max="11" width="11.66406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983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B'!A4</f>
        <v>as of December 31, 2017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B'!A6</f>
        <v>Data:__X___Base Period______Forecasted Period</v>
      </c>
      <c r="K7" s="498" t="s">
        <v>1448</v>
      </c>
    </row>
    <row r="8" spans="1:11">
      <c r="A8" s="66" t="str">
        <f>'B.1 B'!A7</f>
        <v>Type of Filing:___X____Original________Updated ________Revised</v>
      </c>
      <c r="B8" s="4"/>
      <c r="K8" s="698" t="s">
        <v>710</v>
      </c>
    </row>
    <row r="9" spans="1:11">
      <c r="A9" s="471" t="str">
        <f>'B.1 B'!A8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1180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B'!D10</f>
        <v>43100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43100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B.4.1B'!O15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B.4.1B'!P15</f>
        <v>-254109.01076923081</v>
      </c>
      <c r="I17" s="346">
        <f t="shared" ref="I17:J20" si="0">D17</f>
        <v>1</v>
      </c>
      <c r="J17" s="346">
        <f t="shared" si="0"/>
        <v>1</v>
      </c>
      <c r="K17" s="352">
        <f>H17*I17*J17</f>
        <v>-254109.01076923081</v>
      </c>
    </row>
    <row r="18" spans="1:11">
      <c r="A18" s="242">
        <v>3</v>
      </c>
      <c r="B18" s="321" t="s">
        <v>1182</v>
      </c>
      <c r="C18" s="354">
        <f>'WP B.4.1B'!O20</f>
        <v>955451.13666666672</v>
      </c>
      <c r="D18" s="359">
        <v>1</v>
      </c>
      <c r="E18" s="360">
        <f>Allocation!H17</f>
        <v>0.49440000000000001</v>
      </c>
      <c r="F18" s="353">
        <f>C18*D18*E18</f>
        <v>472375.041968</v>
      </c>
      <c r="G18" s="358"/>
      <c r="H18" s="354">
        <f>'WP B.4.1B'!P20</f>
        <v>932833.22307692305</v>
      </c>
      <c r="I18" s="346">
        <f t="shared" si="0"/>
        <v>1</v>
      </c>
      <c r="J18" s="70">
        <f t="shared" si="0"/>
        <v>0.49440000000000001</v>
      </c>
      <c r="K18" s="353">
        <f>H18*I18*J18</f>
        <v>461192.74548923079</v>
      </c>
    </row>
    <row r="19" spans="1:11">
      <c r="A19" s="242">
        <v>4</v>
      </c>
      <c r="B19" s="321" t="s">
        <v>1183</v>
      </c>
      <c r="C19" s="354">
        <f>'WP B.4.1B'!O25</f>
        <v>0</v>
      </c>
      <c r="D19" s="360">
        <f>Allocation!C14</f>
        <v>9.8900000000000002E-2</v>
      </c>
      <c r="E19" s="360">
        <f>Allocation!H14</f>
        <v>0.49440000000000001</v>
      </c>
      <c r="F19" s="353">
        <f>C19*D19*E19</f>
        <v>0</v>
      </c>
      <c r="G19" s="358"/>
      <c r="H19" s="354">
        <f>'WP B.4.1B'!P25</f>
        <v>0</v>
      </c>
      <c r="I19" s="70">
        <f t="shared" si="0"/>
        <v>9.8900000000000002E-2</v>
      </c>
      <c r="J19" s="70">
        <f t="shared" si="0"/>
        <v>0.49440000000000001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B.4.1B'!O30</f>
        <v>0</v>
      </c>
      <c r="D20" s="360">
        <f>Allocation!C15</f>
        <v>0.10929999999999999</v>
      </c>
      <c r="E20" s="360">
        <f>Allocation!H15</f>
        <v>0.51883860656465508</v>
      </c>
      <c r="F20" s="356">
        <f>C20*D20*E20</f>
        <v>0</v>
      </c>
      <c r="G20" s="358"/>
      <c r="H20" s="355">
        <f>'WP B.4.1B'!P30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201853.22863466671</v>
      </c>
      <c r="G21" s="84"/>
      <c r="H21" s="341">
        <f>SUM(H17:H20)</f>
        <v>678724.21230769227</v>
      </c>
      <c r="I21" s="86"/>
      <c r="J21" s="242"/>
      <c r="K21" s="341">
        <f>SUM(K17:K20)</f>
        <v>207083.73471999998</v>
      </c>
    </row>
    <row r="22" spans="1:11">
      <c r="A22" s="242">
        <v>7</v>
      </c>
      <c r="C22" s="96"/>
      <c r="F22" s="63"/>
      <c r="G22" s="84"/>
      <c r="H22" s="8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B.4.1B'!O34</f>
        <v>12337277.359999999</v>
      </c>
      <c r="D24" s="346">
        <f>D17</f>
        <v>1</v>
      </c>
      <c r="E24" s="346">
        <f>E17</f>
        <v>1</v>
      </c>
      <c r="F24" s="352">
        <f>C24*D24*E24</f>
        <v>12337277.359999999</v>
      </c>
      <c r="G24" s="84"/>
      <c r="H24" s="341">
        <f>'WP B.4.1B'!P34</f>
        <v>8607714.4584615398</v>
      </c>
      <c r="I24" s="346">
        <f>I17</f>
        <v>1</v>
      </c>
      <c r="J24" s="346">
        <f>J17</f>
        <v>1</v>
      </c>
      <c r="K24" s="352">
        <f>H24*I24*J24</f>
        <v>8607714.4584615398</v>
      </c>
    </row>
    <row r="25" spans="1:11">
      <c r="A25" s="242">
        <v>10</v>
      </c>
      <c r="B25" s="321" t="s">
        <v>1182</v>
      </c>
      <c r="C25" s="350">
        <f>'WP B.4.1B'!O36</f>
        <v>0</v>
      </c>
      <c r="D25" s="346">
        <f t="shared" ref="D25:E27" si="1">D18</f>
        <v>1</v>
      </c>
      <c r="E25" s="70">
        <f t="shared" si="1"/>
        <v>0.49440000000000001</v>
      </c>
      <c r="F25" s="353">
        <f>C25*D25*E25</f>
        <v>0</v>
      </c>
      <c r="G25" s="358"/>
      <c r="H25" s="354">
        <f>'WP B.4.1B'!P36</f>
        <v>0</v>
      </c>
      <c r="I25" s="346">
        <f t="shared" ref="I25:J27" si="2">I18</f>
        <v>1</v>
      </c>
      <c r="J25" s="70">
        <f t="shared" si="2"/>
        <v>0.49440000000000001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B.4.1B'!O38</f>
        <v>0</v>
      </c>
      <c r="D26" s="70">
        <f t="shared" si="1"/>
        <v>9.8900000000000002E-2</v>
      </c>
      <c r="E26" s="70">
        <f t="shared" si="1"/>
        <v>0.49440000000000001</v>
      </c>
      <c r="F26" s="353">
        <f>C26*D26*E26</f>
        <v>0</v>
      </c>
      <c r="G26" s="358"/>
      <c r="H26" s="354">
        <f>'WP B.4.1B'!P38</f>
        <v>0</v>
      </c>
      <c r="I26" s="70">
        <f t="shared" si="2"/>
        <v>9.8900000000000002E-2</v>
      </c>
      <c r="J26" s="70">
        <f t="shared" si="2"/>
        <v>0.49440000000000001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B.4.1B'!O40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358"/>
      <c r="H27" s="355">
        <f>'WP B.4.1B'!P40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12337277.359999999</v>
      </c>
      <c r="D28" s="242"/>
      <c r="E28" s="242"/>
      <c r="F28" s="341">
        <f>SUM(F24:F27)</f>
        <v>12337277.359999999</v>
      </c>
      <c r="G28" s="84"/>
      <c r="H28" s="341">
        <f>SUM(H24:H27)</f>
        <v>8607714.4584615398</v>
      </c>
      <c r="I28" s="86"/>
      <c r="J28" s="242"/>
      <c r="K28" s="341">
        <f>SUM(K24:K27)</f>
        <v>8607714.4584615398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8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B.4.1B'!O44</f>
        <v>68932.791666666657</v>
      </c>
      <c r="D31" s="346">
        <f>D17</f>
        <v>1</v>
      </c>
      <c r="E31" s="346">
        <f>E17</f>
        <v>1</v>
      </c>
      <c r="F31" s="352">
        <f>C31*D31*E31</f>
        <v>68932.791666666657</v>
      </c>
      <c r="G31" s="84"/>
      <c r="H31" s="341">
        <f>'WP B.4.1B'!P44</f>
        <v>76356.326153846123</v>
      </c>
      <c r="I31" s="346">
        <f>I17</f>
        <v>1</v>
      </c>
      <c r="J31" s="346">
        <f>J17</f>
        <v>1</v>
      </c>
      <c r="K31" s="352">
        <f>H31*I31*J31</f>
        <v>76356.326153846123</v>
      </c>
    </row>
    <row r="32" spans="1:11">
      <c r="A32" s="242">
        <v>17</v>
      </c>
      <c r="B32" s="321" t="s">
        <v>1182</v>
      </c>
      <c r="C32" s="354">
        <f>'WP B.4.1B'!O46</f>
        <v>3673.0716666666667</v>
      </c>
      <c r="D32" s="346">
        <f t="shared" ref="D32:E34" si="3">D18</f>
        <v>1</v>
      </c>
      <c r="E32" s="70">
        <f t="shared" si="3"/>
        <v>0.49440000000000001</v>
      </c>
      <c r="F32" s="353">
        <f>C32*D32*E32</f>
        <v>1815.9666320000001</v>
      </c>
      <c r="G32" s="84"/>
      <c r="H32" s="354">
        <f>'WP B.4.1B'!P46</f>
        <v>3824.525384615386</v>
      </c>
      <c r="I32" s="346">
        <f t="shared" ref="I32:J34" si="4">I18</f>
        <v>1</v>
      </c>
      <c r="J32" s="70">
        <f t="shared" si="4"/>
        <v>0.49440000000000001</v>
      </c>
      <c r="K32" s="353">
        <f>H32*I32*J32</f>
        <v>1890.8453501538468</v>
      </c>
    </row>
    <row r="33" spans="1:11">
      <c r="A33" s="242">
        <v>18</v>
      </c>
      <c r="B33" s="321" t="s">
        <v>1183</v>
      </c>
      <c r="C33" s="354">
        <f>'WP B.4.1B'!O48</f>
        <v>30135178.864999995</v>
      </c>
      <c r="D33" s="70">
        <f t="shared" si="3"/>
        <v>9.8900000000000002E-2</v>
      </c>
      <c r="E33" s="70">
        <f t="shared" si="3"/>
        <v>0.49440000000000001</v>
      </c>
      <c r="F33" s="353">
        <f>C33*D33*E33</f>
        <v>1473494.5274116581</v>
      </c>
      <c r="G33" s="84"/>
      <c r="H33" s="354">
        <f>'WP B.4.1B'!P48</f>
        <v>30428206.786923077</v>
      </c>
      <c r="I33" s="70">
        <f t="shared" si="4"/>
        <v>9.8900000000000002E-2</v>
      </c>
      <c r="J33" s="70">
        <f t="shared" si="4"/>
        <v>0.49440000000000001</v>
      </c>
      <c r="K33" s="353">
        <f>H33*I33*J33</f>
        <v>1487822.4675664767</v>
      </c>
    </row>
    <row r="34" spans="1:11">
      <c r="A34" s="242">
        <v>19</v>
      </c>
      <c r="B34" s="321" t="s">
        <v>1184</v>
      </c>
      <c r="C34" s="355">
        <f>'WP B.4.1B'!O50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B.4.1B'!P50</f>
        <v>1737648.2253846154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98540.396946620269</v>
      </c>
    </row>
    <row r="35" spans="1:11">
      <c r="A35" s="242">
        <v>20</v>
      </c>
      <c r="B35" s="289" t="s">
        <v>97</v>
      </c>
      <c r="C35" s="341">
        <f>SUM(C31:C34)</f>
        <v>31818113.138333328</v>
      </c>
      <c r="D35" s="242"/>
      <c r="E35" s="242"/>
      <c r="F35" s="341">
        <f>SUM(F31:F34)</f>
        <v>1635563.495645622</v>
      </c>
      <c r="G35" s="84"/>
      <c r="H35" s="341">
        <f>SUM(H31:H34)</f>
        <v>32246035.863846153</v>
      </c>
      <c r="I35" s="86"/>
      <c r="J35" s="242"/>
      <c r="K35" s="341">
        <f>SUM(K31:K34)</f>
        <v>1664610.0360170968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44840319.821666658</v>
      </c>
      <c r="F37" s="348">
        <f>F35+F28+F21</f>
        <v>14174694.084280288</v>
      </c>
      <c r="G37" s="84"/>
      <c r="H37" s="348">
        <f>H35+H28+H21</f>
        <v>41532474.534615383</v>
      </c>
      <c r="I37" s="84"/>
      <c r="K37" s="348">
        <f>K35+K28+K21</f>
        <v>10479408.229198636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" top="0.75" bottom="0.5" header="0.5" footer="0.5"/>
  <pageSetup scale="70" orientation="landscape" verticalDpi="300" r:id="rId1"/>
  <headerFooter alignWithMargins="0">
    <oddFooter>&amp;RSchedule &amp;A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47"/>
  <sheetViews>
    <sheetView view="pageBreakPreview" topLeftCell="A4" zoomScale="60" zoomScaleNormal="80" workbookViewId="0">
      <selection activeCell="H24" sqref="H24"/>
    </sheetView>
  </sheetViews>
  <sheetFormatPr defaultColWidth="8.44140625" defaultRowHeight="15"/>
  <cols>
    <col min="1" max="1" width="5" style="62" customWidth="1"/>
    <col min="2" max="2" width="42.77734375" style="62" customWidth="1"/>
    <col min="3" max="3" width="13.88671875" style="62" customWidth="1"/>
    <col min="4" max="4" width="13.6640625" style="62" customWidth="1"/>
    <col min="5" max="5" width="11.6640625" style="62" customWidth="1"/>
    <col min="6" max="6" width="13.5546875" style="62" customWidth="1"/>
    <col min="7" max="7" width="2.88671875" style="94" customWidth="1"/>
    <col min="8" max="8" width="13.33203125" style="62" bestFit="1" customWidth="1"/>
    <col min="9" max="9" width="13.109375" style="62" bestFit="1" customWidth="1"/>
    <col min="10" max="10" width="10.44140625" style="62" customWidth="1"/>
    <col min="11" max="11" width="13.33203125" style="62" customWidth="1"/>
    <col min="12" max="16384" width="8.44140625" style="62"/>
  </cols>
  <sheetData>
    <row r="1" spans="1:11">
      <c r="A1" s="1171" t="str">
        <f>Allocation!A1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1171"/>
      <c r="J1" s="1171"/>
      <c r="K1" s="1171"/>
    </row>
    <row r="2" spans="1:11">
      <c r="A2" s="1171" t="str">
        <f>Allocation!A2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1171"/>
      <c r="J2" s="1171"/>
      <c r="K2" s="1171"/>
    </row>
    <row r="3" spans="1:11">
      <c r="A3" s="1171" t="s">
        <v>983</v>
      </c>
      <c r="B3" s="1171"/>
      <c r="C3" s="1171"/>
      <c r="D3" s="1171"/>
      <c r="E3" s="1171"/>
      <c r="F3" s="1171"/>
      <c r="G3" s="1171"/>
      <c r="H3" s="1171"/>
      <c r="I3" s="1171"/>
      <c r="J3" s="1171"/>
      <c r="K3" s="1171"/>
    </row>
    <row r="4" spans="1:11">
      <c r="A4" s="1171" t="str">
        <f>'B.1 F '!A4</f>
        <v>as of March 31, 2019</v>
      </c>
      <c r="B4" s="1171"/>
      <c r="C4" s="1171"/>
      <c r="D4" s="1171"/>
      <c r="E4" s="1171"/>
      <c r="F4" s="1171"/>
      <c r="G4" s="1171"/>
      <c r="H4" s="1171"/>
      <c r="I4" s="1171"/>
      <c r="J4" s="1171"/>
      <c r="K4" s="1171"/>
    </row>
    <row r="7" spans="1:11">
      <c r="A7" s="66" t="str">
        <f>'B.1 F '!A6</f>
        <v>Data:______Base Period__X___Forecasted Period</v>
      </c>
      <c r="K7" s="498" t="s">
        <v>1448</v>
      </c>
    </row>
    <row r="8" spans="1:11">
      <c r="A8" s="66" t="str">
        <f>'B.1 F '!A7</f>
        <v>Type of Filing:___X____Original________Updated ________Revised</v>
      </c>
      <c r="B8" s="4"/>
      <c r="K8" s="698" t="s">
        <v>711</v>
      </c>
    </row>
    <row r="9" spans="1:11">
      <c r="A9" s="471" t="str">
        <f>'B.1 F '!A8</f>
        <v>Workpaper Reference No(s).</v>
      </c>
      <c r="B9" s="94"/>
      <c r="C9" s="94"/>
      <c r="D9" s="94"/>
      <c r="E9" s="94"/>
      <c r="F9" s="94"/>
      <c r="H9" s="94"/>
      <c r="I9" s="94"/>
      <c r="K9" s="699" t="str">
        <f>'B.1 B'!F8</f>
        <v>Witness:   Waller</v>
      </c>
    </row>
    <row r="10" spans="1:11">
      <c r="A10" s="342"/>
      <c r="B10" s="343"/>
      <c r="C10" s="1165" t="s">
        <v>161</v>
      </c>
      <c r="D10" s="1166"/>
      <c r="E10" s="1166"/>
      <c r="F10" s="1167"/>
      <c r="H10" s="1168" t="s">
        <v>517</v>
      </c>
      <c r="I10" s="1169"/>
      <c r="J10" s="1169"/>
      <c r="K10" s="1170"/>
    </row>
    <row r="11" spans="1:11">
      <c r="A11" s="472"/>
      <c r="B11" s="473"/>
      <c r="C11" s="342"/>
      <c r="D11" s="339" t="s">
        <v>13</v>
      </c>
      <c r="E11" s="340" t="s">
        <v>11</v>
      </c>
      <c r="F11" s="343"/>
      <c r="H11" s="342"/>
      <c r="I11" s="339" t="s">
        <v>13</v>
      </c>
      <c r="J11" s="340" t="s">
        <v>11</v>
      </c>
      <c r="K11" s="343"/>
    </row>
    <row r="12" spans="1:11">
      <c r="A12" s="474" t="s">
        <v>94</v>
      </c>
      <c r="B12" s="473"/>
      <c r="C12" s="597">
        <f>'B.2 F'!D10</f>
        <v>43555</v>
      </c>
      <c r="D12" s="34" t="s">
        <v>14</v>
      </c>
      <c r="E12" s="75" t="s">
        <v>600</v>
      </c>
      <c r="F12" s="344" t="s">
        <v>12</v>
      </c>
      <c r="G12" s="243"/>
      <c r="H12" s="597">
        <f>C12</f>
        <v>43555</v>
      </c>
      <c r="I12" s="34" t="s">
        <v>14</v>
      </c>
      <c r="J12" s="75" t="s">
        <v>600</v>
      </c>
      <c r="K12" s="344" t="s">
        <v>12</v>
      </c>
    </row>
    <row r="13" spans="1:11">
      <c r="A13" s="475" t="s">
        <v>100</v>
      </c>
      <c r="B13" s="476" t="s">
        <v>993</v>
      </c>
      <c r="C13" s="333" t="s">
        <v>321</v>
      </c>
      <c r="D13" s="186" t="s">
        <v>633</v>
      </c>
      <c r="E13" s="186" t="s">
        <v>633</v>
      </c>
      <c r="F13" s="345" t="s">
        <v>105</v>
      </c>
      <c r="G13" s="243"/>
      <c r="H13" s="333" t="s">
        <v>384</v>
      </c>
      <c r="I13" s="186" t="s">
        <v>633</v>
      </c>
      <c r="J13" s="186" t="s">
        <v>633</v>
      </c>
      <c r="K13" s="345" t="s">
        <v>105</v>
      </c>
    </row>
    <row r="14" spans="1:11">
      <c r="C14" s="242"/>
      <c r="F14" s="242"/>
      <c r="G14" s="243"/>
      <c r="H14" s="242"/>
      <c r="I14" s="242"/>
      <c r="K14" s="242"/>
    </row>
    <row r="16" spans="1:11">
      <c r="A16" s="242">
        <v>1</v>
      </c>
      <c r="B16" s="66" t="s">
        <v>524</v>
      </c>
      <c r="C16" s="86"/>
      <c r="D16" s="242"/>
      <c r="E16" s="242"/>
      <c r="F16" s="63"/>
      <c r="G16" s="84"/>
      <c r="H16" s="86"/>
      <c r="I16" s="86"/>
      <c r="J16" s="242"/>
      <c r="K16" s="63"/>
    </row>
    <row r="17" spans="1:11">
      <c r="A17" s="242">
        <v>2</v>
      </c>
      <c r="B17" s="321" t="s">
        <v>1181</v>
      </c>
      <c r="C17" s="341">
        <f>'WP B.4.1F'!O15</f>
        <v>-270521.8133333333</v>
      </c>
      <c r="D17" s="359">
        <v>1</v>
      </c>
      <c r="E17" s="359">
        <v>1</v>
      </c>
      <c r="F17" s="352">
        <f>C17*D17*E17</f>
        <v>-270521.8133333333</v>
      </c>
      <c r="G17" s="84"/>
      <c r="H17" s="341">
        <f>'WP B.4.1F'!P15</f>
        <v>-270521.81333333335</v>
      </c>
      <c r="I17" s="346">
        <f t="shared" ref="I17:J20" si="0">D17</f>
        <v>1</v>
      </c>
      <c r="J17" s="346">
        <f t="shared" si="0"/>
        <v>1</v>
      </c>
      <c r="K17" s="352">
        <f>H17*I17*J17</f>
        <v>-270521.81333333335</v>
      </c>
    </row>
    <row r="18" spans="1:11">
      <c r="A18" s="242">
        <v>3</v>
      </c>
      <c r="B18" s="321" t="s">
        <v>1182</v>
      </c>
      <c r="C18" s="354">
        <f>'WP B.4.1F'!O20</f>
        <v>955451.13666666672</v>
      </c>
      <c r="D18" s="359">
        <v>1</v>
      </c>
      <c r="E18" s="360">
        <f>Allocation!D17</f>
        <v>0.49440000000000001</v>
      </c>
      <c r="F18" s="353">
        <f>C18*D18*E18</f>
        <v>472375.041968</v>
      </c>
      <c r="G18" s="84"/>
      <c r="H18" s="354">
        <f>'WP B.4.1F'!P20</f>
        <v>955451.13666666672</v>
      </c>
      <c r="I18" s="346">
        <f t="shared" si="0"/>
        <v>1</v>
      </c>
      <c r="J18" s="70">
        <f t="shared" si="0"/>
        <v>0.49440000000000001</v>
      </c>
      <c r="K18" s="353">
        <f>H18*I18*J18</f>
        <v>472375.041968</v>
      </c>
    </row>
    <row r="19" spans="1:11">
      <c r="A19" s="242">
        <v>4</v>
      </c>
      <c r="B19" s="321" t="s">
        <v>1183</v>
      </c>
      <c r="C19" s="354">
        <f>'WP B.4.1F'!O25</f>
        <v>0</v>
      </c>
      <c r="D19" s="360">
        <f>Allocation!C14</f>
        <v>9.8900000000000002E-2</v>
      </c>
      <c r="E19" s="360">
        <f>Allocation!D14</f>
        <v>0.49440000000000001</v>
      </c>
      <c r="F19" s="353">
        <f>C19*D19*E19</f>
        <v>0</v>
      </c>
      <c r="G19" s="84"/>
      <c r="H19" s="354">
        <f>'WP B.4.1F'!P25</f>
        <v>0</v>
      </c>
      <c r="I19" s="70">
        <f t="shared" si="0"/>
        <v>9.8900000000000002E-2</v>
      </c>
      <c r="J19" s="70">
        <f t="shared" si="0"/>
        <v>0.49440000000000001</v>
      </c>
      <c r="K19" s="353">
        <f>H19*I19*J19</f>
        <v>0</v>
      </c>
    </row>
    <row r="20" spans="1:11">
      <c r="A20" s="242">
        <v>5</v>
      </c>
      <c r="B20" s="321" t="s">
        <v>1184</v>
      </c>
      <c r="C20" s="355">
        <f>'WP B.4.1F'!O30</f>
        <v>0</v>
      </c>
      <c r="D20" s="360">
        <f>Allocation!C15</f>
        <v>0.10929999999999999</v>
      </c>
      <c r="E20" s="360">
        <f>Allocation!D15</f>
        <v>0.51883860656465508</v>
      </c>
      <c r="F20" s="356">
        <f>C20*D20*E20</f>
        <v>0</v>
      </c>
      <c r="G20" s="84"/>
      <c r="H20" s="355">
        <f>'WP B.4.1F'!T30</f>
        <v>0</v>
      </c>
      <c r="I20" s="70">
        <f t="shared" si="0"/>
        <v>0.10929999999999999</v>
      </c>
      <c r="J20" s="70">
        <f t="shared" si="0"/>
        <v>0.51883860656465508</v>
      </c>
      <c r="K20" s="356">
        <f>H20*I20*J20</f>
        <v>0</v>
      </c>
    </row>
    <row r="21" spans="1:11">
      <c r="A21" s="242">
        <v>6</v>
      </c>
      <c r="B21" s="289" t="s">
        <v>97</v>
      </c>
      <c r="C21" s="341">
        <f>SUM(C17:C20)</f>
        <v>684929.32333333348</v>
      </c>
      <c r="D21" s="182"/>
      <c r="E21" s="242"/>
      <c r="F21" s="341">
        <f>SUM(F17:F20)</f>
        <v>201853.22863466671</v>
      </c>
      <c r="G21" s="84"/>
      <c r="H21" s="341">
        <f>SUM(H17:H20)</f>
        <v>684929.32333333336</v>
      </c>
      <c r="I21" s="86"/>
      <c r="J21" s="242"/>
      <c r="K21" s="341">
        <f>SUM(K17:K20)</f>
        <v>201853.22863466665</v>
      </c>
    </row>
    <row r="22" spans="1:11">
      <c r="A22" s="242">
        <v>7</v>
      </c>
      <c r="C22" s="96"/>
      <c r="F22" s="63"/>
      <c r="G22" s="84"/>
      <c r="H22" s="96"/>
      <c r="I22" s="86"/>
      <c r="K22" s="63"/>
    </row>
    <row r="23" spans="1:11">
      <c r="A23" s="242">
        <v>8</v>
      </c>
      <c r="B23" s="66" t="s">
        <v>525</v>
      </c>
      <c r="C23" s="86"/>
      <c r="D23" s="242"/>
      <c r="E23" s="242"/>
      <c r="F23" s="63"/>
      <c r="G23" s="84"/>
      <c r="H23" s="86"/>
      <c r="I23" s="86"/>
      <c r="J23" s="242"/>
      <c r="K23" s="63"/>
    </row>
    <row r="24" spans="1:11">
      <c r="A24" s="242">
        <v>9</v>
      </c>
      <c r="B24" s="321" t="s">
        <v>1181</v>
      </c>
      <c r="C24" s="341">
        <f>'WP B.4.1F'!O34</f>
        <v>-4156777.4433354605</v>
      </c>
      <c r="D24" s="346">
        <f t="shared" ref="D24:E27" si="1">D17</f>
        <v>1</v>
      </c>
      <c r="E24" s="346">
        <f t="shared" si="1"/>
        <v>1</v>
      </c>
      <c r="F24" s="352">
        <f>C24*D24*E24</f>
        <v>-4156777.4433354605</v>
      </c>
      <c r="G24" s="84"/>
      <c r="H24" s="341">
        <f>'WP B.4.1F'!P34</f>
        <v>8259601.0594371371</v>
      </c>
      <c r="I24" s="346">
        <f t="shared" ref="I24:J27" si="2">I17</f>
        <v>1</v>
      </c>
      <c r="J24" s="346">
        <f t="shared" si="2"/>
        <v>1</v>
      </c>
      <c r="K24" s="352">
        <f>H24*I24*J24</f>
        <v>8259601.0594371371</v>
      </c>
    </row>
    <row r="25" spans="1:11">
      <c r="A25" s="242">
        <v>10</v>
      </c>
      <c r="B25" s="321" t="s">
        <v>1182</v>
      </c>
      <c r="C25" s="350">
        <f>'WP B.4.1F'!O36</f>
        <v>0</v>
      </c>
      <c r="D25" s="346">
        <f t="shared" si="1"/>
        <v>1</v>
      </c>
      <c r="E25" s="70">
        <f t="shared" si="1"/>
        <v>0.49440000000000001</v>
      </c>
      <c r="F25" s="353">
        <f>C25*D25*E25</f>
        <v>0</v>
      </c>
      <c r="G25" s="84"/>
      <c r="H25" s="350">
        <f>'WP B.4.1F'!P36</f>
        <v>0</v>
      </c>
      <c r="I25" s="346">
        <f t="shared" si="2"/>
        <v>1</v>
      </c>
      <c r="J25" s="70">
        <f t="shared" si="2"/>
        <v>0.49440000000000001</v>
      </c>
      <c r="K25" s="353">
        <f>H25*I25*J25</f>
        <v>0</v>
      </c>
    </row>
    <row r="26" spans="1:11">
      <c r="A26" s="242">
        <v>11</v>
      </c>
      <c r="B26" s="321" t="s">
        <v>1183</v>
      </c>
      <c r="C26" s="350">
        <f>'WP B.4.1F'!O38</f>
        <v>0</v>
      </c>
      <c r="D26" s="70">
        <f t="shared" si="1"/>
        <v>9.8900000000000002E-2</v>
      </c>
      <c r="E26" s="70">
        <f t="shared" si="1"/>
        <v>0.49440000000000001</v>
      </c>
      <c r="F26" s="353">
        <f>C26*D26*E26</f>
        <v>0</v>
      </c>
      <c r="G26" s="84"/>
      <c r="H26" s="350">
        <f>'WP B.4.1F'!P38</f>
        <v>0</v>
      </c>
      <c r="I26" s="70">
        <f t="shared" si="2"/>
        <v>9.8900000000000002E-2</v>
      </c>
      <c r="J26" s="70">
        <f t="shared" si="2"/>
        <v>0.49440000000000001</v>
      </c>
      <c r="K26" s="353">
        <f>H26*I26*J26</f>
        <v>0</v>
      </c>
    </row>
    <row r="27" spans="1:11">
      <c r="A27" s="242">
        <v>12</v>
      </c>
      <c r="B27" s="321" t="s">
        <v>1184</v>
      </c>
      <c r="C27" s="351">
        <f>'WP B.4.1F'!O40</f>
        <v>0</v>
      </c>
      <c r="D27" s="70">
        <f t="shared" si="1"/>
        <v>0.10929999999999999</v>
      </c>
      <c r="E27" s="70">
        <f t="shared" si="1"/>
        <v>0.51883860656465508</v>
      </c>
      <c r="F27" s="356">
        <f>C27*D27*E27</f>
        <v>0</v>
      </c>
      <c r="G27" s="84"/>
      <c r="H27" s="351">
        <f>'WP B.4.1F'!P40</f>
        <v>0</v>
      </c>
      <c r="I27" s="70">
        <f t="shared" si="2"/>
        <v>0.10929999999999999</v>
      </c>
      <c r="J27" s="70">
        <f t="shared" si="2"/>
        <v>0.51883860656465508</v>
      </c>
      <c r="K27" s="356">
        <f>H27*I27*J27</f>
        <v>0</v>
      </c>
    </row>
    <row r="28" spans="1:11">
      <c r="A28" s="242">
        <v>13</v>
      </c>
      <c r="B28" s="289" t="s">
        <v>97</v>
      </c>
      <c r="C28" s="341">
        <f>SUM(C24:C27)</f>
        <v>-4156777.4433354605</v>
      </c>
      <c r="D28" s="242"/>
      <c r="E28" s="242"/>
      <c r="F28" s="341">
        <f>SUM(F24:F27)</f>
        <v>-4156777.4433354605</v>
      </c>
      <c r="G28" s="84"/>
      <c r="H28" s="341">
        <f>SUM(H24:H27)</f>
        <v>8259601.0594371371</v>
      </c>
      <c r="I28" s="86"/>
      <c r="J28" s="242"/>
      <c r="K28" s="341">
        <f>SUM(K24:K27)</f>
        <v>8259601.0594371371</v>
      </c>
    </row>
    <row r="29" spans="1:11">
      <c r="A29" s="242">
        <v>14</v>
      </c>
      <c r="B29" s="289"/>
      <c r="C29" s="107"/>
      <c r="D29" s="244"/>
      <c r="E29" s="244"/>
      <c r="F29" s="84"/>
      <c r="G29" s="84"/>
      <c r="H29" s="107"/>
      <c r="I29" s="87"/>
      <c r="J29" s="243"/>
      <c r="K29" s="63"/>
    </row>
    <row r="30" spans="1:11">
      <c r="A30" s="242">
        <v>15</v>
      </c>
      <c r="B30" s="66" t="s">
        <v>526</v>
      </c>
      <c r="C30" s="87"/>
      <c r="D30" s="242"/>
      <c r="E30" s="242"/>
      <c r="F30" s="84"/>
      <c r="G30" s="84"/>
      <c r="H30" s="87"/>
      <c r="I30" s="87"/>
      <c r="J30" s="242"/>
      <c r="K30" s="84"/>
    </row>
    <row r="31" spans="1:11">
      <c r="A31" s="242">
        <v>16</v>
      </c>
      <c r="B31" s="321" t="s">
        <v>1181</v>
      </c>
      <c r="C31" s="341">
        <f>'WP B.4.1F'!O44</f>
        <v>68932.791666666657</v>
      </c>
      <c r="D31" s="346">
        <f t="shared" ref="D31:E34" si="3">D17</f>
        <v>1</v>
      </c>
      <c r="E31" s="346">
        <f t="shared" si="3"/>
        <v>1</v>
      </c>
      <c r="F31" s="352">
        <f>C31*D31*E31</f>
        <v>68932.791666666657</v>
      </c>
      <c r="G31" s="84"/>
      <c r="H31" s="341">
        <f>'WP B.4.1F'!P44</f>
        <v>68932.791666666642</v>
      </c>
      <c r="I31" s="346">
        <f t="shared" ref="I31:J34" si="4">I17</f>
        <v>1</v>
      </c>
      <c r="J31" s="346">
        <f t="shared" si="4"/>
        <v>1</v>
      </c>
      <c r="K31" s="352">
        <f>H31*I31*J31</f>
        <v>68932.791666666642</v>
      </c>
    </row>
    <row r="32" spans="1:11">
      <c r="A32" s="242">
        <v>17</v>
      </c>
      <c r="B32" s="321" t="s">
        <v>1182</v>
      </c>
      <c r="C32" s="354">
        <f>'WP B.4.1F'!O46</f>
        <v>16870.152857142857</v>
      </c>
      <c r="D32" s="346">
        <f t="shared" si="3"/>
        <v>1</v>
      </c>
      <c r="E32" s="70">
        <f t="shared" si="3"/>
        <v>0.49440000000000001</v>
      </c>
      <c r="F32" s="353">
        <f>C32*D32*E32</f>
        <v>8340.6035725714282</v>
      </c>
      <c r="G32" s="84"/>
      <c r="H32" s="354">
        <f>'WP B.4.1F'!P46</f>
        <v>4688.2317582417591</v>
      </c>
      <c r="I32" s="346">
        <f t="shared" si="4"/>
        <v>1</v>
      </c>
      <c r="J32" s="70">
        <f t="shared" si="4"/>
        <v>0.49440000000000001</v>
      </c>
      <c r="K32" s="353">
        <f>H32*I32*J32</f>
        <v>2317.8617812747257</v>
      </c>
    </row>
    <row r="33" spans="1:11">
      <c r="A33" s="242">
        <v>18</v>
      </c>
      <c r="B33" s="321" t="s">
        <v>1183</v>
      </c>
      <c r="C33" s="354">
        <f>'WP B.4.1F'!O48</f>
        <v>30135178.864999995</v>
      </c>
      <c r="D33" s="70">
        <f t="shared" si="3"/>
        <v>9.8900000000000002E-2</v>
      </c>
      <c r="E33" s="70">
        <f t="shared" si="3"/>
        <v>0.49440000000000001</v>
      </c>
      <c r="F33" s="353">
        <f>C33*D33*E33</f>
        <v>1473494.5274116581</v>
      </c>
      <c r="G33" s="84"/>
      <c r="H33" s="354">
        <f>'WP B.4.1F'!P48</f>
        <v>30135178.865000006</v>
      </c>
      <c r="I33" s="70">
        <f t="shared" si="4"/>
        <v>9.8900000000000002E-2</v>
      </c>
      <c r="J33" s="70">
        <f t="shared" si="4"/>
        <v>0.49440000000000001</v>
      </c>
      <c r="K33" s="353">
        <f>H33*I33*J33</f>
        <v>1473494.5274116585</v>
      </c>
    </row>
    <row r="34" spans="1:11">
      <c r="A34" s="242">
        <v>19</v>
      </c>
      <c r="B34" s="321" t="s">
        <v>1184</v>
      </c>
      <c r="C34" s="355">
        <f>'WP B.4.1F'!O50</f>
        <v>1610328.41</v>
      </c>
      <c r="D34" s="70">
        <f t="shared" si="3"/>
        <v>0.10929999999999999</v>
      </c>
      <c r="E34" s="70">
        <f t="shared" si="3"/>
        <v>0.51883860656465508</v>
      </c>
      <c r="F34" s="356">
        <f>C34*D34*E34</f>
        <v>91320.209935297302</v>
      </c>
      <c r="G34" s="84"/>
      <c r="H34" s="355">
        <f>'WP B.4.1F'!P50</f>
        <v>1610328.41</v>
      </c>
      <c r="I34" s="70">
        <f t="shared" si="4"/>
        <v>0.10929999999999999</v>
      </c>
      <c r="J34" s="70">
        <f t="shared" si="4"/>
        <v>0.51883860656465508</v>
      </c>
      <c r="K34" s="356">
        <f>H34*I34*J34</f>
        <v>91320.209935297302</v>
      </c>
    </row>
    <row r="35" spans="1:11">
      <c r="A35" s="242">
        <v>20</v>
      </c>
      <c r="B35" s="289" t="s">
        <v>97</v>
      </c>
      <c r="C35" s="341">
        <f>SUM(C31:C34)</f>
        <v>31831310.219523806</v>
      </c>
      <c r="D35" s="242"/>
      <c r="E35" s="242"/>
      <c r="F35" s="341">
        <f>SUM(F31:F34)</f>
        <v>1642088.1325861935</v>
      </c>
      <c r="G35" s="84"/>
      <c r="H35" s="341">
        <f>SUM(H31:H34)</f>
        <v>31819128.298424914</v>
      </c>
      <c r="I35" s="86"/>
      <c r="J35" s="242"/>
      <c r="K35" s="341">
        <f>SUM(K31:K34)</f>
        <v>1636065.3907948972</v>
      </c>
    </row>
    <row r="36" spans="1:11">
      <c r="A36" s="242">
        <v>21</v>
      </c>
      <c r="B36" s="289"/>
      <c r="D36" s="245"/>
      <c r="E36" s="245"/>
      <c r="F36" s="63"/>
      <c r="G36" s="84"/>
      <c r="H36" s="63"/>
      <c r="I36" s="63"/>
      <c r="K36" s="63"/>
    </row>
    <row r="37" spans="1:11" ht="15.75" thickBot="1">
      <c r="A37" s="242">
        <v>22</v>
      </c>
      <c r="B37" s="66" t="s">
        <v>494</v>
      </c>
      <c r="C37" s="348">
        <f>C35+C28+C21</f>
        <v>28359462.099521678</v>
      </c>
      <c r="F37" s="348">
        <f>F35+F28+F21</f>
        <v>-2312836.0821146006</v>
      </c>
      <c r="G37" s="84"/>
      <c r="H37" s="348">
        <f>H35+H28+H21</f>
        <v>40763658.681195386</v>
      </c>
      <c r="I37" s="84"/>
      <c r="K37" s="348">
        <f>K21+K28+K35</f>
        <v>10097519.678866701</v>
      </c>
    </row>
    <row r="38" spans="1:11" ht="15.75" thickTop="1">
      <c r="D38" s="245"/>
      <c r="E38" s="245"/>
      <c r="F38" s="63"/>
      <c r="G38" s="84"/>
      <c r="H38" s="63"/>
      <c r="I38" s="63"/>
    </row>
    <row r="39" spans="1:11">
      <c r="A39" s="242"/>
      <c r="F39" s="63"/>
      <c r="G39" s="84"/>
      <c r="H39" s="63"/>
      <c r="I39" s="63"/>
    </row>
    <row r="40" spans="1:11">
      <c r="D40" s="245"/>
      <c r="E40" s="245"/>
      <c r="F40" s="63"/>
      <c r="G40" s="84"/>
    </row>
    <row r="41" spans="1:11">
      <c r="C41" s="63"/>
      <c r="F41" s="63"/>
      <c r="G41" s="84"/>
    </row>
    <row r="42" spans="1:11">
      <c r="D42" s="245"/>
      <c r="E42" s="245"/>
      <c r="F42" s="63"/>
      <c r="G42" s="84"/>
    </row>
    <row r="43" spans="1:11">
      <c r="F43" s="63"/>
      <c r="G43" s="84"/>
    </row>
    <row r="44" spans="1:11">
      <c r="D44" s="245"/>
      <c r="E44" s="245"/>
      <c r="F44" s="63"/>
      <c r="G44" s="84"/>
    </row>
    <row r="45" spans="1:11">
      <c r="F45" s="63"/>
      <c r="G45" s="84"/>
    </row>
    <row r="46" spans="1:11">
      <c r="D46" s="245"/>
      <c r="E46" s="245"/>
      <c r="F46" s="63"/>
      <c r="G46" s="84"/>
    </row>
    <row r="47" spans="1:11">
      <c r="F47" s="63"/>
      <c r="G47" s="84"/>
    </row>
  </sheetData>
  <mergeCells count="6">
    <mergeCell ref="C10:F10"/>
    <mergeCell ref="H10:K10"/>
    <mergeCell ref="A1:K1"/>
    <mergeCell ref="A2:K2"/>
    <mergeCell ref="A3:K3"/>
    <mergeCell ref="A4:K4"/>
  </mergeCells>
  <phoneticPr fontId="22" type="noConversion"/>
  <pageMargins left="0.56999999999999995" right="0.59" top="0.8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41"/>
  <sheetViews>
    <sheetView view="pageBreakPreview" zoomScale="60" zoomScaleNormal="90" workbookViewId="0">
      <selection activeCell="D30" sqref="D30"/>
    </sheetView>
  </sheetViews>
  <sheetFormatPr defaultColWidth="8.44140625" defaultRowHeight="15"/>
  <cols>
    <col min="1" max="1" width="6.6640625" style="40" customWidth="1"/>
    <col min="2" max="2" width="34.109375" style="40" customWidth="1"/>
    <col min="3" max="3" width="3.88671875" style="40" customWidth="1"/>
    <col min="4" max="4" width="13.109375" style="40" customWidth="1"/>
    <col min="5" max="5" width="4.33203125" style="40" customWidth="1"/>
    <col min="6" max="6" width="14.44140625" style="40" customWidth="1"/>
    <col min="7" max="7" width="3.88671875" style="40" customWidth="1"/>
    <col min="8" max="8" width="13.109375" style="40" customWidth="1"/>
    <col min="9" max="9" width="6.6640625" style="40" customWidth="1"/>
    <col min="10" max="10" width="7.5546875" style="40" customWidth="1"/>
    <col min="11" max="11" width="3.33203125" style="40" customWidth="1"/>
    <col min="12" max="12" width="11.88671875" style="40" customWidth="1"/>
    <col min="13" max="13" width="3.33203125" style="40" customWidth="1"/>
    <col min="14" max="14" width="14.44140625" style="40" customWidth="1"/>
    <col min="15" max="16384" width="8.44140625" style="40"/>
  </cols>
  <sheetData>
    <row r="1" spans="1:11" s="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 s="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 s="1" customFormat="1">
      <c r="A3" s="1172" t="s">
        <v>1175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B'!A4</f>
        <v>as of December 31, 2017</v>
      </c>
      <c r="B4" s="1172"/>
      <c r="C4" s="1172"/>
      <c r="D4" s="1172"/>
      <c r="E4" s="1172"/>
      <c r="F4" s="1172"/>
      <c r="G4" s="1172"/>
      <c r="H4" s="1172"/>
    </row>
    <row r="7" spans="1:11">
      <c r="A7" s="181" t="str">
        <f>'B.1 B'!A6</f>
        <v>Data:__X___Base Period______Forecasted Period</v>
      </c>
      <c r="H7" s="512" t="s">
        <v>1449</v>
      </c>
    </row>
    <row r="8" spans="1:11">
      <c r="A8" s="181" t="str">
        <f>'B.1 B'!A7</f>
        <v>Type of Filing:___X____Original________Updated ________Revised</v>
      </c>
      <c r="B8" s="4"/>
      <c r="H8" s="680" t="s">
        <v>712</v>
      </c>
    </row>
    <row r="9" spans="1:11">
      <c r="A9" s="194" t="str">
        <f>'B.1 B'!A8</f>
        <v>Workpaper Reference No(s).</v>
      </c>
      <c r="B9" s="191"/>
      <c r="C9" s="191"/>
      <c r="D9" s="191"/>
      <c r="E9" s="191"/>
      <c r="F9" s="191"/>
      <c r="G9" s="191"/>
      <c r="H9" s="681" t="str">
        <f>'B.1 B'!F8</f>
        <v>Witness:   Waller</v>
      </c>
      <c r="I9" s="192"/>
    </row>
    <row r="10" spans="1:11">
      <c r="A10" s="189" t="s">
        <v>94</v>
      </c>
      <c r="D10" s="189" t="s">
        <v>493</v>
      </c>
      <c r="F10" s="189" t="s">
        <v>32</v>
      </c>
      <c r="H10" s="189" t="s">
        <v>98</v>
      </c>
      <c r="I10" s="192"/>
    </row>
    <row r="11" spans="1:11">
      <c r="A11" s="229" t="s">
        <v>100</v>
      </c>
      <c r="B11" s="229" t="s">
        <v>993</v>
      </c>
      <c r="C11" s="191"/>
      <c r="D11" s="229" t="s">
        <v>103</v>
      </c>
      <c r="E11" s="191"/>
      <c r="F11" s="229" t="s">
        <v>104</v>
      </c>
      <c r="G11" s="191"/>
      <c r="H11" s="229" t="s">
        <v>105</v>
      </c>
      <c r="I11" s="192"/>
    </row>
    <row r="12" spans="1:11">
      <c r="D12" s="189" t="s">
        <v>1101</v>
      </c>
      <c r="F12" s="189" t="s">
        <v>1102</v>
      </c>
      <c r="H12" s="189" t="s">
        <v>1103</v>
      </c>
      <c r="I12" s="192"/>
    </row>
    <row r="14" spans="1:11">
      <c r="A14" s="78">
        <v>1</v>
      </c>
      <c r="B14" s="181" t="s">
        <v>791</v>
      </c>
      <c r="D14" s="188"/>
      <c r="F14" s="301"/>
      <c r="H14" s="188"/>
      <c r="K14" s="188"/>
    </row>
    <row r="15" spans="1:11">
      <c r="A15" s="78"/>
      <c r="E15" s="188"/>
      <c r="F15" s="228"/>
      <c r="G15" s="188"/>
      <c r="H15" s="188"/>
      <c r="I15" s="188"/>
      <c r="K15" s="188"/>
    </row>
    <row r="16" spans="1:11">
      <c r="A16" s="78">
        <f>1+A14</f>
        <v>2</v>
      </c>
      <c r="B16" s="246" t="str">
        <f>+C.2!C18</f>
        <v>Production O&amp;M Expense</v>
      </c>
      <c r="D16" s="477">
        <f>+C.2!D18</f>
        <v>0</v>
      </c>
      <c r="F16" s="189" t="s">
        <v>1105</v>
      </c>
      <c r="H16" s="477">
        <f>(D16*0.125)</f>
        <v>0</v>
      </c>
      <c r="K16" s="188"/>
    </row>
    <row r="17" spans="1:11">
      <c r="A17" s="78"/>
      <c r="B17" s="247"/>
      <c r="K17" s="188"/>
    </row>
    <row r="18" spans="1:11">
      <c r="A18" s="78">
        <f>1+A16</f>
        <v>3</v>
      </c>
      <c r="B18" s="246" t="str">
        <f>+C.2!C19</f>
        <v>Storage O&amp;M Expense</v>
      </c>
      <c r="D18" s="188">
        <f>+C.2!D19</f>
        <v>402608.75718359562</v>
      </c>
      <c r="E18" s="188"/>
      <c r="F18" s="189" t="s">
        <v>1105</v>
      </c>
      <c r="G18" s="188"/>
      <c r="H18" s="188">
        <f>(D18*0.125)</f>
        <v>50326.094647949452</v>
      </c>
      <c r="I18" s="188"/>
      <c r="K18" s="188"/>
    </row>
    <row r="19" spans="1:11">
      <c r="A19" s="78"/>
      <c r="B19" s="247"/>
      <c r="E19" s="188"/>
      <c r="H19" s="188"/>
      <c r="I19" s="188"/>
      <c r="K19" s="188"/>
    </row>
    <row r="20" spans="1:11">
      <c r="A20" s="78">
        <f>1+A18</f>
        <v>4</v>
      </c>
      <c r="B20" s="246" t="str">
        <f>+C.2!C20</f>
        <v>Transmission O&amp;M Expense</v>
      </c>
      <c r="D20" s="188">
        <f>+C.2!D20</f>
        <v>267885.1416324373</v>
      </c>
      <c r="E20" s="188"/>
      <c r="F20" s="189" t="s">
        <v>1105</v>
      </c>
      <c r="G20" s="188"/>
      <c r="H20" s="188">
        <f>(D20*0.125)</f>
        <v>33485.642704054662</v>
      </c>
      <c r="K20" s="188"/>
    </row>
    <row r="21" spans="1:11">
      <c r="A21" s="78"/>
      <c r="B21" s="247"/>
      <c r="E21" s="188"/>
      <c r="F21" s="228"/>
      <c r="G21" s="188"/>
      <c r="H21" s="188"/>
      <c r="I21" s="188"/>
      <c r="K21" s="188"/>
    </row>
    <row r="22" spans="1:11">
      <c r="A22" s="78">
        <f>1+A20</f>
        <v>5</v>
      </c>
      <c r="B22" s="246" t="str">
        <f>+C.2!C21</f>
        <v>Distribution O&amp;M Expense</v>
      </c>
      <c r="D22" s="188">
        <f>+C.2!D21</f>
        <v>6643817.962154286</v>
      </c>
      <c r="E22" s="188"/>
      <c r="F22" s="189" t="s">
        <v>1105</v>
      </c>
      <c r="G22" s="188"/>
      <c r="H22" s="188">
        <f>(D22*0.125)</f>
        <v>830477.24526928575</v>
      </c>
      <c r="I22" s="188"/>
      <c r="K22" s="188"/>
    </row>
    <row r="23" spans="1:11">
      <c r="A23" s="78"/>
      <c r="B23" s="247"/>
      <c r="E23" s="188"/>
      <c r="F23" s="228"/>
      <c r="G23" s="188"/>
      <c r="H23" s="188"/>
      <c r="I23" s="188"/>
      <c r="K23" s="188"/>
    </row>
    <row r="24" spans="1:11">
      <c r="A24" s="78">
        <f>1+A22</f>
        <v>6</v>
      </c>
      <c r="B24" s="247" t="str">
        <f>+C.2!C22</f>
        <v>Customer Accting. &amp; Collection</v>
      </c>
      <c r="D24" s="40">
        <f>+C.2!D22</f>
        <v>3218090.9482542495</v>
      </c>
      <c r="E24" s="188"/>
      <c r="F24" s="189" t="s">
        <v>1105</v>
      </c>
      <c r="G24" s="188"/>
      <c r="H24" s="188">
        <f>(D24*0.125)</f>
        <v>402261.36853178119</v>
      </c>
      <c r="I24" s="188"/>
      <c r="K24" s="188"/>
    </row>
    <row r="25" spans="1:11">
      <c r="A25" s="78"/>
      <c r="B25" s="247"/>
      <c r="E25" s="188"/>
      <c r="F25" s="228"/>
      <c r="G25" s="188"/>
      <c r="H25" s="188"/>
      <c r="I25" s="188"/>
      <c r="K25" s="188"/>
    </row>
    <row r="26" spans="1:11">
      <c r="A26" s="78">
        <f>1+A24</f>
        <v>7</v>
      </c>
      <c r="B26" s="246" t="str">
        <f>+C.2!C23</f>
        <v>Customer Service &amp; Information</v>
      </c>
      <c r="D26" s="188">
        <f>+C.2!D23</f>
        <v>134412.29365729415</v>
      </c>
      <c r="E26" s="188"/>
      <c r="F26" s="189" t="s">
        <v>1105</v>
      </c>
      <c r="G26" s="188"/>
      <c r="H26" s="188">
        <f>(D26*0.125)</f>
        <v>16801.536707161769</v>
      </c>
      <c r="I26" s="188"/>
      <c r="K26" s="188"/>
    </row>
    <row r="27" spans="1:11">
      <c r="A27" s="78"/>
      <c r="B27" s="247"/>
      <c r="D27" s="188"/>
      <c r="E27" s="188"/>
      <c r="F27" s="228"/>
      <c r="G27" s="188"/>
      <c r="H27" s="188"/>
      <c r="I27" s="188"/>
      <c r="K27" s="188"/>
    </row>
    <row r="28" spans="1:11">
      <c r="A28" s="78">
        <f>1+A26</f>
        <v>8</v>
      </c>
      <c r="B28" s="246" t="str">
        <f>+C.2!C24</f>
        <v>Sales Expense</v>
      </c>
      <c r="D28" s="188">
        <f>+C.2!D24</f>
        <v>410952.66041130282</v>
      </c>
      <c r="E28" s="188"/>
      <c r="F28" s="189" t="s">
        <v>1105</v>
      </c>
      <c r="G28" s="188"/>
      <c r="H28" s="188">
        <f>(D28*0.125)</f>
        <v>51369.082551412852</v>
      </c>
      <c r="I28" s="188"/>
      <c r="K28" s="188"/>
    </row>
    <row r="29" spans="1:11">
      <c r="A29" s="78"/>
      <c r="B29" s="247"/>
      <c r="D29" s="188"/>
      <c r="E29" s="188"/>
      <c r="F29" s="228"/>
      <c r="G29" s="188"/>
      <c r="H29" s="188"/>
      <c r="I29" s="188"/>
      <c r="K29" s="188"/>
    </row>
    <row r="30" spans="1:11">
      <c r="A30" s="78">
        <f>1+A28</f>
        <v>9</v>
      </c>
      <c r="B30" s="246" t="str">
        <f>+C.2!C25</f>
        <v>Admin. &amp; General Expense</v>
      </c>
      <c r="D30" s="193">
        <f>+C.2!D25</f>
        <v>15640621.675101224</v>
      </c>
      <c r="E30" s="188"/>
      <c r="F30" s="189" t="s">
        <v>1105</v>
      </c>
      <c r="G30" s="188"/>
      <c r="H30" s="193">
        <f>(D30*0.125)</f>
        <v>1955077.709387653</v>
      </c>
      <c r="I30" s="188"/>
      <c r="K30" s="188"/>
    </row>
    <row r="31" spans="1:11">
      <c r="A31" s="78"/>
      <c r="D31" s="188"/>
      <c r="E31" s="188"/>
      <c r="F31" s="228"/>
      <c r="G31" s="188"/>
      <c r="H31" s="188"/>
      <c r="I31" s="188"/>
      <c r="K31" s="188"/>
    </row>
    <row r="32" spans="1:11" ht="15.75" thickBot="1">
      <c r="A32" s="78">
        <f>1+A30</f>
        <v>10</v>
      </c>
      <c r="B32" s="181" t="s">
        <v>135</v>
      </c>
      <c r="C32" s="196"/>
      <c r="D32" s="478">
        <f>SUM(D16:D30)</f>
        <v>26718389.43839439</v>
      </c>
      <c r="E32" s="188"/>
      <c r="G32" s="196"/>
      <c r="H32" s="478">
        <f>+D32*0.125</f>
        <v>3339798.6797992988</v>
      </c>
      <c r="I32" s="188"/>
      <c r="J32" s="40">
        <f>SUM(H16:H30)-H32</f>
        <v>0</v>
      </c>
      <c r="K32" s="188"/>
    </row>
    <row r="33" spans="2:11" ht="15.75" thickTop="1">
      <c r="E33" s="188"/>
      <c r="F33" s="228"/>
      <c r="G33" s="188"/>
      <c r="H33" s="188"/>
      <c r="I33" s="188"/>
      <c r="K33" s="188"/>
    </row>
    <row r="34" spans="2:11">
      <c r="E34" s="188"/>
      <c r="G34" s="188"/>
      <c r="H34" s="188"/>
      <c r="I34" s="188"/>
    </row>
    <row r="35" spans="2:11">
      <c r="B35" s="181"/>
      <c r="G35" s="188"/>
      <c r="H35" s="188"/>
      <c r="I35" s="188"/>
    </row>
    <row r="36" spans="2:11">
      <c r="B36" s="181"/>
      <c r="G36" s="188"/>
      <c r="H36" s="188"/>
      <c r="I36" s="188"/>
    </row>
    <row r="37" spans="2:11">
      <c r="B37" s="181"/>
      <c r="G37" s="188"/>
      <c r="H37" s="188"/>
      <c r="I37" s="188"/>
    </row>
    <row r="38" spans="2:11">
      <c r="G38" s="188"/>
      <c r="H38" s="188"/>
      <c r="I38" s="188"/>
    </row>
    <row r="39" spans="2:11">
      <c r="G39" s="188"/>
      <c r="H39" s="188"/>
      <c r="I39" s="188"/>
    </row>
    <row r="40" spans="2:11">
      <c r="G40" s="188"/>
      <c r="H40" s="188"/>
      <c r="I40" s="188"/>
    </row>
    <row r="41" spans="2:11">
      <c r="G41" s="188"/>
      <c r="H41" s="188"/>
      <c r="I41" s="188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3" bottom="1.02" header="0.5" footer="0.5"/>
  <pageSetup scale="94" orientation="landscape" verticalDpi="300" r:id="rId1"/>
  <headerFooter alignWithMargins="0">
    <oddFooter>&amp;RSchedule &amp;A
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pageSetUpPr fitToPage="1"/>
  </sheetPr>
  <dimension ref="A1:K46"/>
  <sheetViews>
    <sheetView view="pageBreakPreview" zoomScale="70" zoomScaleNormal="90" zoomScaleSheetLayoutView="70" workbookViewId="0">
      <selection activeCell="D24" sqref="D24"/>
    </sheetView>
  </sheetViews>
  <sheetFormatPr defaultColWidth="8.44140625" defaultRowHeight="15"/>
  <cols>
    <col min="1" max="1" width="6.6640625" style="1" customWidth="1"/>
    <col min="2" max="2" width="34.109375" style="1" customWidth="1"/>
    <col min="3" max="3" width="4.44140625" style="1" customWidth="1"/>
    <col min="4" max="4" width="12.6640625" style="1" customWidth="1"/>
    <col min="5" max="5" width="4.6640625" style="1" customWidth="1"/>
    <col min="6" max="6" width="13.5546875" style="1" customWidth="1"/>
    <col min="7" max="7" width="3.21875" style="1" customWidth="1"/>
    <col min="8" max="8" width="14.44140625" style="1" customWidth="1"/>
    <col min="9" max="9" width="6.6640625" style="1" customWidth="1"/>
    <col min="10" max="10" width="7.5546875" style="1" customWidth="1"/>
    <col min="11" max="11" width="3.33203125" style="1" customWidth="1"/>
    <col min="12" max="12" width="11.88671875" style="1" customWidth="1"/>
    <col min="13" max="13" width="3.33203125" style="1" customWidth="1"/>
    <col min="14" max="14" width="14.44140625" style="1" customWidth="1"/>
    <col min="15" max="16384" width="8.44140625" style="1"/>
  </cols>
  <sheetData>
    <row r="1" spans="1:1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</row>
    <row r="2" spans="1:1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</row>
    <row r="3" spans="1:11">
      <c r="A3" s="1172" t="s">
        <v>1175</v>
      </c>
      <c r="B3" s="1172"/>
      <c r="C3" s="1172"/>
      <c r="D3" s="1172"/>
      <c r="E3" s="1172"/>
      <c r="F3" s="1172"/>
      <c r="G3" s="1172"/>
      <c r="H3" s="1172"/>
    </row>
    <row r="4" spans="1:11">
      <c r="A4" s="1172" t="str">
        <f>'B.1 F '!A4</f>
        <v>as of March 31, 2019</v>
      </c>
      <c r="B4" s="1172"/>
      <c r="C4" s="1172"/>
      <c r="D4" s="1172"/>
      <c r="E4" s="1172"/>
      <c r="F4" s="1172"/>
      <c r="G4" s="1172"/>
      <c r="H4" s="1172"/>
    </row>
    <row r="5" spans="1:11">
      <c r="A5" s="169"/>
      <c r="B5" s="169"/>
      <c r="C5" s="169"/>
      <c r="D5" s="169"/>
      <c r="E5" s="169"/>
      <c r="F5" s="169"/>
      <c r="G5" s="169"/>
      <c r="H5" s="169"/>
    </row>
    <row r="7" spans="1:11">
      <c r="A7" s="4" t="str">
        <f>'B.1 F '!A6</f>
        <v>Data:______Base Period__X___Forecasted Period</v>
      </c>
      <c r="H7" s="377" t="s">
        <v>1449</v>
      </c>
    </row>
    <row r="8" spans="1:11">
      <c r="A8" s="4" t="str">
        <f>'B.1 F '!A7</f>
        <v>Type of Filing:___X____Original________Updated ________Revised</v>
      </c>
      <c r="B8" s="4"/>
      <c r="H8" s="490" t="s">
        <v>713</v>
      </c>
    </row>
    <row r="9" spans="1:11">
      <c r="A9" s="51" t="str">
        <f>'B.1 F '!A8</f>
        <v>Workpaper Reference No(s).</v>
      </c>
      <c r="B9" s="6"/>
      <c r="C9" s="6"/>
      <c r="D9" s="6"/>
      <c r="E9" s="6"/>
      <c r="F9" s="6"/>
      <c r="G9" s="6"/>
      <c r="H9" s="491" t="str">
        <f>'B.1 F '!F8</f>
        <v>Witness:   Waller</v>
      </c>
      <c r="I9" s="35"/>
    </row>
    <row r="10" spans="1:11">
      <c r="A10" s="2" t="s">
        <v>94</v>
      </c>
      <c r="D10" s="2" t="s">
        <v>493</v>
      </c>
      <c r="F10" s="2" t="s">
        <v>32</v>
      </c>
      <c r="H10" s="2" t="s">
        <v>98</v>
      </c>
      <c r="I10" s="35"/>
    </row>
    <row r="11" spans="1:11">
      <c r="A11" s="32" t="s">
        <v>100</v>
      </c>
      <c r="B11" s="32" t="s">
        <v>993</v>
      </c>
      <c r="C11" s="33"/>
      <c r="D11" s="32" t="s">
        <v>103</v>
      </c>
      <c r="E11" s="33"/>
      <c r="F11" s="32" t="s">
        <v>104</v>
      </c>
      <c r="G11" s="33"/>
      <c r="H11" s="32" t="s">
        <v>105</v>
      </c>
      <c r="I11" s="35"/>
    </row>
    <row r="12" spans="1:11">
      <c r="A12" s="34"/>
      <c r="B12" s="34"/>
      <c r="C12" s="35"/>
      <c r="D12" s="34" t="s">
        <v>1101</v>
      </c>
      <c r="E12" s="35"/>
      <c r="F12" s="34" t="s">
        <v>1102</v>
      </c>
      <c r="G12" s="35"/>
      <c r="H12" s="34" t="s">
        <v>1103</v>
      </c>
      <c r="I12" s="35"/>
    </row>
    <row r="13" spans="1:11">
      <c r="I13" s="35"/>
    </row>
    <row r="14" spans="1:11">
      <c r="A14" s="54">
        <v>1</v>
      </c>
      <c r="B14" s="4" t="s">
        <v>791</v>
      </c>
      <c r="D14" s="10"/>
      <c r="H14" s="10"/>
      <c r="I14" s="35"/>
      <c r="K14" s="10"/>
    </row>
    <row r="15" spans="1:11">
      <c r="A15" s="54"/>
      <c r="E15" s="10"/>
      <c r="F15" s="11"/>
      <c r="G15" s="10"/>
      <c r="H15" s="10"/>
      <c r="I15" s="42"/>
      <c r="K15" s="10"/>
    </row>
    <row r="16" spans="1:11">
      <c r="A16" s="54">
        <f>1+A14</f>
        <v>2</v>
      </c>
      <c r="B16" s="165" t="str">
        <f>+C.2!C18</f>
        <v>Production O&amp;M Expense</v>
      </c>
      <c r="D16" s="470">
        <f>+C.2!O18</f>
        <v>0</v>
      </c>
      <c r="F16" s="2" t="s">
        <v>1105</v>
      </c>
      <c r="H16" s="470">
        <f>(D16*0.125)</f>
        <v>0</v>
      </c>
    </row>
    <row r="17" spans="1:11">
      <c r="A17" s="54"/>
      <c r="B17" s="156"/>
    </row>
    <row r="18" spans="1:11">
      <c r="A18" s="54">
        <f>1+A16</f>
        <v>3</v>
      </c>
      <c r="B18" s="165" t="str">
        <f>+C.2!C19</f>
        <v>Storage O&amp;M Expense</v>
      </c>
      <c r="D18" s="10">
        <f>+C.2!O19</f>
        <v>404981.32563764579</v>
      </c>
      <c r="E18" s="10"/>
      <c r="F18" s="2" t="s">
        <v>1105</v>
      </c>
      <c r="G18" s="10"/>
      <c r="H18" s="10">
        <f>(D18*0.125)</f>
        <v>50622.665704705723</v>
      </c>
      <c r="I18" s="10"/>
      <c r="K18" s="10"/>
    </row>
    <row r="19" spans="1:11">
      <c r="A19" s="54"/>
      <c r="B19" s="156"/>
      <c r="E19" s="10"/>
      <c r="H19" s="10"/>
      <c r="I19" s="10"/>
      <c r="K19" s="10"/>
    </row>
    <row r="20" spans="1:11">
      <c r="A20" s="54">
        <f>1+A18</f>
        <v>4</v>
      </c>
      <c r="B20" s="165" t="str">
        <f>+C.2!C20</f>
        <v>Transmission O&amp;M Expense</v>
      </c>
      <c r="D20" s="10">
        <f>+C.2!O20</f>
        <v>270672.87141031638</v>
      </c>
      <c r="E20" s="10"/>
      <c r="F20" s="2" t="s">
        <v>1105</v>
      </c>
      <c r="G20" s="10"/>
      <c r="H20" s="10">
        <f>(D20*0.125)</f>
        <v>33834.108926289548</v>
      </c>
      <c r="K20" s="10"/>
    </row>
    <row r="21" spans="1:11">
      <c r="A21" s="54"/>
      <c r="B21" s="156"/>
      <c r="E21" s="10"/>
      <c r="F21" s="11"/>
      <c r="G21" s="10"/>
      <c r="H21" s="10"/>
      <c r="I21" s="10"/>
      <c r="K21" s="10"/>
    </row>
    <row r="22" spans="1:11">
      <c r="A22" s="54">
        <f>1+A20</f>
        <v>5</v>
      </c>
      <c r="B22" s="165" t="str">
        <f>+C.2!C21</f>
        <v>Distribution O&amp;M Expense</v>
      </c>
      <c r="D22" s="10">
        <f>+C.2!O21</f>
        <v>6775543.622274477</v>
      </c>
      <c r="E22" s="10"/>
      <c r="F22" s="2" t="s">
        <v>1105</v>
      </c>
      <c r="G22" s="10"/>
      <c r="H22" s="10">
        <f>(D22*0.125)</f>
        <v>846942.95278430963</v>
      </c>
      <c r="I22" s="10"/>
      <c r="K22" s="10"/>
    </row>
    <row r="23" spans="1:11">
      <c r="A23" s="54"/>
      <c r="B23" s="156"/>
      <c r="E23" s="10"/>
      <c r="F23" s="11"/>
      <c r="G23" s="10"/>
      <c r="H23" s="10"/>
      <c r="I23" s="10"/>
      <c r="K23" s="10"/>
    </row>
    <row r="24" spans="1:11">
      <c r="A24" s="54">
        <f>1+A22</f>
        <v>6</v>
      </c>
      <c r="B24" s="156" t="str">
        <f>+C.2!C22</f>
        <v>Customer Accting. &amp; Collection</v>
      </c>
      <c r="D24" s="1">
        <f>+C.2!O22</f>
        <v>3376765.8344309572</v>
      </c>
      <c r="E24" s="10"/>
      <c r="F24" s="2" t="s">
        <v>1105</v>
      </c>
      <c r="G24" s="10"/>
      <c r="H24" s="10">
        <f>(D24*0.125)</f>
        <v>422095.72930386965</v>
      </c>
      <c r="I24" s="10"/>
      <c r="K24" s="10"/>
    </row>
    <row r="25" spans="1:11">
      <c r="A25" s="54"/>
      <c r="B25" s="156"/>
      <c r="E25" s="10"/>
      <c r="F25" s="11"/>
      <c r="G25" s="10"/>
      <c r="H25" s="10"/>
      <c r="I25" s="10"/>
      <c r="K25" s="10"/>
    </row>
    <row r="26" spans="1:11">
      <c r="A26" s="54">
        <f>1+A24</f>
        <v>7</v>
      </c>
      <c r="B26" s="165" t="str">
        <f>+C.2!C23</f>
        <v>Customer Service &amp; Information</v>
      </c>
      <c r="D26" s="10">
        <f>+C.2!O23</f>
        <v>133613.60616766004</v>
      </c>
      <c r="E26" s="10"/>
      <c r="F26" s="2" t="s">
        <v>1105</v>
      </c>
      <c r="G26" s="10"/>
      <c r="H26" s="10">
        <f>(D26*0.125)</f>
        <v>16701.700770957505</v>
      </c>
      <c r="I26" s="10"/>
      <c r="K26" s="10"/>
    </row>
    <row r="27" spans="1:11">
      <c r="A27" s="54"/>
      <c r="B27" s="156"/>
      <c r="D27" s="10"/>
      <c r="E27" s="10"/>
      <c r="F27" s="11"/>
      <c r="G27" s="10"/>
      <c r="H27" s="10"/>
      <c r="I27" s="10"/>
      <c r="K27" s="10"/>
    </row>
    <row r="28" spans="1:11">
      <c r="A28" s="54">
        <f>1+A26</f>
        <v>8</v>
      </c>
      <c r="B28" s="165" t="str">
        <f>+C.2!C24</f>
        <v>Sales Expense</v>
      </c>
      <c r="D28" s="10">
        <f>+C.2!O24</f>
        <v>357480.29980170808</v>
      </c>
      <c r="E28" s="10"/>
      <c r="F28" s="2" t="s">
        <v>1105</v>
      </c>
      <c r="G28" s="10"/>
      <c r="H28" s="10">
        <f>(D28*0.125)</f>
        <v>44685.03747521351</v>
      </c>
      <c r="I28" s="10"/>
      <c r="K28" s="10"/>
    </row>
    <row r="29" spans="1:11">
      <c r="A29" s="54"/>
      <c r="B29" s="156"/>
      <c r="D29" s="10"/>
      <c r="E29" s="10"/>
      <c r="F29" s="11"/>
      <c r="G29" s="10"/>
      <c r="H29" s="10"/>
      <c r="I29" s="10"/>
      <c r="K29" s="10"/>
    </row>
    <row r="30" spans="1:11">
      <c r="A30" s="54">
        <f>1+A28</f>
        <v>9</v>
      </c>
      <c r="B30" s="165" t="str">
        <f>+C.2!C25</f>
        <v>Admin. &amp; General Expense</v>
      </c>
      <c r="D30" s="17">
        <f>+C.2!O25</f>
        <v>14477738.227408156</v>
      </c>
      <c r="E30" s="10"/>
      <c r="F30" s="2" t="s">
        <v>1105</v>
      </c>
      <c r="G30" s="10"/>
      <c r="H30" s="17">
        <f>(D30*0.125)</f>
        <v>1809717.2784260195</v>
      </c>
      <c r="I30" s="10"/>
      <c r="K30" s="10"/>
    </row>
    <row r="31" spans="1:11">
      <c r="A31" s="54"/>
      <c r="D31" s="10"/>
      <c r="E31" s="10"/>
      <c r="F31" s="11"/>
      <c r="G31" s="10"/>
      <c r="H31" s="10"/>
      <c r="I31" s="10"/>
      <c r="K31" s="10"/>
    </row>
    <row r="32" spans="1:11" ht="15.75" thickBot="1">
      <c r="A32" s="54">
        <f>1+A30</f>
        <v>10</v>
      </c>
      <c r="B32" s="4" t="s">
        <v>135</v>
      </c>
      <c r="C32" s="81"/>
      <c r="D32" s="309">
        <f>SUM(D16:D30)</f>
        <v>25796795.787130918</v>
      </c>
      <c r="E32" s="10"/>
      <c r="G32" s="81"/>
      <c r="H32" s="309">
        <f>+D32*0.125</f>
        <v>3224599.4733913648</v>
      </c>
      <c r="I32" s="10"/>
      <c r="K32" s="10"/>
    </row>
    <row r="33" spans="1:11" ht="15.75" thickTop="1">
      <c r="E33" s="10"/>
      <c r="F33" s="11"/>
      <c r="G33" s="10"/>
      <c r="H33" s="10"/>
      <c r="I33" s="10"/>
      <c r="K33" s="10"/>
    </row>
    <row r="34" spans="1:11">
      <c r="E34" s="10"/>
      <c r="G34" s="10"/>
      <c r="H34" s="73"/>
      <c r="I34" s="10"/>
      <c r="K34" s="10"/>
    </row>
    <row r="35" spans="1:11">
      <c r="E35" s="10"/>
      <c r="F35" s="11"/>
      <c r="G35" s="10"/>
      <c r="H35" s="10"/>
      <c r="I35" s="10"/>
      <c r="K35" s="10"/>
    </row>
    <row r="36" spans="1:11">
      <c r="E36" s="10"/>
      <c r="G36" s="10"/>
      <c r="H36" s="10"/>
      <c r="I36" s="10"/>
    </row>
    <row r="37" spans="1:11">
      <c r="E37" s="10"/>
      <c r="G37" s="10"/>
      <c r="H37" s="10"/>
      <c r="I37" s="10"/>
      <c r="K37" s="10"/>
    </row>
    <row r="38" spans="1:11">
      <c r="E38" s="10"/>
      <c r="G38" s="10"/>
      <c r="H38" s="40"/>
      <c r="I38" s="10"/>
    </row>
    <row r="39" spans="1:11">
      <c r="A39" s="4"/>
      <c r="B39" s="4"/>
      <c r="G39" s="10"/>
      <c r="H39" s="10"/>
      <c r="I39" s="10"/>
    </row>
    <row r="40" spans="1:11">
      <c r="B40" s="4"/>
      <c r="G40" s="10"/>
      <c r="H40" s="10"/>
      <c r="I40" s="10"/>
    </row>
    <row r="41" spans="1:11">
      <c r="B41" s="4"/>
      <c r="G41" s="10"/>
      <c r="H41" s="10"/>
      <c r="I41" s="10"/>
    </row>
    <row r="42" spans="1:11">
      <c r="B42" s="4"/>
      <c r="G42" s="10"/>
      <c r="H42" s="10"/>
      <c r="I42" s="10"/>
    </row>
    <row r="43" spans="1:11">
      <c r="G43" s="10"/>
      <c r="H43" s="10"/>
      <c r="I43" s="10"/>
    </row>
    <row r="44" spans="1:11">
      <c r="G44" s="10"/>
      <c r="H44" s="10"/>
      <c r="I44" s="10"/>
    </row>
    <row r="45" spans="1:11">
      <c r="G45" s="10"/>
      <c r="H45" s="10"/>
      <c r="I45" s="10"/>
    </row>
    <row r="46" spans="1:11">
      <c r="G46" s="10"/>
      <c r="H46" s="10"/>
      <c r="I46" s="10"/>
    </row>
  </sheetData>
  <mergeCells count="4">
    <mergeCell ref="A1:H1"/>
    <mergeCell ref="A2:H2"/>
    <mergeCell ref="A3:H3"/>
    <mergeCell ref="A4:H4"/>
  </mergeCells>
  <phoneticPr fontId="22" type="noConversion"/>
  <printOptions horizontalCentered="1"/>
  <pageMargins left="0.75" right="0.75" top="0.86" bottom="1.18" header="0.5" footer="0.45"/>
  <pageSetup scale="94" orientation="landscape" verticalDpi="300" r:id="rId1"/>
  <headerFooter alignWithMargins="0">
    <oddFooter>&amp;RSchedule &amp;A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Q70"/>
  <sheetViews>
    <sheetView view="pageBreakPreview" zoomScale="70" zoomScaleNormal="70" zoomScaleSheetLayoutView="70" workbookViewId="0">
      <pane ySplit="11" topLeftCell="A12" activePane="bottomLeft" state="frozen"/>
      <selection activeCell="B6" sqref="B6"/>
      <selection pane="bottomLeft" activeCell="F53" sqref="F53"/>
    </sheetView>
  </sheetViews>
  <sheetFormatPr defaultColWidth="8.44140625" defaultRowHeight="15"/>
  <cols>
    <col min="1" max="1" width="5.77734375" style="1" customWidth="1"/>
    <col min="2" max="2" width="4.21875" style="1" customWidth="1"/>
    <col min="3" max="3" width="49.33203125" style="1" customWidth="1"/>
    <col min="4" max="4" width="13.109375" style="1" customWidth="1"/>
    <col min="5" max="5" width="11.77734375" style="54" bestFit="1" customWidth="1"/>
    <col min="6" max="6" width="11.77734375" style="54" customWidth="1"/>
    <col min="7" max="7" width="14" style="1" customWidth="1"/>
    <col min="8" max="8" width="4.33203125" style="74" customWidth="1"/>
    <col min="9" max="9" width="13.109375" style="1" customWidth="1"/>
    <col min="10" max="11" width="11.88671875" style="54" customWidth="1"/>
    <col min="12" max="12" width="16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 ht="15.75">
      <c r="A6" s="48" t="s">
        <v>795</v>
      </c>
      <c r="B6" s="48"/>
      <c r="C6" s="35"/>
      <c r="D6" s="595"/>
      <c r="L6" s="1" t="s">
        <v>1450</v>
      </c>
    </row>
    <row r="7" spans="1:12">
      <c r="A7" s="48" t="s">
        <v>1131</v>
      </c>
      <c r="B7" s="35"/>
      <c r="C7" s="48"/>
      <c r="L7" s="1" t="s">
        <v>714</v>
      </c>
    </row>
    <row r="8" spans="1:12">
      <c r="A8" s="48" t="s">
        <v>431</v>
      </c>
      <c r="B8" s="35"/>
      <c r="C8" s="35"/>
      <c r="D8" s="35"/>
      <c r="E8" s="222"/>
      <c r="F8" s="222"/>
      <c r="G8" s="35"/>
      <c r="I8" s="35"/>
      <c r="J8" s="222"/>
      <c r="K8" s="222"/>
      <c r="L8" s="35" t="str">
        <f>'B.1 B'!F8</f>
        <v>Witness:   Waller</v>
      </c>
    </row>
    <row r="9" spans="1:12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2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2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C13" s="16" t="s">
        <v>780</v>
      </c>
      <c r="D13" s="307">
        <f>'WP B.5 B'!P13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B'!Q13</f>
        <v>2501454.5184615385</v>
      </c>
      <c r="J13" s="479">
        <v>1</v>
      </c>
      <c r="K13" s="479">
        <v>1</v>
      </c>
      <c r="L13" s="307">
        <f>I13*J13*K13</f>
        <v>2501454.5184615385</v>
      </c>
    </row>
    <row r="14" spans="1:12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481"/>
      <c r="K14" s="481"/>
      <c r="L14" s="77"/>
    </row>
    <row r="15" spans="1:12">
      <c r="A15" s="2">
        <v>3</v>
      </c>
      <c r="C15" s="16" t="s">
        <v>680</v>
      </c>
      <c r="D15" s="73">
        <f>'WP B.5 B'!P15</f>
        <v>-114467337.55327797</v>
      </c>
      <c r="E15" s="479">
        <f>$E$13</f>
        <v>1</v>
      </c>
      <c r="F15" s="479">
        <f>$E$13</f>
        <v>1</v>
      </c>
      <c r="G15" s="73">
        <f>D15*E15*F15</f>
        <v>-114467337.55327797</v>
      </c>
      <c r="H15" s="77"/>
      <c r="I15" s="73">
        <f>'WP B.5 B'!Q15</f>
        <v>-104026653.75308174</v>
      </c>
      <c r="J15" s="479">
        <f>$E$13</f>
        <v>1</v>
      </c>
      <c r="K15" s="479">
        <f>$E$13</f>
        <v>1</v>
      </c>
      <c r="L15" s="73">
        <f>I15*J15*K15</f>
        <v>-104026653.75308174</v>
      </c>
    </row>
    <row r="16" spans="1:12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481"/>
      <c r="K16" s="481"/>
      <c r="L16" s="77"/>
    </row>
    <row r="17" spans="1:17">
      <c r="A17" s="2">
        <v>5</v>
      </c>
      <c r="C17" s="16" t="s">
        <v>681</v>
      </c>
      <c r="D17" s="73">
        <f>'WP B.5 B'!P17</f>
        <v>-103015</v>
      </c>
      <c r="E17" s="479">
        <f>$E$13</f>
        <v>1</v>
      </c>
      <c r="F17" s="479">
        <f>$E$13</f>
        <v>1</v>
      </c>
      <c r="G17" s="73">
        <f>D17*E17*F17</f>
        <v>-103015</v>
      </c>
      <c r="H17" s="77"/>
      <c r="I17" s="73">
        <f>'WP B.5 B'!Q17</f>
        <v>-495349.49230769236</v>
      </c>
      <c r="J17" s="479">
        <f>$E$13</f>
        <v>1</v>
      </c>
      <c r="K17" s="479">
        <f>$E$13</f>
        <v>1</v>
      </c>
      <c r="L17" s="73">
        <f>I17*J17*K17</f>
        <v>-495349.49230769236</v>
      </c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</row>
    <row r="19" spans="1:17">
      <c r="A19" s="2">
        <v>7</v>
      </c>
      <c r="C19" s="22" t="s">
        <v>31</v>
      </c>
      <c r="D19" s="577">
        <f>SUM(D13:D17)</f>
        <v>-112089948.55327797</v>
      </c>
      <c r="E19" s="21"/>
      <c r="F19" s="21"/>
      <c r="G19" s="577">
        <f>SUM(G13:G17)</f>
        <v>-112089948.55327797</v>
      </c>
      <c r="I19" s="577">
        <f>SUM(I13:I17)</f>
        <v>-102020548.72692789</v>
      </c>
      <c r="J19" s="222"/>
      <c r="K19" s="222"/>
      <c r="L19" s="577">
        <f>SUM(L13:L17)</f>
        <v>-102020548.72692789</v>
      </c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</row>
    <row r="21" spans="1:17" ht="15.75">
      <c r="A21" s="2">
        <v>9</v>
      </c>
      <c r="B21" s="12" t="s">
        <v>215</v>
      </c>
    </row>
    <row r="22" spans="1:17">
      <c r="A22" s="2">
        <v>10</v>
      </c>
      <c r="C22" s="16" t="s">
        <v>679</v>
      </c>
      <c r="D22" s="307">
        <f>'WP B.5 B'!P22</f>
        <v>822699627.61165857</v>
      </c>
      <c r="E22" s="400">
        <f>Allocation!G14</f>
        <v>9.8900000000000002E-2</v>
      </c>
      <c r="F22" s="400">
        <f>Allocation!H14</f>
        <v>0.49440000000000001</v>
      </c>
      <c r="G22" s="307">
        <f>D22*E22*F22</f>
        <v>40226852.623640083</v>
      </c>
      <c r="H22" s="77"/>
      <c r="I22" s="307">
        <f>'WP B.5 B'!Q22</f>
        <v>821894800.30248141</v>
      </c>
      <c r="J22" s="424">
        <f>E22</f>
        <v>9.8900000000000002E-2</v>
      </c>
      <c r="K22" s="424">
        <f>F22</f>
        <v>0.49440000000000001</v>
      </c>
      <c r="L22" s="307">
        <f>I22*J22*K22</f>
        <v>40187499.658758178</v>
      </c>
      <c r="P22" s="823">
        <f>E22*F22</f>
        <v>4.8896160000000001E-2</v>
      </c>
      <c r="Q22" s="823">
        <f>J22*K22</f>
        <v>4.8896160000000001E-2</v>
      </c>
    </row>
    <row r="23" spans="1:17" ht="14.25" customHeight="1">
      <c r="A23" s="2">
        <v>11</v>
      </c>
      <c r="B23" s="375"/>
      <c r="C23" s="4"/>
      <c r="D23" s="77"/>
      <c r="E23" s="21"/>
      <c r="F23" s="21"/>
      <c r="G23" s="77"/>
      <c r="H23" s="77"/>
      <c r="I23" s="77"/>
      <c r="J23" s="76"/>
      <c r="K23" s="76"/>
      <c r="L23" s="77"/>
      <c r="P23" s="823"/>
      <c r="Q23" s="824"/>
    </row>
    <row r="24" spans="1:17">
      <c r="A24" s="2">
        <v>12</v>
      </c>
      <c r="C24" s="16" t="s">
        <v>680</v>
      </c>
      <c r="D24" s="73">
        <f>'WP B.5 B'!P24</f>
        <v>-24433131.401703965</v>
      </c>
      <c r="E24" s="400">
        <f>$E$22</f>
        <v>9.8900000000000002E-2</v>
      </c>
      <c r="F24" s="400">
        <f>$F$22</f>
        <v>0.49440000000000001</v>
      </c>
      <c r="G24" s="73">
        <f>D24*E24*F24</f>
        <v>-1194686.3023187413</v>
      </c>
      <c r="H24" s="77"/>
      <c r="I24" s="73">
        <f>'WP B.5 B'!Q24</f>
        <v>-25367922.809110258</v>
      </c>
      <c r="J24" s="424">
        <f>E24</f>
        <v>9.8900000000000002E-2</v>
      </c>
      <c r="K24" s="424">
        <f>F24</f>
        <v>0.49440000000000001</v>
      </c>
      <c r="L24" s="73">
        <f>I24*J24*K24</f>
        <v>-1240394.0125419046</v>
      </c>
      <c r="P24" s="823">
        <f>E24*F24</f>
        <v>4.8896160000000001E-2</v>
      </c>
      <c r="Q24" s="823">
        <f>J24*K24</f>
        <v>4.8896160000000001E-2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P25" s="823"/>
      <c r="Q25" s="824"/>
    </row>
    <row r="26" spans="1:17">
      <c r="A26" s="2">
        <v>14</v>
      </c>
      <c r="C26" s="16" t="s">
        <v>681</v>
      </c>
      <c r="D26" s="73">
        <f>'WP B.5 B'!P26</f>
        <v>25919296.840000004</v>
      </c>
      <c r="E26" s="400">
        <f>$E$22</f>
        <v>9.8900000000000002E-2</v>
      </c>
      <c r="F26" s="400">
        <f>$F$22</f>
        <v>0.49440000000000001</v>
      </c>
      <c r="G26" s="73">
        <f>D26*E26*F26</f>
        <v>1267354.0853761346</v>
      </c>
      <c r="H26" s="77"/>
      <c r="I26" s="73">
        <f>'WP B.5 B'!Q26</f>
        <v>22060556.601538464</v>
      </c>
      <c r="J26" s="424">
        <f>E26</f>
        <v>9.8900000000000002E-2</v>
      </c>
      <c r="K26" s="424">
        <f>F26</f>
        <v>0.49440000000000001</v>
      </c>
      <c r="L26" s="73">
        <f>I26*J26*K26</f>
        <v>1078676.5052778809</v>
      </c>
      <c r="P26" s="823">
        <f>E26*F26</f>
        <v>4.8896160000000001E-2</v>
      </c>
      <c r="Q26" s="823">
        <f>J26*K26</f>
        <v>4.8896160000000001E-2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P27" s="824"/>
      <c r="Q27" s="824"/>
    </row>
    <row r="28" spans="1:17">
      <c r="A28" s="2">
        <v>16</v>
      </c>
      <c r="C28" s="22" t="s">
        <v>69</v>
      </c>
      <c r="D28" s="577">
        <f>SUM(D22:D26)</f>
        <v>824185793.04995465</v>
      </c>
      <c r="E28" s="21"/>
      <c r="F28" s="21"/>
      <c r="G28" s="577">
        <f>SUM(G22:G26)</f>
        <v>40299520.406697474</v>
      </c>
      <c r="I28" s="577">
        <f>SUM(I22:I26)</f>
        <v>818587434.09490955</v>
      </c>
      <c r="J28" s="76"/>
      <c r="K28" s="76"/>
      <c r="L28" s="577">
        <f>SUM(L22:L26)</f>
        <v>40025782.151494153</v>
      </c>
      <c r="P28" s="824"/>
      <c r="Q28" s="824"/>
    </row>
    <row r="29" spans="1:17" ht="15.75">
      <c r="A29" s="2">
        <v>17</v>
      </c>
      <c r="B29" s="12" t="s">
        <v>1126</v>
      </c>
      <c r="P29" s="824"/>
      <c r="Q29" s="824"/>
    </row>
    <row r="30" spans="1:17">
      <c r="A30" s="2">
        <v>18</v>
      </c>
      <c r="C30" s="16" t="s">
        <v>679</v>
      </c>
      <c r="D30" s="307">
        <f>'WP B.5 B'!P30</f>
        <v>-574777</v>
      </c>
      <c r="E30" s="400">
        <f>Allocation!G15</f>
        <v>0.10929999999999999</v>
      </c>
      <c r="F30" s="400">
        <f>Allocation!H15</f>
        <v>0.51883860656465508</v>
      </c>
      <c r="G30" s="307">
        <f>D30*E30*F30</f>
        <v>-32595.063205759612</v>
      </c>
      <c r="H30" s="77"/>
      <c r="I30" s="307">
        <f>'WP B.5 B'!Q30</f>
        <v>-265281.91307692311</v>
      </c>
      <c r="J30" s="424">
        <f>E30</f>
        <v>0.10929999999999999</v>
      </c>
      <c r="K30" s="424">
        <f>F30</f>
        <v>0.51883860656465508</v>
      </c>
      <c r="L30" s="307">
        <f>I30*J30*K30</f>
        <v>-15043.887845350695</v>
      </c>
      <c r="P30" s="823">
        <f>E30*F30</f>
        <v>5.67090596975168E-2</v>
      </c>
      <c r="Q30" s="823">
        <f>J30*K30</f>
        <v>5.67090596975168E-2</v>
      </c>
    </row>
    <row r="31" spans="1:17">
      <c r="A31" s="2">
        <v>19</v>
      </c>
      <c r="D31" s="73"/>
      <c r="E31" s="21"/>
      <c r="F31" s="21"/>
      <c r="G31" s="73"/>
      <c r="H31" s="77"/>
      <c r="I31" s="73"/>
      <c r="J31" s="482"/>
      <c r="K31" s="482"/>
      <c r="L31" s="73"/>
      <c r="P31" s="823"/>
      <c r="Q31" s="824"/>
    </row>
    <row r="32" spans="1:17">
      <c r="A32" s="2">
        <v>20</v>
      </c>
      <c r="C32" s="16" t="s">
        <v>680</v>
      </c>
      <c r="D32" s="73">
        <f>'WP B.5 B'!P32</f>
        <v>-26366044.799957823</v>
      </c>
      <c r="E32" s="400">
        <f>$E$30</f>
        <v>0.10929999999999999</v>
      </c>
      <c r="F32" s="400">
        <f>$F$30</f>
        <v>0.51883860656465508</v>
      </c>
      <c r="G32" s="73">
        <f>D32*E32*F32</f>
        <v>-1495193.6085482105</v>
      </c>
      <c r="H32" s="77"/>
      <c r="I32" s="73">
        <f>'WP B.5 B'!Q32</f>
        <v>-27430873.825944778</v>
      </c>
      <c r="J32" s="424">
        <f>E32</f>
        <v>0.10929999999999999</v>
      </c>
      <c r="K32" s="424">
        <f>F32</f>
        <v>0.51883860656465508</v>
      </c>
      <c r="L32" s="73">
        <f>I32*J32*K32</f>
        <v>-1555579.0613505533</v>
      </c>
      <c r="P32" s="823">
        <f>E32*F32</f>
        <v>5.67090596975168E-2</v>
      </c>
      <c r="Q32" s="823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P33" s="823"/>
      <c r="Q33" s="824"/>
    </row>
    <row r="34" spans="1:17">
      <c r="A34" s="2">
        <v>22</v>
      </c>
      <c r="C34" s="16" t="s">
        <v>681</v>
      </c>
      <c r="D34" s="73">
        <f>'WP B.5 B'!P34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B'!Q34</f>
        <v>-309496.38461538462</v>
      </c>
      <c r="J34" s="424">
        <f>E34</f>
        <v>0.10929999999999999</v>
      </c>
      <c r="K34" s="424">
        <f>F34</f>
        <v>0.51883860656465508</v>
      </c>
      <c r="L34" s="73">
        <f>I34*J34*K34</f>
        <v>-17551.248951319467</v>
      </c>
      <c r="P34" s="823">
        <f>E34*F34</f>
        <v>5.67090596975168E-2</v>
      </c>
      <c r="Q34" s="823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P35" s="824"/>
      <c r="Q35" s="824"/>
    </row>
    <row r="36" spans="1:17">
      <c r="A36" s="2">
        <v>24</v>
      </c>
      <c r="C36" s="22" t="s">
        <v>725</v>
      </c>
      <c r="D36" s="577">
        <f>SUM(D30:D34)</f>
        <v>-26940821.799957823</v>
      </c>
      <c r="E36" s="21"/>
      <c r="F36" s="21"/>
      <c r="G36" s="577">
        <f>SUM(G30:G34)</f>
        <v>-1527788.67175397</v>
      </c>
      <c r="I36" s="577">
        <f>SUM(I30:I34)</f>
        <v>-28005652.123637084</v>
      </c>
      <c r="J36" s="76"/>
      <c r="K36" s="76"/>
      <c r="L36" s="577">
        <f>SUM(L30:L34)</f>
        <v>-1588174.1981472233</v>
      </c>
      <c r="P36" s="824"/>
      <c r="Q36" s="824"/>
    </row>
    <row r="37" spans="1:17" ht="15.75">
      <c r="A37" s="2">
        <v>25</v>
      </c>
      <c r="B37" s="12" t="s">
        <v>682</v>
      </c>
      <c r="P37" s="824"/>
      <c r="Q37" s="824"/>
    </row>
    <row r="38" spans="1:17" ht="15.75">
      <c r="A38" s="2">
        <v>26</v>
      </c>
      <c r="B38" s="12"/>
      <c r="P38" s="824"/>
      <c r="Q38" s="824"/>
    </row>
    <row r="39" spans="1:17">
      <c r="A39" s="2">
        <v>27</v>
      </c>
      <c r="C39" s="16" t="s">
        <v>679</v>
      </c>
      <c r="D39" s="307">
        <f>'WP B.5 B'!P39</f>
        <v>6309382</v>
      </c>
      <c r="E39" s="480">
        <v>1</v>
      </c>
      <c r="F39" s="400">
        <f>Allocation!H17</f>
        <v>0.49440000000000001</v>
      </c>
      <c r="G39" s="307">
        <f>D39*$E$39*F39</f>
        <v>3119358.4608</v>
      </c>
      <c r="H39" s="77"/>
      <c r="I39" s="307">
        <f>'WP B.5 B'!Q39</f>
        <v>5993892.0753846159</v>
      </c>
      <c r="J39" s="480">
        <f>E39</f>
        <v>1</v>
      </c>
      <c r="K39" s="400">
        <f>F39</f>
        <v>0.49440000000000001</v>
      </c>
      <c r="L39" s="307">
        <f>I39*$E$39*K39</f>
        <v>2963380.2420701543</v>
      </c>
      <c r="P39" s="823">
        <f>E39*F39</f>
        <v>0.49440000000000001</v>
      </c>
      <c r="Q39" s="823">
        <f>J39*K39</f>
        <v>0.49440000000000001</v>
      </c>
    </row>
    <row r="40" spans="1:17">
      <c r="A40" s="2">
        <v>28</v>
      </c>
      <c r="D40" s="73"/>
      <c r="E40" s="21"/>
      <c r="F40" s="21"/>
      <c r="G40" s="73"/>
      <c r="H40" s="77"/>
      <c r="I40" s="73"/>
      <c r="J40" s="482"/>
      <c r="K40" s="482"/>
      <c r="L40" s="73"/>
      <c r="P40" s="823"/>
      <c r="Q40" s="824"/>
    </row>
    <row r="41" spans="1:17">
      <c r="A41" s="2">
        <v>29</v>
      </c>
      <c r="C41" s="16" t="s">
        <v>444</v>
      </c>
      <c r="D41" s="73">
        <f>'WP B.5 B'!P45</f>
        <v>-1</v>
      </c>
      <c r="E41" s="480">
        <f>$E$39</f>
        <v>1</v>
      </c>
      <c r="F41" s="400">
        <f>$F$39</f>
        <v>0.49440000000000001</v>
      </c>
      <c r="G41" s="73">
        <f>D41*E41*F41</f>
        <v>-0.49440000000000001</v>
      </c>
      <c r="H41" s="77"/>
      <c r="I41" s="73">
        <f>'WP B.5 B'!Q45</f>
        <v>-1</v>
      </c>
      <c r="J41" s="480">
        <f>E41</f>
        <v>1</v>
      </c>
      <c r="K41" s="400">
        <f>F41</f>
        <v>0.49440000000000001</v>
      </c>
      <c r="L41" s="73">
        <f>I41*J41*K41</f>
        <v>-0.49440000000000001</v>
      </c>
      <c r="P41" s="823">
        <f>E41*F41</f>
        <v>0.49440000000000001</v>
      </c>
      <c r="Q41" s="823">
        <f>J41*K41</f>
        <v>0.49440000000000001</v>
      </c>
    </row>
    <row r="42" spans="1:17">
      <c r="A42" s="2">
        <v>30</v>
      </c>
      <c r="D42" s="73"/>
      <c r="E42" s="21"/>
      <c r="F42" s="21"/>
      <c r="G42" s="73"/>
      <c r="H42" s="77"/>
      <c r="I42" s="73"/>
      <c r="J42" s="482"/>
      <c r="K42" s="482"/>
      <c r="L42" s="73"/>
      <c r="P42" s="823"/>
      <c r="Q42" s="824"/>
    </row>
    <row r="43" spans="1:17">
      <c r="A43" s="2">
        <v>31</v>
      </c>
      <c r="C43" s="16" t="s">
        <v>680</v>
      </c>
      <c r="D43" s="73">
        <f>'WP B.5 B'!P41</f>
        <v>5688005.7790132277</v>
      </c>
      <c r="E43" s="480">
        <f>$E$39</f>
        <v>1</v>
      </c>
      <c r="F43" s="400">
        <f>$F$39</f>
        <v>0.49440000000000001</v>
      </c>
      <c r="G43" s="73">
        <f>D43*$E$39*F43</f>
        <v>2812150.0571441399</v>
      </c>
      <c r="H43" s="77"/>
      <c r="I43" s="73">
        <f>'WP B.5 B'!Q41</f>
        <v>-3253086.4934122209</v>
      </c>
      <c r="J43" s="480">
        <f>E43</f>
        <v>1</v>
      </c>
      <c r="K43" s="400">
        <f>F43</f>
        <v>0.49440000000000001</v>
      </c>
      <c r="L43" s="73">
        <f>I43*$E$39*K43</f>
        <v>-1608325.962343002</v>
      </c>
      <c r="P43" s="823">
        <f>E43*F43</f>
        <v>0.49440000000000001</v>
      </c>
      <c r="Q43" s="823">
        <f>J43*K43</f>
        <v>0.49440000000000001</v>
      </c>
    </row>
    <row r="44" spans="1:17">
      <c r="A44" s="2">
        <v>32</v>
      </c>
      <c r="D44" s="73"/>
      <c r="E44" s="21"/>
      <c r="F44" s="21"/>
      <c r="G44" s="73"/>
      <c r="H44" s="77"/>
      <c r="I44" s="73"/>
      <c r="J44" s="482"/>
      <c r="K44" s="482"/>
      <c r="L44" s="73"/>
      <c r="P44" s="824"/>
      <c r="Q44" s="824"/>
    </row>
    <row r="45" spans="1:17">
      <c r="A45" s="2">
        <v>33</v>
      </c>
      <c r="C45" s="16" t="s">
        <v>681</v>
      </c>
      <c r="D45" s="73">
        <f>'WP B.5 B'!P43</f>
        <v>-1597357</v>
      </c>
      <c r="E45" s="480">
        <f>$E$39</f>
        <v>1</v>
      </c>
      <c r="F45" s="400">
        <f>$F$39</f>
        <v>0.49440000000000001</v>
      </c>
      <c r="G45" s="73">
        <f>D45*$E$39*F45</f>
        <v>-789733.30079999997</v>
      </c>
      <c r="H45" s="77"/>
      <c r="I45" s="73">
        <f>'WP B.5 B'!Q43</f>
        <v>-1627680.5423076923</v>
      </c>
      <c r="J45" s="480">
        <f>E45</f>
        <v>1</v>
      </c>
      <c r="K45" s="400">
        <f>F45</f>
        <v>0.49440000000000001</v>
      </c>
      <c r="L45" s="73">
        <f>I45*$E$39*K45</f>
        <v>-804725.26011692313</v>
      </c>
      <c r="P45" s="823">
        <f>E45*F45</f>
        <v>0.49440000000000001</v>
      </c>
      <c r="Q45" s="823">
        <f>J45*K45</f>
        <v>0.49440000000000001</v>
      </c>
    </row>
    <row r="46" spans="1:17">
      <c r="A46" s="2">
        <v>34</v>
      </c>
      <c r="D46" s="73"/>
      <c r="E46" s="21"/>
      <c r="F46" s="21"/>
      <c r="G46" s="73"/>
      <c r="H46" s="77"/>
      <c r="I46" s="73"/>
      <c r="J46" s="482"/>
      <c r="K46" s="482"/>
      <c r="L46" s="73"/>
    </row>
    <row r="47" spans="1:17">
      <c r="A47" s="2">
        <v>35</v>
      </c>
      <c r="C47" s="22" t="s">
        <v>443</v>
      </c>
      <c r="D47" s="577">
        <f>SUM(D39:D45)</f>
        <v>10400029.779013228</v>
      </c>
      <c r="E47" s="21"/>
      <c r="F47" s="21"/>
      <c r="G47" s="577">
        <f>SUM(G39:G45)</f>
        <v>5141774.7227441398</v>
      </c>
      <c r="I47" s="577">
        <f>SUM(I39:I45)</f>
        <v>1113124.0396647027</v>
      </c>
      <c r="J47" s="76"/>
      <c r="K47" s="76"/>
      <c r="L47" s="577">
        <f>SUM(L39:L45)</f>
        <v>550328.52521022898</v>
      </c>
    </row>
    <row r="48" spans="1:17">
      <c r="A48" s="2">
        <v>36</v>
      </c>
    </row>
    <row r="49" spans="1:12" ht="16.5" thickBot="1">
      <c r="A49" s="2">
        <v>37</v>
      </c>
      <c r="B49" s="35"/>
      <c r="C49" s="516" t="s">
        <v>727</v>
      </c>
      <c r="D49" s="331">
        <f>D47+D36+D28+D19</f>
        <v>695555052.47573209</v>
      </c>
      <c r="G49" s="331">
        <f>G47+G36+G28+G19</f>
        <v>-68176442.095590323</v>
      </c>
      <c r="I49" s="331">
        <f>I47+I36+I28+I19</f>
        <v>689674357.28400934</v>
      </c>
      <c r="L49" s="331">
        <f>L47+L36+L28+L19</f>
        <v>-63032612.248370729</v>
      </c>
    </row>
    <row r="50" spans="1:12" ht="15.75" thickTop="1">
      <c r="A50" s="35"/>
      <c r="B50" s="35"/>
    </row>
    <row r="51" spans="1:12">
      <c r="A51" s="35"/>
      <c r="B51" s="35"/>
    </row>
    <row r="52" spans="1:12">
      <c r="A52" s="35"/>
      <c r="B52" s="35"/>
    </row>
    <row r="53" spans="1:12">
      <c r="A53" s="35"/>
      <c r="B53" s="35"/>
    </row>
    <row r="54" spans="1:12">
      <c r="A54" s="35"/>
      <c r="B54" s="35"/>
      <c r="E54" s="377"/>
    </row>
    <row r="55" spans="1:12">
      <c r="A55" s="35"/>
      <c r="B55" s="35"/>
    </row>
    <row r="56" spans="1:12">
      <c r="A56" s="35"/>
    </row>
    <row r="57" spans="1:12">
      <c r="A57" s="35"/>
      <c r="B57" s="35"/>
    </row>
    <row r="58" spans="1:12">
      <c r="A58" s="35"/>
      <c r="B58" s="35"/>
    </row>
    <row r="59" spans="1:12">
      <c r="A59" s="35"/>
      <c r="B59" s="35"/>
    </row>
    <row r="60" spans="1:12">
      <c r="A60" s="35"/>
      <c r="B60" s="35"/>
    </row>
    <row r="61" spans="1:12">
      <c r="A61" s="35"/>
      <c r="B61" s="35"/>
    </row>
    <row r="62" spans="1:12">
      <c r="A62" s="35"/>
      <c r="B62" s="35"/>
    </row>
    <row r="63" spans="1:12">
      <c r="A63" s="35"/>
      <c r="B63" s="35"/>
    </row>
    <row r="64" spans="1:12">
      <c r="A64" s="35"/>
      <c r="B64" s="35"/>
    </row>
    <row r="65" spans="1:2">
      <c r="A65" s="35"/>
      <c r="B65" s="35"/>
    </row>
    <row r="66" spans="1:2">
      <c r="A66" s="35"/>
      <c r="B66" s="35"/>
    </row>
    <row r="67" spans="1:2">
      <c r="A67" s="35"/>
      <c r="B67" s="35"/>
    </row>
    <row r="68" spans="1:2">
      <c r="A68" s="35"/>
      <c r="B68" s="35"/>
    </row>
    <row r="69" spans="1:2">
      <c r="A69" s="35"/>
      <c r="B69" s="35"/>
    </row>
    <row r="70" spans="1:2">
      <c r="A70" s="35"/>
      <c r="B70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5" top="0.75" bottom="0.3" header="0.5" footer="0.17"/>
  <pageSetup scale="62" fitToHeight="2" orientation="landscape" verticalDpi="300" r:id="rId1"/>
  <headerFooter alignWithMargins="0"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1"/>
  <sheetViews>
    <sheetView tabSelected="1" topLeftCell="A6" zoomScale="90" zoomScaleNormal="90" workbookViewId="0">
      <selection activeCell="H18" sqref="H18"/>
    </sheetView>
  </sheetViews>
  <sheetFormatPr defaultRowHeight="15"/>
  <cols>
    <col min="1" max="1" width="7.44140625" bestFit="1" customWidth="1"/>
    <col min="2" max="2" width="34.44140625" customWidth="1"/>
    <col min="3" max="3" width="10.33203125" customWidth="1"/>
    <col min="4" max="5" width="10.44140625" customWidth="1"/>
    <col min="6" max="6" width="7" bestFit="1" customWidth="1"/>
    <col min="7" max="7" width="10" customWidth="1"/>
    <col min="8" max="8" width="10.21875" customWidth="1"/>
    <col min="9" max="9" width="10.109375" customWidth="1"/>
    <col min="13" max="13" width="10.44140625" bestFit="1" customWidth="1"/>
    <col min="15" max="15" width="6.77734375" customWidth="1"/>
    <col min="16" max="17" width="10.44140625" bestFit="1" customWidth="1"/>
  </cols>
  <sheetData>
    <row r="1" spans="1:10">
      <c r="A1" s="1157" t="str">
        <f>'Table of Contents'!A1:C1</f>
        <v>Atmos Energy Corporation, Kentucky/Mid-States Division</v>
      </c>
      <c r="B1" s="1157"/>
      <c r="C1" s="1157"/>
      <c r="D1" s="1157"/>
      <c r="E1" s="1157"/>
      <c r="F1" s="1157"/>
      <c r="G1" s="1157"/>
      <c r="H1" s="1157"/>
      <c r="I1" s="1157"/>
    </row>
    <row r="2" spans="1:10">
      <c r="A2" s="1157" t="str">
        <f>'Table of Contents'!A2:C2</f>
        <v>Kentucky Jurisdiction Case No. 2017-00349</v>
      </c>
      <c r="B2" s="1157"/>
      <c r="C2" s="1157"/>
      <c r="D2" s="1157"/>
      <c r="E2" s="1157"/>
      <c r="F2" s="1157"/>
      <c r="G2" s="1157"/>
      <c r="H2" s="1157"/>
      <c r="I2" s="1157"/>
    </row>
    <row r="3" spans="1:10">
      <c r="A3" s="1157" t="str">
        <f>'Table of Contents'!A3:C3</f>
        <v>Base Period: Twelve Months Ended December 31, 2017</v>
      </c>
      <c r="B3" s="1157"/>
      <c r="C3" s="1157"/>
      <c r="D3" s="1157"/>
      <c r="E3" s="1157"/>
      <c r="F3" s="1157"/>
      <c r="G3" s="1157"/>
      <c r="H3" s="1157"/>
      <c r="I3" s="1157"/>
    </row>
    <row r="4" spans="1:10">
      <c r="A4" s="1157" t="str">
        <f>'Table of Contents'!A4:C4</f>
        <v>Forecasted Test Period: Twelve Months Ended March 31, 2019</v>
      </c>
      <c r="B4" s="1157"/>
      <c r="C4" s="1157"/>
      <c r="D4" s="1157"/>
      <c r="E4" s="1157"/>
      <c r="F4" s="1157"/>
      <c r="G4" s="1157"/>
      <c r="H4" s="1157"/>
      <c r="I4" s="1157"/>
    </row>
    <row r="6" spans="1:10" ht="15.75">
      <c r="A6" s="1160" t="s">
        <v>1226</v>
      </c>
      <c r="B6" s="1160"/>
      <c r="C6" s="1160"/>
      <c r="D6" s="1160"/>
      <c r="E6" s="1160"/>
      <c r="F6" s="1160"/>
      <c r="G6" s="1160"/>
      <c r="H6" s="1160"/>
      <c r="I6" s="1160"/>
    </row>
    <row r="7" spans="1:10" ht="15.75">
      <c r="A7" s="605"/>
      <c r="B7" s="605"/>
      <c r="C7" s="605"/>
      <c r="D7" s="605"/>
      <c r="E7" s="605"/>
      <c r="F7" s="605"/>
      <c r="G7" s="605"/>
      <c r="H7" s="605"/>
      <c r="I7" s="605"/>
    </row>
    <row r="8" spans="1:10">
      <c r="C8" s="52"/>
      <c r="D8" s="606" t="s">
        <v>1227</v>
      </c>
      <c r="E8" s="52"/>
      <c r="G8" s="95"/>
      <c r="H8" s="606" t="s">
        <v>328</v>
      </c>
      <c r="I8" s="95"/>
    </row>
    <row r="9" spans="1:10">
      <c r="C9" s="319" t="s">
        <v>1228</v>
      </c>
      <c r="D9" s="319" t="s">
        <v>197</v>
      </c>
      <c r="E9" s="53" t="s">
        <v>11</v>
      </c>
      <c r="F9" s="604"/>
      <c r="G9" s="319" t="s">
        <v>1228</v>
      </c>
      <c r="H9" s="319" t="s">
        <v>197</v>
      </c>
      <c r="I9" s="604" t="s">
        <v>11</v>
      </c>
    </row>
    <row r="10" spans="1:10">
      <c r="A10" s="52" t="s">
        <v>205</v>
      </c>
      <c r="B10" s="58" t="s">
        <v>993</v>
      </c>
      <c r="C10" s="318" t="s">
        <v>156</v>
      </c>
      <c r="D10" s="58" t="s">
        <v>600</v>
      </c>
      <c r="E10" s="58" t="s">
        <v>1154</v>
      </c>
      <c r="F10" s="64"/>
      <c r="G10" s="318" t="s">
        <v>156</v>
      </c>
      <c r="H10" s="58" t="s">
        <v>600</v>
      </c>
      <c r="I10" s="58" t="s">
        <v>1154</v>
      </c>
    </row>
    <row r="11" spans="1:10">
      <c r="A11" s="57"/>
      <c r="B11" s="57"/>
      <c r="C11" s="319"/>
      <c r="D11" s="319"/>
    </row>
    <row r="12" spans="1:10" ht="15.75">
      <c r="A12" s="57"/>
      <c r="B12" s="386" t="s">
        <v>1152</v>
      </c>
      <c r="C12" s="319"/>
      <c r="D12" s="319"/>
    </row>
    <row r="13" spans="1:10" ht="15.75">
      <c r="A13" s="53">
        <v>1</v>
      </c>
      <c r="B13" s="161" t="s">
        <v>200</v>
      </c>
      <c r="I13" s="326"/>
    </row>
    <row r="14" spans="1:10">
      <c r="A14" s="53">
        <f>A13+1</f>
        <v>2</v>
      </c>
      <c r="B14" s="385" t="s">
        <v>202</v>
      </c>
      <c r="C14" s="725">
        <v>9.8900000000000002E-2</v>
      </c>
      <c r="D14" s="725">
        <v>0.49440000000000001</v>
      </c>
      <c r="E14" s="326">
        <f>C14*D14</f>
        <v>4.8896160000000001E-2</v>
      </c>
      <c r="F14" s="326"/>
      <c r="G14" s="725">
        <f>C14</f>
        <v>9.8900000000000002E-2</v>
      </c>
      <c r="H14" s="725">
        <f>D14</f>
        <v>0.49440000000000001</v>
      </c>
      <c r="I14" s="326">
        <f>G14*H14</f>
        <v>4.8896160000000001E-2</v>
      </c>
      <c r="J14" s="594"/>
    </row>
    <row r="15" spans="1:10">
      <c r="A15" s="604">
        <f t="shared" ref="A15:A31" si="0">A14+1</f>
        <v>3</v>
      </c>
      <c r="B15" s="385" t="s">
        <v>203</v>
      </c>
      <c r="C15" s="725">
        <v>0.10929999999999999</v>
      </c>
      <c r="D15" s="725">
        <v>0.51883860656465508</v>
      </c>
      <c r="E15" s="326">
        <f>C15*D15</f>
        <v>5.67090596975168E-2</v>
      </c>
      <c r="F15" s="326"/>
      <c r="G15" s="725">
        <v>0.10929999999999999</v>
      </c>
      <c r="H15" s="725">
        <v>0.51883860656465508</v>
      </c>
      <c r="I15" s="326">
        <f>G15*H15</f>
        <v>5.67090596975168E-2</v>
      </c>
      <c r="J15" s="594"/>
    </row>
    <row r="16" spans="1:10" ht="15.75">
      <c r="A16" s="604">
        <f t="shared" si="0"/>
        <v>4</v>
      </c>
      <c r="B16" s="161" t="s">
        <v>201</v>
      </c>
      <c r="C16" s="53"/>
      <c r="D16" s="800"/>
      <c r="E16" s="326"/>
      <c r="F16" s="326"/>
      <c r="G16" s="604"/>
      <c r="H16" s="604"/>
      <c r="I16" s="326"/>
    </row>
    <row r="17" spans="1:10">
      <c r="A17" s="604">
        <f t="shared" si="0"/>
        <v>5</v>
      </c>
      <c r="B17" s="385" t="s">
        <v>204</v>
      </c>
      <c r="C17" s="338">
        <v>1</v>
      </c>
      <c r="D17" s="725">
        <f>D14</f>
        <v>0.49440000000000001</v>
      </c>
      <c r="E17" s="326">
        <f>C17*D17</f>
        <v>0.49440000000000001</v>
      </c>
      <c r="F17" s="326"/>
      <c r="G17" s="338">
        <v>1</v>
      </c>
      <c r="H17" s="725">
        <f>H14</f>
        <v>0.49440000000000001</v>
      </c>
      <c r="I17" s="326">
        <f>G17*H17</f>
        <v>0.49440000000000001</v>
      </c>
      <c r="J17" s="594"/>
    </row>
    <row r="18" spans="1:10">
      <c r="A18" s="604">
        <f t="shared" si="0"/>
        <v>6</v>
      </c>
      <c r="C18" s="53"/>
      <c r="D18" s="53"/>
      <c r="E18" s="53"/>
      <c r="F18" s="604"/>
      <c r="G18" s="604"/>
      <c r="H18" s="604"/>
      <c r="I18" s="604"/>
    </row>
    <row r="19" spans="1:10">
      <c r="A19" s="712">
        <f t="shared" si="0"/>
        <v>7</v>
      </c>
      <c r="B19" s="385"/>
      <c r="C19" s="53"/>
      <c r="D19" s="53"/>
      <c r="E19" s="53"/>
      <c r="F19" s="604"/>
      <c r="G19" s="604"/>
      <c r="H19" s="604"/>
      <c r="I19" s="604"/>
    </row>
    <row r="20" spans="1:10" ht="15.75">
      <c r="A20" s="604">
        <f t="shared" si="0"/>
        <v>8</v>
      </c>
      <c r="B20" s="607" t="s">
        <v>1230</v>
      </c>
      <c r="C20" s="604"/>
      <c r="D20" s="604"/>
      <c r="E20" s="725">
        <v>1.550753E-2</v>
      </c>
      <c r="F20" s="604"/>
      <c r="G20" s="604"/>
      <c r="H20" s="604"/>
      <c r="I20" s="326">
        <f>E20</f>
        <v>1.550753E-2</v>
      </c>
    </row>
    <row r="21" spans="1:10" ht="15.75">
      <c r="A21" s="604">
        <f t="shared" si="0"/>
        <v>9</v>
      </c>
      <c r="B21" s="607" t="s">
        <v>1229</v>
      </c>
      <c r="C21" s="604"/>
      <c r="D21" s="604"/>
      <c r="E21" s="725">
        <v>2.3324339999999999E-2</v>
      </c>
      <c r="F21" s="604"/>
      <c r="G21" s="604"/>
      <c r="H21" s="604"/>
      <c r="I21" s="326">
        <f>E21</f>
        <v>2.3324339999999999E-2</v>
      </c>
    </row>
    <row r="22" spans="1:10" s="798" customFormat="1" ht="15.75">
      <c r="A22" s="850">
        <f t="shared" si="0"/>
        <v>10</v>
      </c>
      <c r="B22" s="852" t="s">
        <v>1605</v>
      </c>
      <c r="C22" s="850"/>
      <c r="D22" s="850"/>
      <c r="E22" s="725">
        <v>6.437198999999999E-2</v>
      </c>
      <c r="F22" s="850"/>
      <c r="G22" s="850"/>
      <c r="H22" s="850"/>
      <c r="I22" s="326">
        <f>E22</f>
        <v>6.437198999999999E-2</v>
      </c>
    </row>
    <row r="23" spans="1:10" s="798" customFormat="1" ht="15.75">
      <c r="A23" s="851">
        <f t="shared" si="0"/>
        <v>11</v>
      </c>
      <c r="B23" s="852" t="s">
        <v>1606</v>
      </c>
      <c r="C23" s="851"/>
      <c r="D23" s="851"/>
      <c r="E23" s="725">
        <v>0</v>
      </c>
      <c r="F23" s="851"/>
      <c r="G23" s="851"/>
      <c r="H23" s="851"/>
      <c r="I23" s="326"/>
    </row>
    <row r="24" spans="1:10">
      <c r="A24" s="851">
        <f t="shared" si="0"/>
        <v>12</v>
      </c>
      <c r="B24" s="385"/>
      <c r="C24" s="604"/>
      <c r="D24" s="604"/>
      <c r="E24" s="604"/>
      <c r="F24" s="604"/>
      <c r="G24" s="604"/>
      <c r="H24" s="604"/>
      <c r="I24" s="604"/>
    </row>
    <row r="25" spans="1:10" ht="15.75">
      <c r="A25" s="851">
        <f t="shared" si="0"/>
        <v>13</v>
      </c>
      <c r="B25" s="397" t="s">
        <v>1141</v>
      </c>
      <c r="C25" s="53"/>
      <c r="D25" s="53"/>
      <c r="E25" s="325">
        <f>ROUND(0.06+0.35*(1-0.06),5)</f>
        <v>0.38900000000000001</v>
      </c>
      <c r="F25" s="604"/>
      <c r="G25" s="604"/>
      <c r="H25" s="604"/>
      <c r="I25" s="604"/>
      <c r="J25" s="594"/>
    </row>
    <row r="26" spans="1:10">
      <c r="A26" s="851">
        <f t="shared" si="0"/>
        <v>14</v>
      </c>
      <c r="B26" s="219"/>
      <c r="C26" s="53"/>
      <c r="D26" s="53"/>
      <c r="E26" s="325"/>
      <c r="F26" s="604"/>
      <c r="G26" s="604"/>
      <c r="H26" s="604"/>
      <c r="I26" s="604"/>
    </row>
    <row r="27" spans="1:10" ht="15.75">
      <c r="A27" s="851">
        <f t="shared" si="0"/>
        <v>15</v>
      </c>
      <c r="B27" s="397" t="s">
        <v>1378</v>
      </c>
      <c r="C27" s="53"/>
      <c r="D27" s="53"/>
      <c r="E27" s="764">
        <v>0.10299999999999999</v>
      </c>
      <c r="F27" s="604"/>
      <c r="G27" s="604"/>
      <c r="H27" s="604"/>
      <c r="I27" s="604"/>
    </row>
    <row r="28" spans="1:10">
      <c r="A28" s="851">
        <f t="shared" si="0"/>
        <v>16</v>
      </c>
      <c r="B28" s="219"/>
      <c r="C28" s="53"/>
      <c r="D28" s="53"/>
      <c r="E28" s="53"/>
      <c r="F28" s="604"/>
      <c r="G28" s="604"/>
      <c r="H28" s="604"/>
      <c r="I28" s="604"/>
    </row>
    <row r="29" spans="1:10" ht="15.75">
      <c r="A29" s="851">
        <f t="shared" si="0"/>
        <v>17</v>
      </c>
      <c r="B29" s="397" t="s">
        <v>339</v>
      </c>
      <c r="C29" s="53"/>
      <c r="D29" s="53"/>
      <c r="E29" s="326">
        <f>ROUND(+'J-2 F'!L20,4)</f>
        <v>1.9900000000000001E-2</v>
      </c>
      <c r="F29" s="604"/>
      <c r="G29" s="604"/>
      <c r="H29" s="604"/>
      <c r="I29" s="604"/>
    </row>
    <row r="30" spans="1:10">
      <c r="A30" s="851">
        <f t="shared" si="0"/>
        <v>18</v>
      </c>
      <c r="B30" s="219"/>
      <c r="C30" s="53"/>
      <c r="D30" s="53"/>
      <c r="E30" s="53"/>
      <c r="F30" s="604"/>
      <c r="G30" s="604"/>
      <c r="H30" s="604"/>
      <c r="I30" s="604"/>
    </row>
    <row r="31" spans="1:10" ht="15.75">
      <c r="A31" s="851">
        <f t="shared" si="0"/>
        <v>19</v>
      </c>
      <c r="B31" s="397" t="s">
        <v>340</v>
      </c>
      <c r="C31" s="53"/>
      <c r="D31" s="53"/>
      <c r="E31" s="326">
        <f>ROUND('J-3 F'!K34,4)</f>
        <v>5.11E-2</v>
      </c>
      <c r="F31" s="326"/>
      <c r="G31" s="326"/>
      <c r="H31" s="326"/>
      <c r="I31" s="326"/>
    </row>
  </sheetData>
  <mergeCells count="5">
    <mergeCell ref="A1:I1"/>
    <mergeCell ref="A2:I2"/>
    <mergeCell ref="A3:I3"/>
    <mergeCell ref="A4:I4"/>
    <mergeCell ref="A6:I6"/>
  </mergeCells>
  <phoneticPr fontId="22" type="noConversion"/>
  <pageMargins left="0.83" right="0.75" top="0.74" bottom="0.75" header="0.5" footer="0.19"/>
  <pageSetup scale="9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Q140"/>
  <sheetViews>
    <sheetView view="pageBreakPreview" topLeftCell="B1" zoomScale="70" zoomScaleNormal="70" zoomScaleSheetLayoutView="70" workbookViewId="0">
      <pane ySplit="11" topLeftCell="A12" activePane="bottomLeft" state="frozen"/>
      <selection activeCell="B6" sqref="B6"/>
      <selection pane="bottomLeft" activeCell="O69" sqref="O69"/>
    </sheetView>
  </sheetViews>
  <sheetFormatPr defaultColWidth="8.44140625" defaultRowHeight="15"/>
  <cols>
    <col min="1" max="1" width="5.77734375" style="1" customWidth="1"/>
    <col min="2" max="2" width="4" style="1" customWidth="1"/>
    <col min="3" max="3" width="49.33203125" style="1" customWidth="1"/>
    <col min="4" max="4" width="12.88671875" style="1" customWidth="1"/>
    <col min="5" max="5" width="11.88671875" style="1" bestFit="1" customWidth="1"/>
    <col min="6" max="6" width="11.77734375" style="1" customWidth="1"/>
    <col min="7" max="7" width="14" style="1" bestFit="1" customWidth="1"/>
    <col min="8" max="8" width="4.33203125" style="74" customWidth="1"/>
    <col min="9" max="9" width="14.77734375" style="1" bestFit="1" customWidth="1"/>
    <col min="10" max="11" width="11.88671875" style="1" customWidth="1"/>
    <col min="12" max="12" width="14.88671875" style="1" bestFit="1" customWidth="1"/>
    <col min="13" max="13" width="12.44140625" style="1" customWidth="1"/>
    <col min="14" max="14" width="7.21875" style="1" customWidth="1"/>
    <col min="15" max="15" width="7.5546875" style="1" customWidth="1"/>
    <col min="16" max="17" width="8.5546875" style="1" bestFit="1" customWidth="1"/>
    <col min="18" max="16384" width="8.44140625" style="1"/>
  </cols>
  <sheetData>
    <row r="1" spans="1:13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3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3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3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3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3" ht="15.75">
      <c r="A6" s="48" t="s">
        <v>1064</v>
      </c>
      <c r="B6" s="48"/>
      <c r="C6" s="35"/>
      <c r="D6" s="595"/>
      <c r="L6" s="1" t="s">
        <v>1450</v>
      </c>
    </row>
    <row r="7" spans="1:13">
      <c r="A7" s="48" t="s">
        <v>1131</v>
      </c>
      <c r="B7" s="35"/>
      <c r="C7" s="48"/>
      <c r="L7" s="1" t="s">
        <v>715</v>
      </c>
    </row>
    <row r="8" spans="1:13">
      <c r="A8" s="48" t="s">
        <v>431</v>
      </c>
      <c r="B8" s="35"/>
      <c r="C8" s="35"/>
      <c r="D8" s="33"/>
      <c r="E8" s="35"/>
      <c r="F8" s="35"/>
      <c r="G8" s="35"/>
      <c r="I8" s="35"/>
      <c r="J8" s="35"/>
      <c r="L8" s="35" t="str">
        <f>'B.1 F '!F8</f>
        <v>Witness:   Waller</v>
      </c>
    </row>
    <row r="9" spans="1:13">
      <c r="A9" s="249"/>
      <c r="B9" s="59"/>
      <c r="C9" s="59"/>
      <c r="D9" s="483"/>
      <c r="E9" s="339" t="s">
        <v>13</v>
      </c>
      <c r="F9" s="340" t="s">
        <v>11</v>
      </c>
      <c r="G9" s="484" t="s">
        <v>98</v>
      </c>
      <c r="H9" s="75"/>
      <c r="I9" s="486"/>
      <c r="J9" s="339" t="s">
        <v>13</v>
      </c>
      <c r="K9" s="340" t="s">
        <v>11</v>
      </c>
      <c r="L9" s="390"/>
    </row>
    <row r="10" spans="1:13">
      <c r="A10" s="335" t="s">
        <v>94</v>
      </c>
      <c r="B10" s="34"/>
      <c r="C10" s="35"/>
      <c r="D10" s="336"/>
      <c r="E10" s="34" t="s">
        <v>14</v>
      </c>
      <c r="F10" s="75" t="s">
        <v>600</v>
      </c>
      <c r="G10" s="332" t="s">
        <v>1176</v>
      </c>
      <c r="H10" s="75"/>
      <c r="I10" s="335" t="s">
        <v>93</v>
      </c>
      <c r="J10" s="34" t="s">
        <v>14</v>
      </c>
      <c r="K10" s="75" t="s">
        <v>600</v>
      </c>
      <c r="L10" s="487" t="s">
        <v>12</v>
      </c>
    </row>
    <row r="11" spans="1:13">
      <c r="A11" s="333" t="s">
        <v>100</v>
      </c>
      <c r="B11" s="32"/>
      <c r="C11" s="56" t="s">
        <v>342</v>
      </c>
      <c r="D11" s="485" t="s">
        <v>1065</v>
      </c>
      <c r="E11" s="186" t="s">
        <v>633</v>
      </c>
      <c r="F11" s="186" t="s">
        <v>633</v>
      </c>
      <c r="G11" s="334" t="s">
        <v>106</v>
      </c>
      <c r="H11" s="75"/>
      <c r="I11" s="333" t="s">
        <v>99</v>
      </c>
      <c r="J11" s="186" t="s">
        <v>633</v>
      </c>
      <c r="K11" s="186" t="s">
        <v>633</v>
      </c>
      <c r="L11" s="488" t="s">
        <v>105</v>
      </c>
    </row>
    <row r="12" spans="1:13" ht="15.75">
      <c r="B12" s="12" t="s">
        <v>214</v>
      </c>
      <c r="E12" s="54"/>
      <c r="F12" s="54"/>
      <c r="G12" s="81"/>
      <c r="J12" s="54"/>
      <c r="K12" s="54"/>
    </row>
    <row r="13" spans="1:13">
      <c r="A13" s="2">
        <v>1</v>
      </c>
      <c r="C13" s="16" t="s">
        <v>679</v>
      </c>
      <c r="D13" s="307">
        <f>'WP B.5 F'!P13</f>
        <v>2480404</v>
      </c>
      <c r="E13" s="479">
        <v>1</v>
      </c>
      <c r="F13" s="479">
        <v>1</v>
      </c>
      <c r="G13" s="307">
        <f>D13*E13*F13</f>
        <v>2480404</v>
      </c>
      <c r="H13" s="77"/>
      <c r="I13" s="307">
        <f>'WP B.5 F'!Q13</f>
        <v>2480404</v>
      </c>
      <c r="J13" s="414">
        <f>E13</f>
        <v>1</v>
      </c>
      <c r="K13" s="414">
        <f>F13</f>
        <v>1</v>
      </c>
      <c r="L13" s="307">
        <f>I13*J13*K13</f>
        <v>2480404</v>
      </c>
      <c r="M13" s="312"/>
    </row>
    <row r="14" spans="1:13" ht="14.25" customHeight="1">
      <c r="A14" s="2">
        <v>2</v>
      </c>
      <c r="B14" s="375"/>
      <c r="C14" s="4"/>
      <c r="D14" s="77"/>
      <c r="E14" s="479"/>
      <c r="F14" s="479"/>
      <c r="G14" s="77"/>
      <c r="H14" s="77"/>
      <c r="I14" s="77"/>
      <c r="J14" s="76"/>
      <c r="K14" s="76"/>
      <c r="L14" s="77"/>
      <c r="M14" s="312"/>
    </row>
    <row r="15" spans="1:13">
      <c r="A15" s="2">
        <v>3</v>
      </c>
      <c r="C15" s="16" t="s">
        <v>680</v>
      </c>
      <c r="D15" s="73">
        <f>'WP B.5 F'!P15</f>
        <v>-127528305.31705078</v>
      </c>
      <c r="E15" s="479">
        <f>$E$13</f>
        <v>1</v>
      </c>
      <c r="F15" s="479">
        <f>$F$13</f>
        <v>1</v>
      </c>
      <c r="G15" s="73">
        <f>D15*E15*F15</f>
        <v>-127528305.31705078</v>
      </c>
      <c r="H15" s="77"/>
      <c r="I15" s="73">
        <f>'WP B.5 F'!Q15</f>
        <v>-123986273.50556801</v>
      </c>
      <c r="J15" s="414">
        <f>E15</f>
        <v>1</v>
      </c>
      <c r="K15" s="414">
        <f>F15</f>
        <v>1</v>
      </c>
      <c r="L15" s="73">
        <f>I15*J15*K15</f>
        <v>-123986273.50556801</v>
      </c>
      <c r="M15" s="312"/>
    </row>
    <row r="16" spans="1:13" ht="14.25" customHeight="1">
      <c r="A16" s="2">
        <v>4</v>
      </c>
      <c r="B16" s="375"/>
      <c r="C16" s="4"/>
      <c r="D16" s="77"/>
      <c r="E16" s="479"/>
      <c r="F16" s="479"/>
      <c r="G16" s="77"/>
      <c r="H16" s="77"/>
      <c r="I16" s="77"/>
      <c r="J16" s="76"/>
      <c r="K16" s="76"/>
      <c r="L16" s="77"/>
      <c r="M16" s="312"/>
    </row>
    <row r="17" spans="1:17">
      <c r="A17" s="2">
        <v>5</v>
      </c>
      <c r="C17" s="16" t="s">
        <v>681</v>
      </c>
      <c r="D17" s="73">
        <f>'WP B.5 F'!P17</f>
        <v>-103015</v>
      </c>
      <c r="E17" s="479">
        <f>$E$13</f>
        <v>1</v>
      </c>
      <c r="F17" s="479">
        <f>$F$13</f>
        <v>1</v>
      </c>
      <c r="G17" s="73">
        <f>D17*E17*F17</f>
        <v>-103015</v>
      </c>
      <c r="H17" s="77"/>
      <c r="I17" s="73">
        <f>'WP B.5 F'!Q17</f>
        <v>-103015</v>
      </c>
      <c r="J17" s="414">
        <f>E17</f>
        <v>1</v>
      </c>
      <c r="K17" s="414">
        <f>F17</f>
        <v>1</v>
      </c>
      <c r="L17" s="73">
        <f>I17*J17*K17</f>
        <v>-103015</v>
      </c>
      <c r="M17" s="312"/>
    </row>
    <row r="18" spans="1:17" ht="14.25" customHeight="1">
      <c r="A18" s="2">
        <v>6</v>
      </c>
      <c r="B18" s="375"/>
      <c r="C18" s="4"/>
      <c r="D18" s="77"/>
      <c r="E18" s="21"/>
      <c r="F18" s="21"/>
      <c r="G18" s="77"/>
      <c r="H18" s="77"/>
      <c r="I18" s="77"/>
      <c r="J18" s="76"/>
      <c r="K18" s="76"/>
      <c r="L18" s="77"/>
      <c r="M18" s="312"/>
    </row>
    <row r="19" spans="1:17">
      <c r="A19" s="2">
        <v>7</v>
      </c>
      <c r="C19" s="22" t="s">
        <v>31</v>
      </c>
      <c r="D19" s="577">
        <f>SUM(D13:D17)</f>
        <v>-125150916.31705078</v>
      </c>
      <c r="E19" s="21"/>
      <c r="F19" s="21"/>
      <c r="G19" s="577">
        <f>SUM(G13:G17)</f>
        <v>-125150916.31705078</v>
      </c>
      <c r="I19" s="577">
        <f>SUM(I13:I17)</f>
        <v>-121608884.50556801</v>
      </c>
      <c r="J19" s="222"/>
      <c r="K19" s="222"/>
      <c r="L19" s="577">
        <f>SUM(L13:L17)</f>
        <v>-121608884.50556801</v>
      </c>
      <c r="M19" s="312"/>
    </row>
    <row r="20" spans="1:17" ht="14.25" customHeight="1">
      <c r="A20" s="2">
        <v>8</v>
      </c>
      <c r="B20" s="375"/>
      <c r="C20" s="4"/>
      <c r="D20" s="77"/>
      <c r="E20" s="21"/>
      <c r="F20" s="21"/>
      <c r="G20" s="77"/>
      <c r="H20" s="77"/>
      <c r="I20" s="77"/>
      <c r="J20" s="76"/>
      <c r="K20" s="76"/>
      <c r="L20" s="77"/>
      <c r="M20" s="312"/>
    </row>
    <row r="21" spans="1:17" ht="15.75">
      <c r="A21" s="2">
        <v>9</v>
      </c>
      <c r="B21" s="12" t="s">
        <v>215</v>
      </c>
      <c r="E21" s="54"/>
      <c r="F21" s="54"/>
      <c r="J21" s="54"/>
      <c r="K21" s="54"/>
      <c r="M21" s="312"/>
    </row>
    <row r="22" spans="1:17">
      <c r="A22" s="2">
        <v>10</v>
      </c>
      <c r="C22" s="16" t="s">
        <v>679</v>
      </c>
      <c r="D22" s="307">
        <f>'WP B.5 F'!P22</f>
        <v>822699627.61165857</v>
      </c>
      <c r="E22" s="400">
        <f>Allocation!C14</f>
        <v>9.8900000000000002E-2</v>
      </c>
      <c r="F22" s="400">
        <f>Allocation!D14</f>
        <v>0.49440000000000001</v>
      </c>
      <c r="G22" s="307">
        <f>D22*E22*F22</f>
        <v>40226852.623640083</v>
      </c>
      <c r="H22" s="77"/>
      <c r="I22" s="307">
        <f>'WP B.5 F'!Q22</f>
        <v>822699627.61165833</v>
      </c>
      <c r="J22" s="424">
        <f>E22</f>
        <v>9.8900000000000002E-2</v>
      </c>
      <c r="K22" s="424">
        <f>F22</f>
        <v>0.49440000000000001</v>
      </c>
      <c r="L22" s="307">
        <f>I22*J22*K22</f>
        <v>40226852.623640068</v>
      </c>
      <c r="M22" s="312"/>
      <c r="P22" s="820">
        <f>E22*F22</f>
        <v>4.8896160000000001E-2</v>
      </c>
      <c r="Q22" s="820">
        <f>J22*K22</f>
        <v>4.8896160000000001E-2</v>
      </c>
    </row>
    <row r="23" spans="1:17">
      <c r="A23" s="2">
        <v>11</v>
      </c>
      <c r="D23" s="73"/>
      <c r="E23" s="21"/>
      <c r="F23" s="21"/>
      <c r="G23" s="73"/>
      <c r="H23" s="77"/>
      <c r="I23" s="73"/>
      <c r="J23" s="482"/>
      <c r="K23" s="482"/>
      <c r="L23" s="73"/>
      <c r="M23" s="312"/>
      <c r="P23" s="820"/>
      <c r="Q23" s="821"/>
    </row>
    <row r="24" spans="1:17">
      <c r="A24" s="2">
        <v>12</v>
      </c>
      <c r="C24" s="16" t="s">
        <v>680</v>
      </c>
      <c r="D24" s="73">
        <f>'WP B.5 F'!P24</f>
        <v>-25837738.521415651</v>
      </c>
      <c r="E24" s="400">
        <f>$E$22</f>
        <v>9.8900000000000002E-2</v>
      </c>
      <c r="F24" s="400">
        <f>$F$22</f>
        <v>0.49440000000000001</v>
      </c>
      <c r="G24" s="73">
        <f>D24*E24*F24</f>
        <v>-1263366.196781303</v>
      </c>
      <c r="H24" s="77"/>
      <c r="I24" s="73">
        <f>'WP B.5 F'!Q24</f>
        <v>-24883173.853210405</v>
      </c>
      <c r="J24" s="424">
        <f>E24</f>
        <v>9.8900000000000002E-2</v>
      </c>
      <c r="K24" s="424">
        <f>F24</f>
        <v>0.49440000000000001</v>
      </c>
      <c r="L24" s="73">
        <f>I24*J24*K24</f>
        <v>-1216691.6500343925</v>
      </c>
      <c r="M24" s="312"/>
      <c r="P24" s="820">
        <f>E24*F24</f>
        <v>4.8896160000000001E-2</v>
      </c>
      <c r="Q24" s="820">
        <f>J24*K24</f>
        <v>4.8896160000000001E-2</v>
      </c>
    </row>
    <row r="25" spans="1:17" ht="14.25" customHeight="1">
      <c r="A25" s="2">
        <v>13</v>
      </c>
      <c r="B25" s="375"/>
      <c r="C25" s="4"/>
      <c r="D25" s="77"/>
      <c r="E25" s="21"/>
      <c r="F25" s="21"/>
      <c r="G25" s="77"/>
      <c r="H25" s="77"/>
      <c r="I25" s="77"/>
      <c r="J25" s="76"/>
      <c r="K25" s="76"/>
      <c r="L25" s="77"/>
      <c r="M25" s="312"/>
      <c r="P25" s="820"/>
      <c r="Q25" s="821"/>
    </row>
    <row r="26" spans="1:17">
      <c r="A26" s="2">
        <v>14</v>
      </c>
      <c r="C26" s="16" t="s">
        <v>681</v>
      </c>
      <c r="D26" s="73">
        <f>'WP B.5 F'!P26</f>
        <v>25919296.840000004</v>
      </c>
      <c r="E26" s="400">
        <f>$E$22</f>
        <v>9.8900000000000002E-2</v>
      </c>
      <c r="F26" s="400">
        <f>$F$22</f>
        <v>0.49440000000000001</v>
      </c>
      <c r="G26" s="73">
        <f>D26*E26*F26</f>
        <v>1267354.0853761346</v>
      </c>
      <c r="H26" s="77"/>
      <c r="I26" s="73">
        <f>'WP B.5 F'!Q26</f>
        <v>25919296.840000007</v>
      </c>
      <c r="J26" s="424">
        <f>E26</f>
        <v>9.8900000000000002E-2</v>
      </c>
      <c r="K26" s="424">
        <f>F26</f>
        <v>0.49440000000000001</v>
      </c>
      <c r="L26" s="73">
        <f>I26*J26*K26</f>
        <v>1267354.0853761348</v>
      </c>
      <c r="M26" s="312"/>
      <c r="P26" s="820">
        <f>E26*F26</f>
        <v>4.8896160000000001E-2</v>
      </c>
      <c r="Q26" s="820">
        <f>J26*K26</f>
        <v>4.8896160000000001E-2</v>
      </c>
    </row>
    <row r="27" spans="1:17" ht="14.25" customHeight="1">
      <c r="A27" s="2">
        <v>15</v>
      </c>
      <c r="D27" s="73"/>
      <c r="E27" s="21"/>
      <c r="F27" s="21"/>
      <c r="G27" s="73"/>
      <c r="H27" s="77"/>
      <c r="I27" s="73"/>
      <c r="J27" s="482"/>
      <c r="K27" s="482"/>
      <c r="L27" s="73"/>
      <c r="M27" s="312"/>
      <c r="P27" s="821"/>
      <c r="Q27" s="821"/>
    </row>
    <row r="28" spans="1:17">
      <c r="A28" s="2">
        <v>16</v>
      </c>
      <c r="C28" s="22" t="s">
        <v>69</v>
      </c>
      <c r="D28" s="577">
        <f>SUM(D22:D26)</f>
        <v>822781185.9302429</v>
      </c>
      <c r="E28" s="21"/>
      <c r="F28" s="21"/>
      <c r="G28" s="577">
        <f>SUM(G22:G26)</f>
        <v>40230840.512234919</v>
      </c>
      <c r="I28" s="577">
        <f>SUM(I22:I26)</f>
        <v>823735750.59844792</v>
      </c>
      <c r="J28" s="76"/>
      <c r="K28" s="76"/>
      <c r="L28" s="577">
        <f>SUM(L22:L26)</f>
        <v>40277515.058981813</v>
      </c>
      <c r="M28" s="312"/>
      <c r="P28" s="821"/>
      <c r="Q28" s="821"/>
    </row>
    <row r="29" spans="1:17" ht="15.75">
      <c r="A29" s="2">
        <v>17</v>
      </c>
      <c r="B29" s="12" t="s">
        <v>1126</v>
      </c>
      <c r="E29" s="54"/>
      <c r="F29" s="54"/>
      <c r="J29" s="54"/>
      <c r="K29" s="54"/>
      <c r="M29" s="312"/>
      <c r="P29" s="821"/>
      <c r="Q29" s="821"/>
    </row>
    <row r="30" spans="1:17">
      <c r="A30" s="2">
        <v>18</v>
      </c>
      <c r="C30" s="16" t="s">
        <v>679</v>
      </c>
      <c r="D30" s="307">
        <f>'WP B.5 F'!P30</f>
        <v>-574777</v>
      </c>
      <c r="E30" s="400">
        <f>Allocation!C15</f>
        <v>0.10929999999999999</v>
      </c>
      <c r="F30" s="400">
        <f>Allocation!D15</f>
        <v>0.51883860656465508</v>
      </c>
      <c r="G30" s="307">
        <f>D30*E30*F30</f>
        <v>-32595.063205759612</v>
      </c>
      <c r="H30" s="77"/>
      <c r="I30" s="307">
        <f>'WP B.5 F'!Q30</f>
        <v>-574777</v>
      </c>
      <c r="J30" s="424">
        <f>E30</f>
        <v>0.10929999999999999</v>
      </c>
      <c r="K30" s="424">
        <f>F30</f>
        <v>0.51883860656465508</v>
      </c>
      <c r="L30" s="307">
        <f>I30*J30*K30</f>
        <v>-32595.063205759612</v>
      </c>
      <c r="M30" s="312"/>
      <c r="P30" s="820">
        <f>E30*F30</f>
        <v>5.67090596975168E-2</v>
      </c>
      <c r="Q30" s="820">
        <f>J30*K30</f>
        <v>5.67090596975168E-2</v>
      </c>
    </row>
    <row r="31" spans="1:17">
      <c r="A31" s="2">
        <v>19</v>
      </c>
      <c r="B31" s="375"/>
      <c r="C31" s="4"/>
      <c r="D31" s="77"/>
      <c r="E31" s="21"/>
      <c r="F31" s="21"/>
      <c r="G31" s="77"/>
      <c r="H31" s="77"/>
      <c r="I31" s="77"/>
      <c r="J31" s="76"/>
      <c r="K31" s="76"/>
      <c r="L31" s="77"/>
      <c r="M31" s="312"/>
      <c r="P31" s="820"/>
      <c r="Q31" s="821"/>
    </row>
    <row r="32" spans="1:17">
      <c r="A32" s="2">
        <v>20</v>
      </c>
      <c r="C32" s="16" t="s">
        <v>680</v>
      </c>
      <c r="D32" s="73">
        <f>'WP B.5 F'!P32</f>
        <v>-23828556.686135989</v>
      </c>
      <c r="E32" s="400">
        <f>$E$30</f>
        <v>0.10929999999999999</v>
      </c>
      <c r="F32" s="400">
        <f>$F$30</f>
        <v>0.51883860656465508</v>
      </c>
      <c r="G32" s="73">
        <f>D32*E32*F32</f>
        <v>-1351295.0436197487</v>
      </c>
      <c r="H32" s="77"/>
      <c r="I32" s="73">
        <f>'WP B.5 F'!Q32</f>
        <v>-24869504.116410289</v>
      </c>
      <c r="J32" s="424">
        <f>E32</f>
        <v>0.10929999999999999</v>
      </c>
      <c r="K32" s="424">
        <f>F32</f>
        <v>0.51883860656465508</v>
      </c>
      <c r="L32" s="73">
        <f>I32*J32*K32</f>
        <v>-1410326.1935851509</v>
      </c>
      <c r="M32" s="312"/>
      <c r="P32" s="820">
        <f>E32*F32</f>
        <v>5.67090596975168E-2</v>
      </c>
      <c r="Q32" s="820">
        <f>J32*K32</f>
        <v>5.67090596975168E-2</v>
      </c>
    </row>
    <row r="33" spans="1:17">
      <c r="A33" s="2">
        <v>21</v>
      </c>
      <c r="B33" s="375"/>
      <c r="C33" s="4"/>
      <c r="D33" s="77"/>
      <c r="E33" s="21"/>
      <c r="F33" s="21"/>
      <c r="G33" s="77"/>
      <c r="H33" s="77"/>
      <c r="I33" s="77"/>
      <c r="J33" s="76"/>
      <c r="K33" s="76"/>
      <c r="L33" s="77"/>
      <c r="M33" s="312"/>
      <c r="P33" s="820"/>
      <c r="Q33" s="821"/>
    </row>
    <row r="34" spans="1:17">
      <c r="A34" s="2">
        <v>22</v>
      </c>
      <c r="C34" s="16" t="s">
        <v>681</v>
      </c>
      <c r="D34" s="73">
        <f>'WP B.5 F'!P34</f>
        <v>0</v>
      </c>
      <c r="E34" s="400">
        <f>$E$30</f>
        <v>0.10929999999999999</v>
      </c>
      <c r="F34" s="400">
        <f>$F$30</f>
        <v>0.51883860656465508</v>
      </c>
      <c r="G34" s="73">
        <f>D34*E34*F34</f>
        <v>0</v>
      </c>
      <c r="H34" s="77"/>
      <c r="I34" s="73">
        <f>'WP B.5 F'!Q34</f>
        <v>0</v>
      </c>
      <c r="J34" s="424">
        <f>E34</f>
        <v>0.10929999999999999</v>
      </c>
      <c r="K34" s="424">
        <f>F34</f>
        <v>0.51883860656465508</v>
      </c>
      <c r="L34" s="73">
        <f>I34*J34*K34</f>
        <v>0</v>
      </c>
      <c r="M34" s="312"/>
      <c r="P34" s="820">
        <f>E34*F34</f>
        <v>5.67090596975168E-2</v>
      </c>
      <c r="Q34" s="820">
        <f>J34*K34</f>
        <v>5.67090596975168E-2</v>
      </c>
    </row>
    <row r="35" spans="1:17">
      <c r="A35" s="2">
        <v>23</v>
      </c>
      <c r="D35" s="73"/>
      <c r="E35" s="21"/>
      <c r="F35" s="21"/>
      <c r="G35" s="73"/>
      <c r="H35" s="77"/>
      <c r="I35" s="73"/>
      <c r="J35" s="482"/>
      <c r="K35" s="482"/>
      <c r="L35" s="73"/>
      <c r="M35" s="312"/>
      <c r="P35" s="821"/>
      <c r="Q35" s="821"/>
    </row>
    <row r="36" spans="1:17">
      <c r="A36" s="2">
        <v>24</v>
      </c>
      <c r="C36" s="22" t="s">
        <v>725</v>
      </c>
      <c r="D36" s="577">
        <f>SUM(D30:D34)</f>
        <v>-24403333.686135989</v>
      </c>
      <c r="E36" s="21"/>
      <c r="F36" s="21"/>
      <c r="G36" s="577">
        <f>SUM(G30:G34)</f>
        <v>-1383890.1068255082</v>
      </c>
      <c r="I36" s="577">
        <f>SUM(I30:I34)</f>
        <v>-25444281.116410289</v>
      </c>
      <c r="J36" s="76"/>
      <c r="K36" s="76"/>
      <c r="L36" s="577">
        <f>SUM(L30:L34)</f>
        <v>-1442921.2567909104</v>
      </c>
      <c r="M36" s="312"/>
      <c r="P36" s="821"/>
      <c r="Q36" s="821"/>
    </row>
    <row r="37" spans="1:17" ht="15.75">
      <c r="A37" s="2">
        <v>25</v>
      </c>
      <c r="B37" s="12" t="s">
        <v>682</v>
      </c>
      <c r="E37" s="54"/>
      <c r="F37" s="54"/>
      <c r="J37" s="54"/>
      <c r="K37" s="54"/>
      <c r="M37" s="312"/>
      <c r="P37" s="821"/>
      <c r="Q37" s="821"/>
    </row>
    <row r="38" spans="1:17">
      <c r="A38" s="2">
        <v>26</v>
      </c>
      <c r="C38" s="16" t="s">
        <v>679</v>
      </c>
      <c r="D38" s="307">
        <f>'WP B.5 F'!P39</f>
        <v>6309382</v>
      </c>
      <c r="E38" s="480">
        <v>1</v>
      </c>
      <c r="F38" s="400">
        <f>Allocation!D17</f>
        <v>0.49440000000000001</v>
      </c>
      <c r="G38" s="307">
        <f>D38*E38*F38</f>
        <v>3119358.4608</v>
      </c>
      <c r="H38" s="77"/>
      <c r="I38" s="307">
        <f>'WP B.5 F'!Q39</f>
        <v>6309382</v>
      </c>
      <c r="J38" s="480">
        <f>E38</f>
        <v>1</v>
      </c>
      <c r="K38" s="400">
        <f>F38</f>
        <v>0.49440000000000001</v>
      </c>
      <c r="L38" s="307">
        <f>I38*J38*K38</f>
        <v>3119358.4608</v>
      </c>
      <c r="M38" s="312"/>
      <c r="P38" s="820">
        <f>E38*F38</f>
        <v>0.49440000000000001</v>
      </c>
      <c r="Q38" s="820">
        <f>J38*K38</f>
        <v>0.49440000000000001</v>
      </c>
    </row>
    <row r="39" spans="1:17">
      <c r="A39" s="2">
        <v>27</v>
      </c>
      <c r="D39" s="73"/>
      <c r="E39" s="21"/>
      <c r="F39" s="21"/>
      <c r="G39" s="73"/>
      <c r="H39" s="77"/>
      <c r="I39" s="73"/>
      <c r="J39" s="482"/>
      <c r="K39" s="482"/>
      <c r="L39" s="73"/>
      <c r="M39" s="312"/>
      <c r="P39" s="820"/>
      <c r="Q39" s="821"/>
    </row>
    <row r="40" spans="1:17">
      <c r="A40" s="2">
        <v>28</v>
      </c>
      <c r="C40" s="16" t="s">
        <v>444</v>
      </c>
      <c r="D40" s="73">
        <f>'WP B.5 F'!P45</f>
        <v>-1</v>
      </c>
      <c r="E40" s="480">
        <f>$E$38</f>
        <v>1</v>
      </c>
      <c r="F40" s="400">
        <f>$F$38</f>
        <v>0.49440000000000001</v>
      </c>
      <c r="G40" s="73">
        <f>D40*E40*F40</f>
        <v>-0.49440000000000001</v>
      </c>
      <c r="H40" s="77"/>
      <c r="I40" s="73">
        <f>'WP B.5 F'!Q45</f>
        <v>-1</v>
      </c>
      <c r="J40" s="480">
        <f>E40</f>
        <v>1</v>
      </c>
      <c r="K40" s="400">
        <f>F40</f>
        <v>0.49440000000000001</v>
      </c>
      <c r="L40" s="73">
        <f>I40*J40*K40</f>
        <v>-0.49440000000000001</v>
      </c>
      <c r="M40" s="312"/>
      <c r="P40" s="820">
        <f>E40*F40</f>
        <v>0.49440000000000001</v>
      </c>
      <c r="Q40" s="820">
        <f>J40*K40</f>
        <v>0.49440000000000001</v>
      </c>
    </row>
    <row r="41" spans="1:17">
      <c r="A41" s="2">
        <v>29</v>
      </c>
      <c r="D41" s="73"/>
      <c r="E41" s="21"/>
      <c r="F41" s="21"/>
      <c r="G41" s="73"/>
      <c r="H41" s="77"/>
      <c r="I41" s="73"/>
      <c r="J41" s="482"/>
      <c r="K41" s="482"/>
      <c r="L41" s="73"/>
      <c r="M41" s="312"/>
      <c r="P41" s="820"/>
      <c r="Q41" s="821"/>
    </row>
    <row r="42" spans="1:17">
      <c r="A42" s="2">
        <v>30</v>
      </c>
      <c r="C42" s="16" t="s">
        <v>680</v>
      </c>
      <c r="D42" s="73">
        <f>'WP B.5 F'!P41</f>
        <v>5709564.9537686333</v>
      </c>
      <c r="E42" s="480">
        <f>$E$38</f>
        <v>1</v>
      </c>
      <c r="F42" s="400">
        <f>$F$38</f>
        <v>0.49440000000000001</v>
      </c>
      <c r="G42" s="73">
        <f>D42*E42*F42</f>
        <v>2822808.9131432124</v>
      </c>
      <c r="H42" s="77"/>
      <c r="I42" s="73">
        <f>'WP B.5 F'!Q41</f>
        <v>5699565.4627735894</v>
      </c>
      <c r="J42" s="480">
        <f>E42</f>
        <v>1</v>
      </c>
      <c r="K42" s="400">
        <f>F42</f>
        <v>0.49440000000000001</v>
      </c>
      <c r="L42" s="73">
        <f>I42*J42*K42</f>
        <v>2817865.1647952627</v>
      </c>
      <c r="M42" s="312"/>
      <c r="P42" s="820">
        <f>E42*F42</f>
        <v>0.49440000000000001</v>
      </c>
      <c r="Q42" s="820">
        <f>J42*K42</f>
        <v>0.49440000000000001</v>
      </c>
    </row>
    <row r="43" spans="1:17">
      <c r="A43" s="2">
        <v>31</v>
      </c>
      <c r="D43" s="73"/>
      <c r="E43" s="21"/>
      <c r="F43" s="21"/>
      <c r="G43" s="73"/>
      <c r="H43" s="77"/>
      <c r="I43" s="73"/>
      <c r="J43" s="482"/>
      <c r="K43" s="482"/>
      <c r="L43" s="73"/>
      <c r="M43" s="312"/>
      <c r="P43" s="821"/>
      <c r="Q43" s="821"/>
    </row>
    <row r="44" spans="1:17">
      <c r="A44" s="2">
        <v>32</v>
      </c>
      <c r="C44" s="16" t="s">
        <v>681</v>
      </c>
      <c r="D44" s="73">
        <f>'WP B.5 F'!P43</f>
        <v>-1597357</v>
      </c>
      <c r="E44" s="480">
        <f>$E$38</f>
        <v>1</v>
      </c>
      <c r="F44" s="400">
        <f>$F$38</f>
        <v>0.49440000000000001</v>
      </c>
      <c r="G44" s="73">
        <f>D44*E44*F44</f>
        <v>-789733.30079999997</v>
      </c>
      <c r="H44" s="77"/>
      <c r="I44" s="73">
        <f>'WP B.5 F'!Q43</f>
        <v>-1597357</v>
      </c>
      <c r="J44" s="480">
        <f>E44</f>
        <v>1</v>
      </c>
      <c r="K44" s="400">
        <f>F44</f>
        <v>0.49440000000000001</v>
      </c>
      <c r="L44" s="73">
        <f>I44*J44*K44</f>
        <v>-789733.30079999997</v>
      </c>
      <c r="M44" s="312"/>
      <c r="P44" s="820">
        <f>E44*F44</f>
        <v>0.49440000000000001</v>
      </c>
      <c r="Q44" s="820">
        <f>J44*K44</f>
        <v>0.49440000000000001</v>
      </c>
    </row>
    <row r="45" spans="1:17">
      <c r="A45" s="2">
        <v>33</v>
      </c>
      <c r="D45" s="73"/>
      <c r="E45" s="21"/>
      <c r="F45" s="21"/>
      <c r="G45" s="73"/>
      <c r="H45" s="77"/>
      <c r="I45" s="73"/>
      <c r="J45" s="482"/>
      <c r="K45" s="482"/>
      <c r="L45" s="73"/>
      <c r="M45" s="312"/>
      <c r="P45" s="400"/>
      <c r="Q45" s="400"/>
    </row>
    <row r="46" spans="1:17">
      <c r="A46" s="2">
        <v>34</v>
      </c>
      <c r="C46" s="22" t="s">
        <v>443</v>
      </c>
      <c r="D46" s="577">
        <f>SUM(D38:D44)</f>
        <v>10421588.953768633</v>
      </c>
      <c r="E46" s="21"/>
      <c r="F46" s="21"/>
      <c r="G46" s="577">
        <f>SUM(G38:G44)</f>
        <v>5152433.5787432119</v>
      </c>
      <c r="I46" s="577">
        <f>SUM(I38:I44)</f>
        <v>10411589.462773589</v>
      </c>
      <c r="J46" s="76"/>
      <c r="K46" s="76"/>
      <c r="L46" s="577">
        <f>SUM(L38:L44)</f>
        <v>5147489.8303952618</v>
      </c>
      <c r="M46" s="312"/>
    </row>
    <row r="47" spans="1:17">
      <c r="A47" s="2">
        <v>35</v>
      </c>
      <c r="E47" s="54"/>
      <c r="F47" s="54"/>
      <c r="J47" s="54"/>
      <c r="K47" s="54"/>
      <c r="M47" s="312"/>
    </row>
    <row r="48" spans="1:17">
      <c r="A48" s="2">
        <v>36</v>
      </c>
      <c r="E48" s="54"/>
      <c r="F48" s="54"/>
      <c r="J48" s="54"/>
      <c r="K48" s="54"/>
      <c r="M48" s="312"/>
    </row>
    <row r="49" spans="1:12" ht="15.75">
      <c r="A49" s="2">
        <v>37</v>
      </c>
      <c r="B49" s="35"/>
      <c r="C49" s="516" t="s">
        <v>727</v>
      </c>
      <c r="D49" s="548">
        <f>D46+D36+D28+D19</f>
        <v>683648524.88082469</v>
      </c>
      <c r="E49" s="54"/>
      <c r="F49" s="54"/>
      <c r="G49" s="548">
        <f>G46+G36+G28+G19</f>
        <v>-81151532.33289817</v>
      </c>
      <c r="I49" s="548">
        <f>I46+I36+I28+I19</f>
        <v>687094174.4392432</v>
      </c>
      <c r="J49" s="54"/>
      <c r="K49" s="54"/>
      <c r="L49" s="548">
        <f>L46+L36+L28+L19</f>
        <v>-77626800.872981846</v>
      </c>
    </row>
    <row r="50" spans="1:12">
      <c r="A50" s="815">
        <v>38</v>
      </c>
      <c r="B50" s="35"/>
      <c r="C50" s="830" t="s">
        <v>1499</v>
      </c>
      <c r="E50" s="54"/>
      <c r="F50" s="54"/>
      <c r="J50" s="54"/>
      <c r="K50" s="54"/>
    </row>
    <row r="51" spans="1:12" ht="15.75">
      <c r="A51" s="815">
        <v>39</v>
      </c>
      <c r="B51" s="35"/>
      <c r="C51" s="102" t="s">
        <v>1493</v>
      </c>
      <c r="E51" s="54"/>
      <c r="F51" s="54"/>
      <c r="J51" s="54"/>
      <c r="K51" s="54"/>
      <c r="L51" s="1">
        <f>I73</f>
        <v>-321484.53105662909</v>
      </c>
    </row>
    <row r="52" spans="1:12">
      <c r="A52" s="815">
        <v>40</v>
      </c>
      <c r="B52" s="35"/>
      <c r="C52" s="92"/>
      <c r="E52" s="816"/>
      <c r="F52" s="816"/>
      <c r="J52" s="816"/>
      <c r="K52" s="816"/>
    </row>
    <row r="53" spans="1:12" ht="16.5" thickBot="1">
      <c r="A53" s="815">
        <v>41</v>
      </c>
      <c r="B53" s="35"/>
      <c r="C53" s="102" t="s">
        <v>1494</v>
      </c>
      <c r="E53" s="816"/>
      <c r="F53" s="816"/>
      <c r="J53" s="816"/>
      <c r="K53" s="816"/>
      <c r="L53" s="826">
        <f>L49+L51</f>
        <v>-77948285.404038474</v>
      </c>
    </row>
    <row r="54" spans="1:12" ht="15.75" thickTop="1">
      <c r="A54" s="815">
        <v>42</v>
      </c>
      <c r="B54" s="35"/>
      <c r="E54" s="816"/>
      <c r="F54" s="816"/>
      <c r="J54" s="816"/>
      <c r="K54" s="816"/>
    </row>
    <row r="55" spans="1:12" ht="15.75">
      <c r="A55" s="815">
        <v>43</v>
      </c>
      <c r="B55" s="35"/>
      <c r="C55" s="832" t="s">
        <v>1476</v>
      </c>
      <c r="D55" s="59"/>
      <c r="E55" s="339"/>
      <c r="F55" s="339"/>
      <c r="G55" s="59"/>
      <c r="H55" s="833"/>
      <c r="I55" s="59"/>
      <c r="J55" s="54"/>
      <c r="K55" s="54"/>
    </row>
    <row r="56" spans="1:12" ht="15.75">
      <c r="A56" s="815">
        <v>44</v>
      </c>
      <c r="B56" s="35"/>
      <c r="C56" s="834" t="s">
        <v>1477</v>
      </c>
      <c r="D56" s="35"/>
      <c r="E56" s="222"/>
      <c r="F56" s="222"/>
      <c r="G56" s="35"/>
      <c r="I56" s="35"/>
      <c r="J56" s="54"/>
      <c r="K56" s="54"/>
    </row>
    <row r="57" spans="1:12">
      <c r="A57" s="815">
        <v>45</v>
      </c>
      <c r="F57" s="815" t="s">
        <v>59</v>
      </c>
      <c r="I57" s="815"/>
      <c r="J57" s="54"/>
      <c r="K57" s="54"/>
    </row>
    <row r="58" spans="1:12">
      <c r="A58" s="815">
        <v>46</v>
      </c>
      <c r="C58" s="5" t="s">
        <v>1479</v>
      </c>
      <c r="D58" s="811"/>
      <c r="E58" s="811"/>
      <c r="F58" s="818" t="s">
        <v>102</v>
      </c>
      <c r="G58" s="811"/>
      <c r="H58" s="819"/>
      <c r="I58" s="818"/>
      <c r="J58" s="54"/>
      <c r="K58" s="54"/>
    </row>
    <row r="59" spans="1:12">
      <c r="A59" s="815">
        <v>47</v>
      </c>
      <c r="B59" s="35"/>
      <c r="F59" s="816"/>
      <c r="J59" s="54"/>
      <c r="K59" s="54"/>
    </row>
    <row r="60" spans="1:12">
      <c r="A60" s="815">
        <v>48</v>
      </c>
      <c r="B60" s="35"/>
      <c r="C60" s="1" t="s">
        <v>1478</v>
      </c>
      <c r="F60" s="816" t="s">
        <v>1480</v>
      </c>
      <c r="I60" s="1">
        <f>'B.1 F '!F27</f>
        <v>426999485.2838006</v>
      </c>
      <c r="J60" s="54"/>
      <c r="K60" s="54"/>
    </row>
    <row r="61" spans="1:12">
      <c r="A61" s="815">
        <v>49</v>
      </c>
      <c r="B61" s="35"/>
      <c r="F61" s="816"/>
      <c r="J61" s="54"/>
      <c r="K61" s="54"/>
    </row>
    <row r="62" spans="1:12">
      <c r="A62" s="815">
        <v>50</v>
      </c>
      <c r="B62" s="35"/>
      <c r="C62" s="1" t="s">
        <v>1481</v>
      </c>
      <c r="F62" s="816" t="s">
        <v>1482</v>
      </c>
      <c r="I62" s="1">
        <f>A.1!G24</f>
        <v>33007060</v>
      </c>
      <c r="J62" s="54"/>
      <c r="K62" s="54"/>
    </row>
    <row r="63" spans="1:12">
      <c r="A63" s="815">
        <v>51</v>
      </c>
      <c r="B63" s="35"/>
      <c r="F63" s="816"/>
      <c r="J63" s="54"/>
      <c r="K63" s="54"/>
    </row>
    <row r="64" spans="1:12">
      <c r="A64" s="815">
        <v>52</v>
      </c>
      <c r="B64" s="35"/>
      <c r="C64" s="1" t="s">
        <v>212</v>
      </c>
      <c r="F64" s="816" t="s">
        <v>1483</v>
      </c>
      <c r="I64" s="1">
        <f>E!G32</f>
        <v>9888646.2299706321</v>
      </c>
      <c r="J64" s="54"/>
      <c r="K64" s="54"/>
    </row>
    <row r="65" spans="1:11">
      <c r="A65" s="815">
        <v>53</v>
      </c>
      <c r="B65" s="35"/>
      <c r="F65" s="816"/>
      <c r="J65" s="54"/>
      <c r="K65" s="54"/>
    </row>
    <row r="66" spans="1:11">
      <c r="A66" s="815">
        <v>54</v>
      </c>
      <c r="B66" s="35"/>
      <c r="C66" s="1" t="s">
        <v>1484</v>
      </c>
      <c r="F66" s="816" t="s">
        <v>1503</v>
      </c>
      <c r="I66" s="1">
        <f>I62-I64</f>
        <v>23118413.770029366</v>
      </c>
      <c r="J66" s="54"/>
      <c r="K66" s="54"/>
    </row>
    <row r="67" spans="1:11">
      <c r="A67" s="815">
        <v>55</v>
      </c>
      <c r="B67" s="35"/>
      <c r="F67" s="816"/>
      <c r="J67" s="54"/>
      <c r="K67" s="54"/>
    </row>
    <row r="68" spans="1:11">
      <c r="A68" s="815">
        <v>56</v>
      </c>
      <c r="B68" s="35"/>
      <c r="C68" s="1" t="s">
        <v>1485</v>
      </c>
      <c r="D68" s="416">
        <f>Allocation!E25</f>
        <v>0.38900000000000001</v>
      </c>
      <c r="F68" s="816" t="s">
        <v>1505</v>
      </c>
      <c r="I68" s="1">
        <f>I66/(1-D68)</f>
        <v>37837011.080244459</v>
      </c>
      <c r="J68" s="54"/>
      <c r="K68" s="54"/>
    </row>
    <row r="69" spans="1:11">
      <c r="A69" s="815">
        <v>57</v>
      </c>
      <c r="B69" s="35"/>
      <c r="F69" s="816"/>
      <c r="J69" s="54"/>
      <c r="K69" s="54"/>
    </row>
    <row r="70" spans="1:11">
      <c r="A70" s="815">
        <v>58</v>
      </c>
      <c r="B70" s="35"/>
      <c r="C70" s="1" t="s">
        <v>1495</v>
      </c>
      <c r="D70" s="416">
        <f>D68</f>
        <v>0.38900000000000001</v>
      </c>
      <c r="F70" s="816" t="s">
        <v>1504</v>
      </c>
      <c r="I70" s="822">
        <f>I68*D70</f>
        <v>14718597.310215095</v>
      </c>
      <c r="J70" s="54"/>
      <c r="K70" s="54"/>
    </row>
    <row r="71" spans="1:11">
      <c r="A71" s="815">
        <v>59</v>
      </c>
      <c r="F71" s="816"/>
      <c r="J71" s="54"/>
      <c r="K71" s="54"/>
    </row>
    <row r="72" spans="1:11">
      <c r="A72" s="815">
        <v>60</v>
      </c>
      <c r="C72" s="1" t="s">
        <v>1491</v>
      </c>
      <c r="F72" s="816" t="s">
        <v>1506</v>
      </c>
      <c r="I72" s="35">
        <f>L49-'B.5 B'!L49</f>
        <v>-14594188.624611117</v>
      </c>
      <c r="J72" s="816"/>
      <c r="K72" s="816"/>
    </row>
    <row r="73" spans="1:11">
      <c r="A73" s="815">
        <v>61</v>
      </c>
      <c r="C73" s="1" t="s">
        <v>1492</v>
      </c>
      <c r="F73" s="816"/>
      <c r="I73" s="811">
        <v>-321484.53105662909</v>
      </c>
      <c r="J73" s="816"/>
      <c r="K73" s="816">
        <f>I70+I75</f>
        <v>-197075.84545264952</v>
      </c>
    </row>
    <row r="74" spans="1:11">
      <c r="A74" s="815">
        <v>62</v>
      </c>
      <c r="F74" s="816"/>
      <c r="J74" s="816"/>
      <c r="K74" s="816"/>
    </row>
    <row r="75" spans="1:11" ht="16.5" thickBot="1">
      <c r="A75" s="815">
        <v>63</v>
      </c>
      <c r="C75" s="102" t="s">
        <v>1497</v>
      </c>
      <c r="D75" s="102"/>
      <c r="E75" s="102"/>
      <c r="F75" s="817" t="s">
        <v>1486</v>
      </c>
      <c r="G75" s="102"/>
      <c r="H75" s="828"/>
      <c r="I75" s="829">
        <f>'B.1 F '!F25-'B.1 B'!F25</f>
        <v>-14915673.155667745</v>
      </c>
      <c r="J75" s="54"/>
      <c r="K75" s="54"/>
    </row>
    <row r="76" spans="1:11" ht="15.75" thickTop="1">
      <c r="A76" s="815">
        <v>64</v>
      </c>
      <c r="J76" s="54"/>
      <c r="K76" s="835">
        <f>I70+I75</f>
        <v>-197075.84545264952</v>
      </c>
    </row>
    <row r="77" spans="1:11">
      <c r="A77" s="815">
        <v>65</v>
      </c>
      <c r="J77" s="54"/>
      <c r="K77" s="54"/>
    </row>
    <row r="78" spans="1:11" ht="15.75">
      <c r="A78" s="815">
        <v>66</v>
      </c>
      <c r="C78" s="825" t="s">
        <v>1490</v>
      </c>
      <c r="D78" s="811"/>
      <c r="E78" s="811"/>
      <c r="F78" s="811"/>
      <c r="G78" s="811"/>
      <c r="H78" s="819"/>
      <c r="I78" s="811"/>
      <c r="J78" s="54"/>
      <c r="K78" s="54"/>
    </row>
    <row r="79" spans="1:11" ht="15.75">
      <c r="A79" s="815">
        <v>67</v>
      </c>
      <c r="C79" s="102" t="s">
        <v>1487</v>
      </c>
      <c r="D79" s="102"/>
      <c r="E79" s="102"/>
      <c r="F79" s="817" t="s">
        <v>1496</v>
      </c>
      <c r="G79" s="102"/>
      <c r="H79" s="828"/>
      <c r="I79" s="102">
        <f>'B.5 B'!L49</f>
        <v>-63032612.248370729</v>
      </c>
      <c r="J79" s="54"/>
      <c r="K79" s="54"/>
    </row>
    <row r="80" spans="1:11">
      <c r="A80" s="815">
        <v>68</v>
      </c>
      <c r="J80" s="816"/>
      <c r="K80" s="816"/>
    </row>
    <row r="81" spans="1:12">
      <c r="A81" s="815">
        <v>69</v>
      </c>
      <c r="C81" s="1" t="s">
        <v>1488</v>
      </c>
      <c r="F81" s="816" t="s">
        <v>1501</v>
      </c>
      <c r="I81" s="1">
        <f>L49</f>
        <v>-77626800.872981846</v>
      </c>
      <c r="J81" s="54"/>
      <c r="K81" s="54"/>
    </row>
    <row r="82" spans="1:12">
      <c r="A82" s="815">
        <v>70</v>
      </c>
      <c r="C82" s="92" t="s">
        <v>1468</v>
      </c>
      <c r="F82" s="816" t="s">
        <v>1502</v>
      </c>
      <c r="I82" s="811">
        <f>I73</f>
        <v>-321484.53105662909</v>
      </c>
      <c r="J82" s="54"/>
      <c r="K82" s="54"/>
    </row>
    <row r="83" spans="1:12" ht="15.75">
      <c r="A83" s="815">
        <v>71</v>
      </c>
      <c r="C83" s="102" t="s">
        <v>1494</v>
      </c>
      <c r="D83" s="102"/>
      <c r="E83" s="102"/>
      <c r="F83" s="102"/>
      <c r="G83" s="102"/>
      <c r="H83" s="828"/>
      <c r="I83" s="827">
        <f>SUM(I81:I82)</f>
        <v>-77948285.404038474</v>
      </c>
      <c r="J83" s="54"/>
      <c r="K83" s="54"/>
    </row>
    <row r="84" spans="1:12" ht="15.75">
      <c r="A84" s="815">
        <v>72</v>
      </c>
      <c r="C84" s="102"/>
      <c r="I84" s="397"/>
      <c r="J84" s="816"/>
      <c r="K84" s="816"/>
    </row>
    <row r="85" spans="1:12" ht="16.5" thickBot="1">
      <c r="A85" s="815">
        <v>73</v>
      </c>
      <c r="C85" s="102" t="s">
        <v>1489</v>
      </c>
      <c r="F85" s="1" t="s">
        <v>1500</v>
      </c>
      <c r="I85" s="829">
        <f>I83-I79</f>
        <v>-14915673.155667745</v>
      </c>
      <c r="J85" s="54"/>
      <c r="K85" s="54"/>
    </row>
    <row r="86" spans="1:12" ht="16.5" thickTop="1">
      <c r="A86" s="815">
        <v>74</v>
      </c>
      <c r="C86" s="102"/>
      <c r="I86" s="397"/>
      <c r="J86" s="816"/>
      <c r="K86" s="816"/>
    </row>
    <row r="87" spans="1:12">
      <c r="A87" s="815">
        <v>75</v>
      </c>
      <c r="I87" s="35"/>
      <c r="J87" s="54"/>
      <c r="K87" s="54"/>
    </row>
    <row r="88" spans="1:12">
      <c r="A88" s="815">
        <v>76</v>
      </c>
      <c r="C88" s="830" t="s">
        <v>1498</v>
      </c>
      <c r="E88" s="816"/>
      <c r="F88" s="816"/>
      <c r="J88" s="54"/>
      <c r="K88" s="54"/>
    </row>
    <row r="89" spans="1:12">
      <c r="E89" s="816"/>
      <c r="F89" s="816"/>
      <c r="J89" s="54"/>
      <c r="K89" s="54"/>
    </row>
    <row r="90" spans="1:12">
      <c r="E90" s="816"/>
      <c r="F90" s="816"/>
      <c r="J90" s="54"/>
      <c r="K90" s="54"/>
      <c r="L90" s="152"/>
    </row>
    <row r="91" spans="1:12">
      <c r="E91" s="816"/>
      <c r="F91" s="816"/>
      <c r="J91" s="54"/>
      <c r="K91" s="54"/>
      <c r="L91" s="152"/>
    </row>
    <row r="92" spans="1:12">
      <c r="E92" s="816"/>
      <c r="F92" s="816"/>
      <c r="J92" s="54"/>
      <c r="K92" s="54"/>
      <c r="L92" s="806"/>
    </row>
    <row r="93" spans="1:12">
      <c r="E93" s="816"/>
      <c r="F93" s="816"/>
      <c r="J93" s="54"/>
      <c r="K93" s="54"/>
      <c r="L93" s="152"/>
    </row>
    <row r="94" spans="1:12">
      <c r="E94" s="816"/>
      <c r="F94" s="816"/>
      <c r="J94" s="54"/>
      <c r="K94" s="54"/>
    </row>
    <row r="95" spans="1:12">
      <c r="E95" s="816"/>
      <c r="F95" s="816"/>
      <c r="J95" s="54"/>
      <c r="K95" s="54"/>
    </row>
    <row r="96" spans="1:12">
      <c r="D96" s="1">
        <v>0</v>
      </c>
      <c r="E96" s="816"/>
      <c r="F96" s="816"/>
      <c r="J96" s="54"/>
      <c r="K96" s="54"/>
    </row>
    <row r="97" spans="5:11">
      <c r="E97" s="54"/>
      <c r="F97" s="54"/>
      <c r="J97" s="54"/>
      <c r="K97" s="54"/>
    </row>
    <row r="98" spans="5:11">
      <c r="E98" s="54"/>
      <c r="F98" s="54"/>
      <c r="J98" s="54"/>
      <c r="K98" s="54"/>
    </row>
    <row r="99" spans="5:11">
      <c r="E99" s="54"/>
      <c r="F99" s="54"/>
      <c r="J99" s="54"/>
      <c r="K99" s="54"/>
    </row>
    <row r="100" spans="5:11">
      <c r="E100" s="54"/>
      <c r="F100" s="54"/>
      <c r="J100" s="54"/>
      <c r="K100" s="54"/>
    </row>
    <row r="101" spans="5:11">
      <c r="E101" s="54"/>
      <c r="F101" s="54"/>
      <c r="J101" s="54"/>
      <c r="K101" s="54"/>
    </row>
    <row r="102" spans="5:11">
      <c r="E102" s="54"/>
      <c r="F102" s="54"/>
      <c r="J102" s="54"/>
      <c r="K102" s="54"/>
    </row>
    <row r="103" spans="5:11">
      <c r="E103" s="54"/>
      <c r="F103" s="54"/>
      <c r="J103" s="54"/>
      <c r="K103" s="54"/>
    </row>
    <row r="104" spans="5:11">
      <c r="E104" s="54"/>
      <c r="F104" s="54"/>
      <c r="J104" s="54"/>
      <c r="K104" s="54"/>
    </row>
    <row r="105" spans="5:11">
      <c r="E105" s="54"/>
      <c r="F105" s="54"/>
      <c r="J105" s="54"/>
      <c r="K105" s="54"/>
    </row>
    <row r="106" spans="5:11">
      <c r="J106" s="54"/>
      <c r="K106" s="54"/>
    </row>
    <row r="107" spans="5:11">
      <c r="J107" s="54"/>
      <c r="K107" s="54"/>
    </row>
    <row r="108" spans="5:11">
      <c r="J108" s="54"/>
      <c r="K108" s="54"/>
    </row>
    <row r="109" spans="5:11">
      <c r="J109" s="54"/>
      <c r="K109" s="54"/>
    </row>
    <row r="110" spans="5:11">
      <c r="J110" s="54"/>
      <c r="K110" s="54"/>
    </row>
    <row r="111" spans="5:11">
      <c r="J111" s="54"/>
      <c r="K111" s="54"/>
    </row>
    <row r="112" spans="5:11">
      <c r="J112" s="54"/>
      <c r="K112" s="54"/>
    </row>
    <row r="113" spans="10:11">
      <c r="J113" s="54"/>
      <c r="K113" s="54"/>
    </row>
    <row r="114" spans="10:11">
      <c r="J114" s="54"/>
      <c r="K114" s="54"/>
    </row>
    <row r="115" spans="10:11">
      <c r="J115" s="54"/>
      <c r="K115" s="54"/>
    </row>
    <row r="116" spans="10:11">
      <c r="J116" s="54"/>
      <c r="K116" s="54"/>
    </row>
    <row r="117" spans="10:11">
      <c r="J117" s="54"/>
      <c r="K117" s="54"/>
    </row>
    <row r="118" spans="10:11">
      <c r="J118" s="54"/>
      <c r="K118" s="54"/>
    </row>
    <row r="119" spans="10:11">
      <c r="J119" s="54"/>
      <c r="K119" s="54"/>
    </row>
    <row r="120" spans="10:11">
      <c r="J120" s="54"/>
      <c r="K120" s="54"/>
    </row>
    <row r="121" spans="10:11">
      <c r="J121" s="54"/>
      <c r="K121" s="54"/>
    </row>
    <row r="122" spans="10:11">
      <c r="J122" s="54"/>
      <c r="K122" s="54"/>
    </row>
    <row r="123" spans="10:11">
      <c r="J123" s="54"/>
      <c r="K123" s="54"/>
    </row>
    <row r="124" spans="10:11">
      <c r="J124" s="54"/>
      <c r="K124" s="54"/>
    </row>
    <row r="125" spans="10:11">
      <c r="J125" s="54"/>
      <c r="K125" s="54"/>
    </row>
    <row r="126" spans="10:11">
      <c r="J126" s="54"/>
      <c r="K126" s="54"/>
    </row>
    <row r="127" spans="10:11">
      <c r="J127" s="54"/>
      <c r="K127" s="54"/>
    </row>
    <row r="128" spans="10:11">
      <c r="J128" s="54"/>
      <c r="K128" s="54"/>
    </row>
    <row r="129" spans="10:11">
      <c r="J129" s="54"/>
      <c r="K129" s="54"/>
    </row>
    <row r="130" spans="10:11">
      <c r="J130" s="54"/>
      <c r="K130" s="54"/>
    </row>
    <row r="131" spans="10:11">
      <c r="J131" s="54"/>
      <c r="K131" s="54"/>
    </row>
    <row r="132" spans="10:11">
      <c r="J132" s="54"/>
      <c r="K132" s="54"/>
    </row>
    <row r="133" spans="10:11">
      <c r="J133" s="54"/>
      <c r="K133" s="54"/>
    </row>
    <row r="134" spans="10:11">
      <c r="J134" s="54"/>
      <c r="K134" s="54"/>
    </row>
    <row r="135" spans="10:11">
      <c r="J135" s="54"/>
      <c r="K135" s="54"/>
    </row>
    <row r="136" spans="10:11">
      <c r="J136" s="54"/>
      <c r="K136" s="54"/>
    </row>
    <row r="137" spans="10:11">
      <c r="J137" s="54"/>
      <c r="K137" s="54"/>
    </row>
    <row r="138" spans="10:11">
      <c r="J138" s="54"/>
      <c r="K138" s="54"/>
    </row>
    <row r="139" spans="10:11">
      <c r="J139" s="54"/>
      <c r="K139" s="54"/>
    </row>
    <row r="140" spans="10:11">
      <c r="J140" s="54"/>
      <c r="K140" s="54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6" bottom="0.5" header="0.5" footer="0.17"/>
  <pageSetup scale="60" fitToHeight="2" orientation="landscape" verticalDpi="300" r:id="rId1"/>
  <headerFooter alignWithMargins="0">
    <oddFooter>&amp;RSchedule &amp;A
Page &amp;P of &amp;N</oddFooter>
  </headerFooter>
  <rowBreaks count="1" manualBreakCount="1">
    <brk id="54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44"/>
  <sheetViews>
    <sheetView view="pageBreakPreview" zoomScale="80" zoomScaleNormal="90" zoomScaleSheetLayoutView="80" workbookViewId="0">
      <selection activeCell="M7" sqref="M7"/>
    </sheetView>
  </sheetViews>
  <sheetFormatPr defaultColWidth="8.44140625" defaultRowHeight="15"/>
  <cols>
    <col min="1" max="1" width="5.77734375" style="1" customWidth="1"/>
    <col min="2" max="2" width="6.44140625" style="1" customWidth="1"/>
    <col min="3" max="3" width="49.33203125" style="1" bestFit="1" customWidth="1"/>
    <col min="4" max="4" width="11.5546875" style="1" bestFit="1" customWidth="1"/>
    <col min="5" max="5" width="11.77734375" style="54" bestFit="1" customWidth="1"/>
    <col min="6" max="6" width="11.77734375" style="54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54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B'!A4</f>
        <v>as of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G5" s="30"/>
      <c r="H5" s="372"/>
      <c r="I5" s="30"/>
    </row>
    <row r="6" spans="1:12">
      <c r="A6" s="48" t="s">
        <v>795</v>
      </c>
      <c r="B6" s="48"/>
      <c r="C6" s="35"/>
      <c r="L6" s="1" t="s">
        <v>1451</v>
      </c>
    </row>
    <row r="7" spans="1:12">
      <c r="A7" s="48" t="s">
        <v>1131</v>
      </c>
      <c r="B7" s="35"/>
      <c r="C7" s="48"/>
      <c r="L7" s="1" t="s">
        <v>716</v>
      </c>
    </row>
    <row r="8" spans="1:12">
      <c r="A8" s="5" t="s">
        <v>431</v>
      </c>
      <c r="B8" s="6"/>
      <c r="C8" s="6"/>
      <c r="D8" s="6"/>
      <c r="E8" s="371"/>
      <c r="F8" s="371"/>
      <c r="G8" s="33"/>
      <c r="I8" s="6"/>
      <c r="J8" s="371"/>
      <c r="K8" s="56"/>
      <c r="L8" s="33" t="str">
        <f>'B.1 B'!F8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B'!P13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B'!Q13</f>
        <v>-1455773.1853846153</v>
      </c>
      <c r="J13" s="414">
        <f>E13</f>
        <v>1</v>
      </c>
      <c r="K13" s="414">
        <f>F13</f>
        <v>1</v>
      </c>
      <c r="L13" s="502">
        <f>I13*J13*K13</f>
        <v>-1455773.1853846153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5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B'!P16</f>
        <v>0</v>
      </c>
      <c r="E16" s="518">
        <f>Allocation!G14</f>
        <v>9.8900000000000002E-2</v>
      </c>
      <c r="F16" s="518">
        <f>Allocation!H14</f>
        <v>0.49440000000000001</v>
      </c>
      <c r="G16" s="378">
        <f>D16*E16*F16</f>
        <v>0</v>
      </c>
      <c r="H16" s="77"/>
      <c r="I16" s="382">
        <f>'WP B.6 B'!Q16</f>
        <v>0</v>
      </c>
      <c r="J16" s="424">
        <f>E16</f>
        <v>9.8900000000000002E-2</v>
      </c>
      <c r="K16" s="424">
        <f>F16</f>
        <v>0.49440000000000001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74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B'!P19</f>
        <v>0</v>
      </c>
      <c r="E19" s="518">
        <f>Allocation!G15</f>
        <v>0.10929999999999999</v>
      </c>
      <c r="F19" s="518">
        <f>Allocation!H15</f>
        <v>0.51883860656465508</v>
      </c>
      <c r="G19" s="378">
        <f>D19*E19*F19</f>
        <v>0</v>
      </c>
      <c r="H19" s="77"/>
      <c r="I19" s="382">
        <f>'WP B.6 B'!Q19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378">
        <f>'WP B.6 B'!P22</f>
        <v>0</v>
      </c>
      <c r="E22" s="517">
        <v>1</v>
      </c>
      <c r="F22" s="518">
        <f>Allocation!H17</f>
        <v>0.49440000000000001</v>
      </c>
      <c r="G22" s="378">
        <f>D22*E22*F22</f>
        <v>0</v>
      </c>
      <c r="H22" s="77"/>
      <c r="I22" s="382">
        <f>'WP B.6 B'!Q22</f>
        <v>0</v>
      </c>
      <c r="J22" s="519">
        <f>$E$22</f>
        <v>1</v>
      </c>
      <c r="K22" s="404">
        <f>$F$22</f>
        <v>0.49440000000000001</v>
      </c>
      <c r="L22" s="378">
        <f>I22*J22*K22</f>
        <v>0</v>
      </c>
    </row>
    <row r="23" spans="1:12">
      <c r="A23" s="614">
        <f t="shared" si="0"/>
        <v>11</v>
      </c>
      <c r="B23" s="374"/>
      <c r="D23" s="77"/>
      <c r="E23" s="168"/>
      <c r="F23" s="168"/>
      <c r="G23" s="77"/>
      <c r="H23" s="77"/>
      <c r="I23" s="77"/>
      <c r="J23" s="376"/>
      <c r="K23" s="376"/>
      <c r="L23" s="77"/>
    </row>
    <row r="24" spans="1:12" ht="15.75" thickBot="1">
      <c r="A24" s="614">
        <f t="shared" si="0"/>
        <v>12</v>
      </c>
      <c r="C24" s="66" t="s">
        <v>726</v>
      </c>
      <c r="D24" s="328">
        <f>D22+D19+D16+D13</f>
        <v>-1437536.5350000001</v>
      </c>
      <c r="E24" s="222"/>
      <c r="F24" s="222"/>
      <c r="G24" s="328">
        <f>G22+G19+G16+G13</f>
        <v>-1437536.5350000001</v>
      </c>
      <c r="I24" s="328">
        <f>I22+I19+I16+I13</f>
        <v>-1455773.1853846153</v>
      </c>
      <c r="J24" s="222"/>
      <c r="K24" s="222"/>
      <c r="L24" s="328">
        <f>L22+L19+L16+L13</f>
        <v>-1455773.1853846153</v>
      </c>
    </row>
    <row r="25" spans="1:12" ht="15.75" thickTop="1">
      <c r="A25" s="2"/>
      <c r="D25" s="35"/>
      <c r="E25" s="222"/>
      <c r="F25" s="222"/>
      <c r="G25" s="35"/>
      <c r="I25" s="35"/>
      <c r="J25" s="222"/>
      <c r="K25" s="222"/>
      <c r="L25" s="35"/>
    </row>
    <row r="26" spans="1:12">
      <c r="A26" s="54"/>
      <c r="B26" s="35"/>
      <c r="C26" s="88"/>
      <c r="D26" s="35"/>
      <c r="E26" s="222"/>
      <c r="F26" s="222"/>
      <c r="G26" s="35"/>
      <c r="I26" s="35"/>
      <c r="J26" s="222"/>
      <c r="K26" s="222"/>
      <c r="L26" s="35"/>
    </row>
    <row r="27" spans="1:12">
      <c r="A27" s="35"/>
      <c r="B27" s="35"/>
      <c r="D27" s="35"/>
      <c r="E27" s="222"/>
      <c r="F27" s="222"/>
      <c r="G27" s="35"/>
      <c r="I27" s="35"/>
      <c r="J27" s="222"/>
      <c r="K27" s="222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  <rowBreaks count="1" manualBreakCount="1">
    <brk id="17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44"/>
  <sheetViews>
    <sheetView view="pageBreakPreview" zoomScale="70" zoomScaleNormal="80" zoomScaleSheetLayoutView="70" workbookViewId="0">
      <selection activeCell="M9" sqref="M9"/>
    </sheetView>
  </sheetViews>
  <sheetFormatPr defaultColWidth="8.44140625" defaultRowHeight="15"/>
  <cols>
    <col min="1" max="1" width="5.77734375" style="1" customWidth="1"/>
    <col min="2" max="2" width="7" style="1" customWidth="1"/>
    <col min="3" max="3" width="49.33203125" style="1" bestFit="1" customWidth="1"/>
    <col min="4" max="4" width="11.5546875" style="1" bestFit="1" customWidth="1"/>
    <col min="5" max="5" width="11.77734375" style="1" bestFit="1" customWidth="1"/>
    <col min="6" max="6" width="11.77734375" style="1" customWidth="1"/>
    <col min="7" max="7" width="11.88671875" style="1" bestFit="1" customWidth="1"/>
    <col min="8" max="8" width="4.33203125" style="74" customWidth="1"/>
    <col min="9" max="9" width="11.5546875" style="1" bestFit="1" customWidth="1"/>
    <col min="10" max="11" width="11.88671875" style="1" customWidth="1"/>
    <col min="12" max="12" width="14.77734375" style="1" customWidth="1"/>
    <col min="13" max="16384" width="8.44140625" style="1"/>
  </cols>
  <sheetData>
    <row r="1" spans="1:12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</row>
    <row r="2" spans="1:12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</row>
    <row r="3" spans="1:12">
      <c r="A3" s="1162" t="s">
        <v>639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</row>
    <row r="4" spans="1:12">
      <c r="A4" s="1162" t="str">
        <f>'B.1 F '!A4</f>
        <v>as of March 31, 2019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</row>
    <row r="5" spans="1:12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2">
      <c r="A6" s="48" t="s">
        <v>1064</v>
      </c>
      <c r="B6" s="48"/>
      <c r="C6" s="35"/>
      <c r="L6" s="1" t="s">
        <v>1451</v>
      </c>
    </row>
    <row r="7" spans="1:12">
      <c r="A7" s="48" t="s">
        <v>1131</v>
      </c>
      <c r="B7" s="35"/>
      <c r="C7" s="48"/>
      <c r="L7" s="1" t="s">
        <v>717</v>
      </c>
    </row>
    <row r="8" spans="1:12">
      <c r="A8" s="5" t="s">
        <v>431</v>
      </c>
      <c r="B8" s="6"/>
      <c r="C8" s="6"/>
      <c r="D8" s="6"/>
      <c r="E8" s="6"/>
      <c r="F8" s="6"/>
      <c r="G8" s="33"/>
      <c r="I8" s="6"/>
      <c r="J8" s="6"/>
      <c r="K8" s="33"/>
      <c r="L8" s="33" t="str">
        <f>'B.1 F '!F8</f>
        <v>Witness:   Waller</v>
      </c>
    </row>
    <row r="9" spans="1:12">
      <c r="A9" s="590"/>
      <c r="D9" s="520"/>
      <c r="E9" s="222" t="s">
        <v>13</v>
      </c>
      <c r="F9" s="2" t="s">
        <v>11</v>
      </c>
      <c r="G9" s="484" t="s">
        <v>98</v>
      </c>
      <c r="H9" s="75"/>
      <c r="I9" s="521"/>
      <c r="J9" s="222" t="s">
        <v>13</v>
      </c>
      <c r="K9" s="2" t="s">
        <v>11</v>
      </c>
      <c r="L9" s="390"/>
    </row>
    <row r="10" spans="1:12">
      <c r="A10" s="335" t="s">
        <v>94</v>
      </c>
      <c r="B10" s="2"/>
      <c r="D10" s="336" t="s">
        <v>1065</v>
      </c>
      <c r="E10" s="2" t="s">
        <v>14</v>
      </c>
      <c r="F10" s="75" t="s">
        <v>600</v>
      </c>
      <c r="G10" s="332" t="s">
        <v>1176</v>
      </c>
      <c r="H10" s="75"/>
      <c r="I10" s="335" t="s">
        <v>93</v>
      </c>
      <c r="J10" s="2" t="s">
        <v>14</v>
      </c>
      <c r="K10" s="75" t="s">
        <v>600</v>
      </c>
      <c r="L10" s="487" t="s">
        <v>12</v>
      </c>
    </row>
    <row r="11" spans="1:12">
      <c r="A11" s="591" t="s">
        <v>100</v>
      </c>
      <c r="B11" s="9"/>
      <c r="C11" s="371" t="s">
        <v>342</v>
      </c>
      <c r="D11" s="485"/>
      <c r="E11" s="186" t="s">
        <v>633</v>
      </c>
      <c r="F11" s="186" t="s">
        <v>633</v>
      </c>
      <c r="G11" s="592" t="s">
        <v>106</v>
      </c>
      <c r="H11" s="75"/>
      <c r="I11" s="333" t="s">
        <v>99</v>
      </c>
      <c r="J11" s="186" t="s">
        <v>633</v>
      </c>
      <c r="K11" s="186" t="s">
        <v>633</v>
      </c>
      <c r="L11" s="593" t="s">
        <v>105</v>
      </c>
    </row>
    <row r="12" spans="1:12" ht="15.75">
      <c r="B12" s="12" t="s">
        <v>214</v>
      </c>
      <c r="G12" s="81"/>
    </row>
    <row r="13" spans="1:12">
      <c r="A13" s="2">
        <v>1</v>
      </c>
      <c r="B13" s="373">
        <v>15560</v>
      </c>
      <c r="C13" s="4" t="s">
        <v>53</v>
      </c>
      <c r="D13" s="502">
        <f>'WP B.6 F'!P13</f>
        <v>-1437536.5350000001</v>
      </c>
      <c r="E13" s="517">
        <v>1</v>
      </c>
      <c r="F13" s="517">
        <f>E13</f>
        <v>1</v>
      </c>
      <c r="G13" s="502">
        <f>D13*E13*F13</f>
        <v>-1437536.5350000001</v>
      </c>
      <c r="H13" s="77"/>
      <c r="I13" s="327">
        <f>'WP B.6 F'!Q13</f>
        <v>-1437536.5350000001</v>
      </c>
      <c r="J13" s="414">
        <f>E13</f>
        <v>1</v>
      </c>
      <c r="K13" s="414">
        <f>F13</f>
        <v>1</v>
      </c>
      <c r="L13" s="502">
        <f>I13*J13*K13</f>
        <v>-1437536.5350000001</v>
      </c>
    </row>
    <row r="14" spans="1:12">
      <c r="A14" s="54">
        <f>A13+1</f>
        <v>2</v>
      </c>
      <c r="B14" s="374"/>
      <c r="D14" s="77"/>
      <c r="E14" s="168"/>
      <c r="F14" s="168"/>
      <c r="G14" s="77"/>
      <c r="H14" s="77"/>
      <c r="I14" s="42"/>
      <c r="J14" s="168"/>
      <c r="K14" s="168"/>
      <c r="L14" s="42"/>
    </row>
    <row r="15" spans="1:12" ht="15.75">
      <c r="A15" s="614">
        <f t="shared" ref="A15:A24" si="0">A14+1</f>
        <v>3</v>
      </c>
      <c r="B15" s="12" t="s">
        <v>215</v>
      </c>
      <c r="D15" s="35"/>
      <c r="E15" s="222"/>
      <c r="F15" s="222"/>
      <c r="G15" s="74"/>
      <c r="I15" s="381"/>
      <c r="J15" s="222"/>
      <c r="K15" s="222"/>
      <c r="L15" s="35"/>
    </row>
    <row r="16" spans="1:12">
      <c r="A16" s="614">
        <f t="shared" si="0"/>
        <v>4</v>
      </c>
      <c r="B16" s="373">
        <v>15560</v>
      </c>
      <c r="C16" s="4" t="s">
        <v>53</v>
      </c>
      <c r="D16" s="378">
        <f>'WP B.6 F'!P16</f>
        <v>0</v>
      </c>
      <c r="E16" s="518">
        <f>Allocation!C14</f>
        <v>9.8900000000000002E-2</v>
      </c>
      <c r="F16" s="518">
        <f>Allocation!D14</f>
        <v>0.49440000000000001</v>
      </c>
      <c r="G16" s="378">
        <f>D16*E16*F16</f>
        <v>0</v>
      </c>
      <c r="H16" s="77"/>
      <c r="I16" s="382">
        <f>'WP B.6 F'!Q16</f>
        <v>0</v>
      </c>
      <c r="J16" s="424">
        <f>E16</f>
        <v>9.8900000000000002E-2</v>
      </c>
      <c r="K16" s="424">
        <f>F16</f>
        <v>0.49440000000000001</v>
      </c>
      <c r="L16" s="378">
        <f>I16*J16*K16</f>
        <v>0</v>
      </c>
    </row>
    <row r="17" spans="1:12">
      <c r="A17" s="614">
        <f t="shared" si="0"/>
        <v>5</v>
      </c>
      <c r="B17" s="375"/>
      <c r="C17" s="4"/>
      <c r="D17" s="77"/>
      <c r="E17" s="168"/>
      <c r="F17" s="168"/>
      <c r="G17" s="77"/>
      <c r="H17" s="77"/>
      <c r="I17" s="74"/>
      <c r="J17" s="76"/>
      <c r="K17" s="76"/>
      <c r="L17" s="77"/>
    </row>
    <row r="18" spans="1:12" ht="15.75">
      <c r="A18" s="614">
        <f t="shared" si="0"/>
        <v>6</v>
      </c>
      <c r="B18" s="12" t="s">
        <v>1126</v>
      </c>
      <c r="D18" s="35"/>
      <c r="E18" s="222"/>
      <c r="F18" s="222"/>
      <c r="G18" s="382"/>
      <c r="I18" s="35"/>
      <c r="J18" s="222"/>
      <c r="K18" s="222"/>
      <c r="L18" s="35"/>
    </row>
    <row r="19" spans="1:12">
      <c r="A19" s="614">
        <f t="shared" si="0"/>
        <v>7</v>
      </c>
      <c r="B19" s="373">
        <v>15560</v>
      </c>
      <c r="C19" s="4" t="s">
        <v>53</v>
      </c>
      <c r="D19" s="378">
        <f>'WP B.6 F'!P19</f>
        <v>0</v>
      </c>
      <c r="E19" s="518">
        <f>Allocation!C15</f>
        <v>0.10929999999999999</v>
      </c>
      <c r="F19" s="518">
        <f>Allocation!D15</f>
        <v>0.51883860656465508</v>
      </c>
      <c r="G19" s="378">
        <f>D19*E19*F19</f>
        <v>0</v>
      </c>
      <c r="H19" s="77"/>
      <c r="I19" s="382">
        <f>'WP B.6 F'!Q19</f>
        <v>0</v>
      </c>
      <c r="J19" s="424">
        <f>E19</f>
        <v>0.10929999999999999</v>
      </c>
      <c r="K19" s="424">
        <f>F19</f>
        <v>0.51883860656465508</v>
      </c>
      <c r="L19" s="378">
        <f>I19*J19*K19</f>
        <v>0</v>
      </c>
    </row>
    <row r="20" spans="1:12">
      <c r="A20" s="614">
        <f t="shared" si="0"/>
        <v>8</v>
      </c>
      <c r="B20" s="375"/>
      <c r="C20" s="4"/>
      <c r="D20" s="77"/>
      <c r="E20" s="168"/>
      <c r="F20" s="168"/>
      <c r="G20" s="77"/>
      <c r="H20" s="77"/>
      <c r="I20" s="74"/>
      <c r="J20" s="76"/>
      <c r="K20" s="76"/>
      <c r="L20" s="77"/>
    </row>
    <row r="21" spans="1:12" ht="15.75">
      <c r="A21" s="614">
        <f t="shared" si="0"/>
        <v>9</v>
      </c>
      <c r="B21" s="12" t="s">
        <v>682</v>
      </c>
      <c r="D21" s="35"/>
      <c r="E21" s="222"/>
      <c r="F21" s="222"/>
      <c r="G21" s="74"/>
      <c r="I21" s="35"/>
      <c r="J21" s="222"/>
      <c r="K21" s="222"/>
      <c r="L21" s="35"/>
    </row>
    <row r="22" spans="1:12">
      <c r="A22" s="614">
        <f t="shared" si="0"/>
        <v>10</v>
      </c>
      <c r="B22" s="373">
        <v>15560</v>
      </c>
      <c r="C22" s="4" t="s">
        <v>53</v>
      </c>
      <c r="D22" s="77">
        <f>'WP B.6 F'!P22</f>
        <v>0</v>
      </c>
      <c r="E22" s="517">
        <v>1</v>
      </c>
      <c r="F22" s="518">
        <f>Allocation!D17</f>
        <v>0.49440000000000001</v>
      </c>
      <c r="G22" s="77">
        <f>D22*$E$22*F22</f>
        <v>0</v>
      </c>
      <c r="H22" s="77"/>
      <c r="I22" s="74">
        <f>'WP B.6 F'!Q22</f>
        <v>0</v>
      </c>
      <c r="J22" s="519">
        <f>$E$22</f>
        <v>1</v>
      </c>
      <c r="K22" s="404">
        <f>$F$22</f>
        <v>0.49440000000000001</v>
      </c>
      <c r="L22" s="77">
        <f>I22*J22*K22</f>
        <v>0</v>
      </c>
    </row>
    <row r="23" spans="1:12">
      <c r="A23" s="614">
        <f t="shared" si="0"/>
        <v>11</v>
      </c>
      <c r="B23" s="374"/>
      <c r="D23" s="77"/>
      <c r="E23" s="42"/>
      <c r="F23" s="42"/>
      <c r="G23" s="77"/>
      <c r="H23" s="77"/>
      <c r="I23" s="77"/>
      <c r="J23" s="77"/>
      <c r="K23" s="77"/>
      <c r="L23" s="77"/>
    </row>
    <row r="24" spans="1:12" ht="15.75" thickBot="1">
      <c r="A24" s="614">
        <f t="shared" si="0"/>
        <v>12</v>
      </c>
      <c r="C24" s="4" t="s">
        <v>726</v>
      </c>
      <c r="D24" s="328">
        <f>D22+D19+D16+D13</f>
        <v>-1437536.5350000001</v>
      </c>
      <c r="E24" s="35"/>
      <c r="F24" s="35"/>
      <c r="G24" s="328">
        <f>G22+G19+G16+G13</f>
        <v>-1437536.5350000001</v>
      </c>
      <c r="I24" s="328">
        <f>I22+I19+I16+I13</f>
        <v>-1437536.5350000001</v>
      </c>
      <c r="J24" s="35"/>
      <c r="K24" s="35"/>
      <c r="L24" s="328">
        <f>L22+L19+L16+L13</f>
        <v>-1437536.5350000001</v>
      </c>
    </row>
    <row r="25" spans="1:12" ht="15.75" thickTop="1"/>
    <row r="26" spans="1:12">
      <c r="A26" s="35"/>
      <c r="B26" s="35"/>
      <c r="C26" s="88"/>
      <c r="D26" s="35"/>
      <c r="E26" s="35"/>
      <c r="F26" s="35"/>
      <c r="G26" s="35"/>
      <c r="I26" s="35"/>
      <c r="J26" s="35"/>
      <c r="K26" s="35"/>
      <c r="L26" s="35"/>
    </row>
    <row r="27" spans="1:12">
      <c r="A27" s="35"/>
      <c r="B27" s="35"/>
      <c r="D27" s="35"/>
      <c r="E27" s="35"/>
      <c r="F27" s="35"/>
      <c r="G27" s="35"/>
      <c r="I27" s="35"/>
      <c r="J27" s="35"/>
      <c r="K27" s="35"/>
      <c r="L27" s="35"/>
    </row>
    <row r="28" spans="1:12">
      <c r="A28" s="35"/>
      <c r="B28" s="35"/>
      <c r="C28" s="377"/>
    </row>
    <row r="29" spans="1:12">
      <c r="A29" s="35"/>
      <c r="B29" s="35"/>
    </row>
    <row r="30" spans="1:12">
      <c r="A30" s="35"/>
      <c r="B30" s="35"/>
    </row>
    <row r="31" spans="1:12">
      <c r="A31" s="35"/>
      <c r="B31" s="35"/>
    </row>
    <row r="32" spans="1:12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  <row r="43" spans="1:2">
      <c r="A43" s="35"/>
      <c r="B43" s="35"/>
    </row>
    <row r="44" spans="1:2">
      <c r="A44" s="35"/>
      <c r="B44" s="35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1" bottom="1" header="0.5" footer="0.17"/>
  <pageSetup scale="62" orientation="landscape" verticalDpi="300" r:id="rId1"/>
  <headerFooter alignWithMargins="0">
    <oddFooter>&amp;RSchedule &amp;A
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56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S8" sqref="S8"/>
    </sheetView>
  </sheetViews>
  <sheetFormatPr defaultRowHeight="15"/>
  <cols>
    <col min="1" max="1" width="4.33203125" style="80" bestFit="1" customWidth="1"/>
    <col min="2" max="2" width="44.21875" style="80" customWidth="1"/>
    <col min="3" max="3" width="12.5546875" style="80" bestFit="1" customWidth="1"/>
    <col min="4" max="4" width="12.6640625" style="80" bestFit="1" customWidth="1"/>
    <col min="5" max="7" width="12" style="80" bestFit="1" customWidth="1"/>
    <col min="8" max="8" width="12.44140625" style="80" customWidth="1"/>
    <col min="9" max="14" width="12" style="80" bestFit="1" customWidth="1"/>
    <col min="15" max="15" width="12.5546875" style="80" bestFit="1" customWidth="1"/>
    <col min="16" max="16" width="12" style="80" bestFit="1" customWidth="1"/>
    <col min="17" max="17" width="10.44140625" style="80" bestFit="1" customWidth="1"/>
    <col min="18" max="18" width="12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Contents'!A4:C4</f>
        <v>Forecasted Test Period: Twelve Months Ended March 31, 2019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1448</v>
      </c>
    </row>
    <row r="7" spans="1:18">
      <c r="A7" s="80" t="s">
        <v>94</v>
      </c>
      <c r="C7" s="862" t="s">
        <v>458</v>
      </c>
      <c r="D7" s="862" t="s">
        <v>458</v>
      </c>
      <c r="E7" s="862" t="s">
        <v>458</v>
      </c>
      <c r="F7" s="862" t="s">
        <v>458</v>
      </c>
      <c r="G7" s="862" t="s">
        <v>458</v>
      </c>
      <c r="H7" s="862" t="s">
        <v>44</v>
      </c>
      <c r="I7" s="862" t="s">
        <v>44</v>
      </c>
      <c r="J7" s="862" t="s">
        <v>44</v>
      </c>
      <c r="K7" s="862" t="s">
        <v>44</v>
      </c>
      <c r="L7" s="862" t="s">
        <v>44</v>
      </c>
      <c r="M7" s="862" t="s">
        <v>44</v>
      </c>
      <c r="N7" s="862" t="s">
        <v>44</v>
      </c>
      <c r="O7" s="862" t="s">
        <v>44</v>
      </c>
      <c r="P7" s="862" t="s">
        <v>46</v>
      </c>
    </row>
    <row r="8" spans="1:18">
      <c r="A8" s="932" t="s">
        <v>100</v>
      </c>
      <c r="B8" s="932" t="s">
        <v>993</v>
      </c>
      <c r="C8" s="615">
        <f>O8-365</f>
        <v>43160</v>
      </c>
      <c r="D8" s="615">
        <f>'C.2.2-F 09'!D10</f>
        <v>43191</v>
      </c>
      <c r="E8" s="615">
        <f>'C.2.2-F 09'!E10</f>
        <v>43221</v>
      </c>
      <c r="F8" s="615">
        <f>'C.2.2-F 09'!F10</f>
        <v>43252</v>
      </c>
      <c r="G8" s="615">
        <f>'C.2.2-F 09'!G10</f>
        <v>43282</v>
      </c>
      <c r="H8" s="615">
        <f>'C.2.2-F 09'!H10</f>
        <v>43313</v>
      </c>
      <c r="I8" s="615">
        <f>'C.2.2-F 09'!I10</f>
        <v>43344</v>
      </c>
      <c r="J8" s="615">
        <f>'C.2.2-F 09'!J10</f>
        <v>43374</v>
      </c>
      <c r="K8" s="615">
        <f>'C.2.2-F 09'!K10</f>
        <v>43405</v>
      </c>
      <c r="L8" s="615">
        <f>'C.2.2-F 09'!L10</f>
        <v>43435</v>
      </c>
      <c r="M8" s="615">
        <f>'C.2.2-F 09'!M10</f>
        <v>43466</v>
      </c>
      <c r="N8" s="615">
        <f>'C.2.2-F 09'!N10</f>
        <v>43497</v>
      </c>
      <c r="O8" s="615">
        <f>'C.2.2-F 09'!O10</f>
        <v>43525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</row>
    <row r="12" spans="1:18">
      <c r="A12" s="862">
        <v>3</v>
      </c>
      <c r="B12" s="697" t="s">
        <v>1181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</row>
    <row r="14" spans="1:18">
      <c r="A14" s="862">
        <v>5</v>
      </c>
      <c r="B14" s="813" t="s">
        <v>519</v>
      </c>
      <c r="C14" s="361">
        <v>-270521.8133333333</v>
      </c>
      <c r="D14" s="361">
        <v>-270521.8133333333</v>
      </c>
      <c r="E14" s="361">
        <v>-270521.8133333333</v>
      </c>
      <c r="F14" s="361">
        <v>-270521.8133333333</v>
      </c>
      <c r="G14" s="361">
        <v>-270521.8133333333</v>
      </c>
      <c r="H14" s="361">
        <v>-270521.8133333333</v>
      </c>
      <c r="I14" s="361">
        <v>-270521.8133333333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 t="shared" ref="C15" si="0">SUM(C13:C14)</f>
        <v>-270521.8133333333</v>
      </c>
      <c r="D15" s="727">
        <f t="shared" ref="D15:O15" si="1">SUM(D13:D14)</f>
        <v>-270521.8133333333</v>
      </c>
      <c r="E15" s="727">
        <f t="shared" si="1"/>
        <v>-270521.8133333333</v>
      </c>
      <c r="F15" s="727">
        <f t="shared" si="1"/>
        <v>-270521.8133333333</v>
      </c>
      <c r="G15" s="727">
        <f t="shared" si="1"/>
        <v>-270521.8133333333</v>
      </c>
      <c r="H15" s="727">
        <f t="shared" si="1"/>
        <v>-270521.8133333333</v>
      </c>
      <c r="I15" s="727">
        <f t="shared" si="1"/>
        <v>-270521.8133333333</v>
      </c>
      <c r="J15" s="727">
        <f t="shared" si="1"/>
        <v>-270521.8133333333</v>
      </c>
      <c r="K15" s="727">
        <f t="shared" si="1"/>
        <v>-270521.8133333333</v>
      </c>
      <c r="L15" s="727">
        <f t="shared" si="1"/>
        <v>-270521.8133333333</v>
      </c>
      <c r="M15" s="727">
        <f t="shared" si="1"/>
        <v>-270521.8133333333</v>
      </c>
      <c r="N15" s="727">
        <f t="shared" si="1"/>
        <v>-270521.8133333333</v>
      </c>
      <c r="O15" s="727">
        <f t="shared" si="1"/>
        <v>-270521.8133333333</v>
      </c>
      <c r="P15" s="347">
        <f>(SUM(C15:O15))/13</f>
        <v>-270521.81333333335</v>
      </c>
    </row>
    <row r="16" spans="1:18">
      <c r="A16" s="862">
        <v>7</v>
      </c>
      <c r="B16" s="813"/>
    </row>
    <row r="17" spans="1:16">
      <c r="A17" s="862">
        <v>8</v>
      </c>
      <c r="B17" s="813" t="s">
        <v>1182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879375.69666666677</v>
      </c>
      <c r="D19" s="361">
        <v>879375.69666666677</v>
      </c>
      <c r="E19" s="361">
        <v>879375.69666666677</v>
      </c>
      <c r="F19" s="361">
        <v>879375.69666666677</v>
      </c>
      <c r="G19" s="361">
        <v>879375.69666666677</v>
      </c>
      <c r="H19" s="361">
        <v>879375.69666666677</v>
      </c>
      <c r="I19" s="361">
        <v>879375.69666666677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879375.69666666677</v>
      </c>
    </row>
    <row r="20" spans="1:16">
      <c r="A20" s="862">
        <v>11</v>
      </c>
      <c r="B20" s="1079" t="s">
        <v>520</v>
      </c>
      <c r="C20" s="726">
        <f t="shared" ref="C20" si="2">SUM(C18:C19)</f>
        <v>955451.13666666672</v>
      </c>
      <c r="D20" s="727">
        <f t="shared" ref="D20:O20" si="3">SUM(D18:D19)</f>
        <v>955451.13666666672</v>
      </c>
      <c r="E20" s="727">
        <f t="shared" si="3"/>
        <v>955451.13666666672</v>
      </c>
      <c r="F20" s="727">
        <f t="shared" si="3"/>
        <v>955451.13666666672</v>
      </c>
      <c r="G20" s="727">
        <f t="shared" si="3"/>
        <v>955451.13666666672</v>
      </c>
      <c r="H20" s="727">
        <f t="shared" si="3"/>
        <v>955451.13666666672</v>
      </c>
      <c r="I20" s="727">
        <f t="shared" si="3"/>
        <v>955451.13666666672</v>
      </c>
      <c r="J20" s="727">
        <f t="shared" si="3"/>
        <v>955451.13666666672</v>
      </c>
      <c r="K20" s="727">
        <f t="shared" si="3"/>
        <v>955451.13666666672</v>
      </c>
      <c r="L20" s="727">
        <f t="shared" si="3"/>
        <v>955451.13666666672</v>
      </c>
      <c r="M20" s="727">
        <f t="shared" si="3"/>
        <v>955451.13666666672</v>
      </c>
      <c r="N20" s="727">
        <f t="shared" si="3"/>
        <v>955451.13666666672</v>
      </c>
      <c r="O20" s="727">
        <f t="shared" si="3"/>
        <v>955451.13666666672</v>
      </c>
      <c r="P20" s="347">
        <f>(SUM(C20:O20))/13</f>
        <v>955451.13666666672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1183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 t="shared" ref="C25" si="4">SUM(C23:C24)</f>
        <v>0</v>
      </c>
      <c r="D25" s="727">
        <f t="shared" ref="D25:O25" si="5">SUM(D23:D24)</f>
        <v>0</v>
      </c>
      <c r="E25" s="727">
        <f t="shared" si="5"/>
        <v>0</v>
      </c>
      <c r="F25" s="727">
        <f t="shared" si="5"/>
        <v>0</v>
      </c>
      <c r="G25" s="727">
        <f t="shared" si="5"/>
        <v>0</v>
      </c>
      <c r="H25" s="727">
        <f t="shared" si="5"/>
        <v>0</v>
      </c>
      <c r="I25" s="727">
        <f t="shared" si="5"/>
        <v>0</v>
      </c>
      <c r="J25" s="727">
        <f t="shared" si="5"/>
        <v>0</v>
      </c>
      <c r="K25" s="727">
        <f t="shared" si="5"/>
        <v>0</v>
      </c>
      <c r="L25" s="727">
        <f t="shared" si="5"/>
        <v>0</v>
      </c>
      <c r="M25" s="727">
        <f t="shared" si="5"/>
        <v>0</v>
      </c>
      <c r="N25" s="727">
        <f t="shared" si="5"/>
        <v>0</v>
      </c>
      <c r="O25" s="727">
        <f t="shared" si="5"/>
        <v>0</v>
      </c>
      <c r="P25" s="347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1184</v>
      </c>
    </row>
    <row r="28" spans="1:16">
      <c r="A28" s="862">
        <v>19</v>
      </c>
      <c r="B28" s="813" t="s">
        <v>518</v>
      </c>
      <c r="C28" s="1080" t="s">
        <v>1693</v>
      </c>
      <c r="D28" s="1080" t="s">
        <v>1693</v>
      </c>
      <c r="E28" s="1080" t="s">
        <v>1693</v>
      </c>
      <c r="F28" s="1080" t="s">
        <v>1693</v>
      </c>
      <c r="G28" s="1080" t="s">
        <v>1693</v>
      </c>
      <c r="H28" s="1080" t="s">
        <v>1693</v>
      </c>
      <c r="I28" s="1080" t="s">
        <v>1693</v>
      </c>
      <c r="J28" s="1080" t="s">
        <v>1693</v>
      </c>
      <c r="K28" s="1080" t="s">
        <v>1693</v>
      </c>
      <c r="L28" s="1080" t="s">
        <v>1693</v>
      </c>
      <c r="M28" s="1080" t="s">
        <v>1693</v>
      </c>
      <c r="N28" s="1080" t="s">
        <v>1693</v>
      </c>
      <c r="O28" s="1080" t="s">
        <v>1693</v>
      </c>
    </row>
    <row r="29" spans="1:16">
      <c r="A29" s="862">
        <v>20</v>
      </c>
      <c r="B29" s="813" t="s">
        <v>519</v>
      </c>
      <c r="C29" s="1080" t="s">
        <v>1693</v>
      </c>
      <c r="D29" s="1080" t="s">
        <v>1693</v>
      </c>
      <c r="E29" s="1080" t="s">
        <v>1693</v>
      </c>
      <c r="F29" s="1080" t="s">
        <v>1693</v>
      </c>
      <c r="G29" s="1080" t="s">
        <v>1693</v>
      </c>
      <c r="H29" s="1080" t="s">
        <v>1693</v>
      </c>
      <c r="I29" s="1080" t="s">
        <v>1693</v>
      </c>
      <c r="J29" s="1080" t="s">
        <v>1693</v>
      </c>
      <c r="K29" s="1080" t="s">
        <v>1693</v>
      </c>
      <c r="L29" s="1080" t="s">
        <v>1693</v>
      </c>
      <c r="M29" s="1080" t="s">
        <v>1693</v>
      </c>
      <c r="N29" s="1080" t="s">
        <v>1693</v>
      </c>
      <c r="O29" s="1080" t="s">
        <v>1693</v>
      </c>
    </row>
    <row r="30" spans="1:16">
      <c r="A30" s="862">
        <v>21</v>
      </c>
      <c r="B30" s="1079" t="s">
        <v>520</v>
      </c>
      <c r="C30" s="727">
        <f t="shared" ref="C30:O30" si="6">SUM(C28:C29)</f>
        <v>0</v>
      </c>
      <c r="D30" s="727">
        <f t="shared" si="6"/>
        <v>0</v>
      </c>
      <c r="E30" s="727">
        <f t="shared" si="6"/>
        <v>0</v>
      </c>
      <c r="F30" s="727">
        <f t="shared" si="6"/>
        <v>0</v>
      </c>
      <c r="G30" s="727">
        <f t="shared" si="6"/>
        <v>0</v>
      </c>
      <c r="H30" s="727">
        <f t="shared" si="6"/>
        <v>0</v>
      </c>
      <c r="I30" s="727">
        <f t="shared" si="6"/>
        <v>0</v>
      </c>
      <c r="J30" s="727">
        <f t="shared" si="6"/>
        <v>0</v>
      </c>
      <c r="K30" s="727">
        <f t="shared" si="6"/>
        <v>0</v>
      </c>
      <c r="L30" s="727">
        <f t="shared" si="6"/>
        <v>0</v>
      </c>
      <c r="M30" s="727">
        <f t="shared" si="6"/>
        <v>0</v>
      </c>
      <c r="N30" s="727">
        <f t="shared" si="6"/>
        <v>0</v>
      </c>
      <c r="O30" s="727">
        <f t="shared" si="6"/>
        <v>0</v>
      </c>
      <c r="P30" s="347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  <c r="R33" s="673"/>
    </row>
    <row r="34" spans="1:18">
      <c r="A34" s="862">
        <v>25</v>
      </c>
      <c r="B34" s="813" t="s">
        <v>1181</v>
      </c>
      <c r="C34" s="347">
        <v>-5040824.6396281663</v>
      </c>
      <c r="D34" s="347">
        <v>-1178144.3829036904</v>
      </c>
      <c r="E34" s="347">
        <v>2639752.0972308498</v>
      </c>
      <c r="F34" s="347">
        <v>6490577.8248579893</v>
      </c>
      <c r="G34" s="347">
        <v>10375649.969877433</v>
      </c>
      <c r="H34" s="347">
        <v>14265990.794495691</v>
      </c>
      <c r="I34" s="347">
        <v>18124719.541521054</v>
      </c>
      <c r="J34" s="347">
        <v>22008474.516640794</v>
      </c>
      <c r="K34" s="347">
        <v>19939491.454701804</v>
      </c>
      <c r="L34" s="347">
        <v>14923260.591732655</v>
      </c>
      <c r="M34" s="347">
        <v>8081737.9360851143</v>
      </c>
      <c r="N34" s="347">
        <v>900905.5114067141</v>
      </c>
      <c r="O34" s="347">
        <v>-4156777.4433354605</v>
      </c>
      <c r="P34" s="347">
        <f>(SUM(C34:O34))/13</f>
        <v>8259601.0594371371</v>
      </c>
      <c r="R34" s="673"/>
    </row>
    <row r="35" spans="1:18">
      <c r="A35" s="862">
        <v>26</v>
      </c>
      <c r="B35" s="813"/>
      <c r="K35" s="347"/>
      <c r="L35" s="347"/>
      <c r="M35" s="347"/>
      <c r="N35" s="347"/>
      <c r="O35" s="347"/>
    </row>
    <row r="36" spans="1:18">
      <c r="A36" s="862">
        <v>27</v>
      </c>
      <c r="B36" s="813" t="s">
        <v>1182</v>
      </c>
      <c r="C36" s="347">
        <v>0</v>
      </c>
      <c r="D36" s="347">
        <v>0</v>
      </c>
      <c r="E36" s="347">
        <v>0</v>
      </c>
      <c r="F36" s="347">
        <v>0</v>
      </c>
      <c r="G36" s="347">
        <v>0</v>
      </c>
      <c r="H36" s="347">
        <v>0</v>
      </c>
      <c r="I36" s="347">
        <v>0</v>
      </c>
      <c r="J36" s="347">
        <v>0</v>
      </c>
      <c r="K36" s="347">
        <v>0</v>
      </c>
      <c r="L36" s="347">
        <v>0</v>
      </c>
      <c r="M36" s="347">
        <v>0</v>
      </c>
      <c r="N36" s="347">
        <v>0</v>
      </c>
      <c r="O36" s="347">
        <v>0</v>
      </c>
      <c r="P36" s="347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1183</v>
      </c>
      <c r="C38" s="347">
        <v>0</v>
      </c>
      <c r="D38" s="347">
        <v>0</v>
      </c>
      <c r="E38" s="347">
        <v>0</v>
      </c>
      <c r="F38" s="347">
        <v>0</v>
      </c>
      <c r="G38" s="347">
        <v>0</v>
      </c>
      <c r="H38" s="347">
        <v>0</v>
      </c>
      <c r="I38" s="347">
        <v>0</v>
      </c>
      <c r="J38" s="347">
        <v>0</v>
      </c>
      <c r="K38" s="347">
        <v>0</v>
      </c>
      <c r="L38" s="347">
        <v>0</v>
      </c>
      <c r="M38" s="347">
        <v>0</v>
      </c>
      <c r="N38" s="347">
        <v>0</v>
      </c>
      <c r="O38" s="347">
        <v>0</v>
      </c>
      <c r="P38" s="347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1184</v>
      </c>
      <c r="C40" s="347">
        <v>0</v>
      </c>
      <c r="D40" s="347">
        <v>0</v>
      </c>
      <c r="E40" s="347">
        <v>0</v>
      </c>
      <c r="F40" s="347">
        <v>0</v>
      </c>
      <c r="G40" s="347">
        <v>0</v>
      </c>
      <c r="H40" s="347">
        <v>0</v>
      </c>
      <c r="I40" s="347">
        <v>0</v>
      </c>
      <c r="J40" s="347">
        <v>0</v>
      </c>
      <c r="K40" s="347">
        <v>0</v>
      </c>
      <c r="L40" s="347">
        <v>0</v>
      </c>
      <c r="M40" s="347">
        <v>0</v>
      </c>
      <c r="N40" s="347">
        <v>0</v>
      </c>
      <c r="O40" s="347">
        <v>0</v>
      </c>
      <c r="P40" s="347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1181</v>
      </c>
      <c r="C44" s="361">
        <v>68932.791666666657</v>
      </c>
      <c r="D44" s="361">
        <v>68932.791666666657</v>
      </c>
      <c r="E44" s="361">
        <v>68932.791666666657</v>
      </c>
      <c r="F44" s="361">
        <v>68932.791666666657</v>
      </c>
      <c r="G44" s="361">
        <v>68932.791666666657</v>
      </c>
      <c r="H44" s="361">
        <v>68932.791666666657</v>
      </c>
      <c r="I44" s="361">
        <v>68932.791666666657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47">
        <f>(SUM(C44:O44))/13</f>
        <v>68932.791666666642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1182</v>
      </c>
      <c r="C46" s="361">
        <v>3673.0716666666667</v>
      </c>
      <c r="D46" s="361">
        <v>3673.0716666666667</v>
      </c>
      <c r="E46" s="361">
        <v>3673.0716666666667</v>
      </c>
      <c r="F46" s="361">
        <v>3673.0716666666667</v>
      </c>
      <c r="G46" s="361">
        <v>3673.0716666666667</v>
      </c>
      <c r="H46" s="361">
        <v>3673.0716666666667</v>
      </c>
      <c r="I46" s="361">
        <v>3673.0716666666667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16870.152857142857</v>
      </c>
      <c r="P46" s="347">
        <f>(SUM(C46:O46))/13</f>
        <v>4688.2317582417591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1183</v>
      </c>
      <c r="C48" s="361">
        <v>30135178.864999995</v>
      </c>
      <c r="D48" s="361">
        <v>30135178.864999995</v>
      </c>
      <c r="E48" s="361">
        <v>30135178.864999995</v>
      </c>
      <c r="F48" s="361">
        <v>30135178.864999995</v>
      </c>
      <c r="G48" s="361">
        <v>30135178.864999995</v>
      </c>
      <c r="H48" s="361">
        <v>30135178.864999995</v>
      </c>
      <c r="I48" s="361">
        <v>30135178.864999995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47">
        <f>(SUM(C48:O48))/13</f>
        <v>30135178.865000006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1184</v>
      </c>
      <c r="C50" s="1080">
        <v>1610328.41</v>
      </c>
      <c r="D50" s="1080">
        <v>1610328.41</v>
      </c>
      <c r="E50" s="1080">
        <v>1610328.41</v>
      </c>
      <c r="F50" s="1080">
        <v>1610328.41</v>
      </c>
      <c r="G50" s="1080">
        <v>1610328.41</v>
      </c>
      <c r="H50" s="1080">
        <v>1610328.41</v>
      </c>
      <c r="I50" s="1080">
        <v>1610328.41</v>
      </c>
      <c r="J50" s="1080">
        <v>1610328.41</v>
      </c>
      <c r="K50" s="1080">
        <v>1610328.41</v>
      </c>
      <c r="L50" s="1080">
        <v>1610328.41</v>
      </c>
      <c r="M50" s="1080">
        <v>1610328.41</v>
      </c>
      <c r="N50" s="1080">
        <v>1610328.41</v>
      </c>
      <c r="O50" s="1080">
        <v>1610328.41</v>
      </c>
      <c r="P50" s="347">
        <f>(SUM(C50:O50))/13</f>
        <v>1610328.41</v>
      </c>
    </row>
    <row r="54" spans="1:16">
      <c r="L54" s="80" t="s">
        <v>327</v>
      </c>
    </row>
    <row r="55" spans="1:16">
      <c r="B55" s="80" t="s">
        <v>523</v>
      </c>
      <c r="C55" s="673"/>
    </row>
    <row r="56" spans="1:16">
      <c r="B56" s="80" t="s">
        <v>1658</v>
      </c>
      <c r="C56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62" right="0.44" top="1" bottom="1" header="0.5" footer="0.5"/>
  <pageSetup scale="48" orientation="landscape" r:id="rId1"/>
  <headerFooter alignWithMargins="0">
    <oddFooter>&amp;R&amp;A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60"/>
  <sheetViews>
    <sheetView view="pageBreakPreview" zoomScale="70" zoomScaleNormal="80" zoomScaleSheetLayoutView="70" workbookViewId="0">
      <pane xSplit="2" ySplit="8" topLeftCell="C9" activePane="bottomRight" state="frozen"/>
      <selection activeCell="G63" sqref="G63"/>
      <selection pane="topRight" activeCell="G63" sqref="G63"/>
      <selection pane="bottomLeft" activeCell="G63" sqref="G63"/>
      <selection pane="bottomRight" activeCell="D12" sqref="D12"/>
    </sheetView>
  </sheetViews>
  <sheetFormatPr defaultRowHeight="15"/>
  <cols>
    <col min="1" max="1" width="4.33203125" style="80" bestFit="1" customWidth="1"/>
    <col min="2" max="2" width="44.21875" style="80" customWidth="1"/>
    <col min="3" max="11" width="12" style="80" bestFit="1" customWidth="1"/>
    <col min="12" max="12" width="12.6640625" style="80" customWidth="1"/>
    <col min="13" max="13" width="12.5546875" style="80" bestFit="1" customWidth="1"/>
    <col min="14" max="14" width="12" style="80" bestFit="1" customWidth="1"/>
    <col min="15" max="15" width="11.88671875" style="80" customWidth="1"/>
    <col min="16" max="16" width="12" style="80" bestFit="1" customWidth="1"/>
    <col min="17" max="17" width="10.44140625" style="80" bestFit="1" customWidth="1"/>
    <col min="18" max="18" width="7.109375" style="80" customWidth="1"/>
    <col min="19" max="16384" width="8.88671875" style="80"/>
  </cols>
  <sheetData>
    <row r="1" spans="1:18">
      <c r="A1" s="1158" t="str">
        <f>'Table of Contents'!A1:C1</f>
        <v>Atmos Energy Corporation, Kentucky/Mid-States Division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O1" s="1158"/>
      <c r="P1" s="1158"/>
    </row>
    <row r="2" spans="1:18">
      <c r="A2" s="1158" t="str">
        <f>'Table of Contents'!A2:C2</f>
        <v>Kentucky Jurisdiction Case No. 2017-00349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1158"/>
    </row>
    <row r="3" spans="1:18">
      <c r="A3" s="1158" t="str">
        <f>'Table of Contents'!A3:C3</f>
        <v>Base Period: Twelve Months Ended December 31, 2017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/>
      <c r="L3" s="1158"/>
      <c r="M3" s="1158"/>
      <c r="N3" s="1158"/>
      <c r="O3" s="1158"/>
      <c r="P3" s="1158"/>
    </row>
    <row r="4" spans="1:18">
      <c r="A4" s="1158" t="s">
        <v>113</v>
      </c>
      <c r="B4" s="1158"/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58"/>
      <c r="N4" s="1158"/>
      <c r="O4" s="1158"/>
      <c r="P4" s="1158"/>
    </row>
    <row r="5" spans="1:18">
      <c r="P5" s="599" t="s">
        <v>1448</v>
      </c>
    </row>
    <row r="7" spans="1:18">
      <c r="A7" s="80" t="s">
        <v>94</v>
      </c>
      <c r="C7" s="862" t="s">
        <v>108</v>
      </c>
      <c r="D7" s="862" t="s">
        <v>108</v>
      </c>
      <c r="E7" s="862" t="s">
        <v>108</v>
      </c>
      <c r="F7" s="862" t="s">
        <v>108</v>
      </c>
      <c r="G7" s="862" t="s">
        <v>108</v>
      </c>
      <c r="H7" s="862" t="s">
        <v>108</v>
      </c>
      <c r="I7" s="862" t="s">
        <v>108</v>
      </c>
      <c r="J7" s="862" t="s">
        <v>1410</v>
      </c>
      <c r="K7" s="862" t="s">
        <v>458</v>
      </c>
      <c r="L7" s="862" t="s">
        <v>458</v>
      </c>
      <c r="M7" s="862" t="s">
        <v>458</v>
      </c>
      <c r="N7" s="862" t="s">
        <v>458</v>
      </c>
      <c r="O7" s="862" t="s">
        <v>458</v>
      </c>
      <c r="P7" s="862" t="s">
        <v>46</v>
      </c>
    </row>
    <row r="8" spans="1:18">
      <c r="A8" s="932" t="s">
        <v>100</v>
      </c>
      <c r="B8" s="932" t="s">
        <v>993</v>
      </c>
      <c r="C8" s="615">
        <f>O8-365</f>
        <v>42705</v>
      </c>
      <c r="D8" s="615">
        <f>'C.2.2 B 09'!D10</f>
        <v>42736</v>
      </c>
      <c r="E8" s="615">
        <f>'C.2.2 B 09'!E10</f>
        <v>42767</v>
      </c>
      <c r="F8" s="615">
        <f>'C.2.2 B 09'!F10</f>
        <v>42795</v>
      </c>
      <c r="G8" s="615">
        <f>'C.2.2 B 09'!G10</f>
        <v>42826</v>
      </c>
      <c r="H8" s="615">
        <f>'C.2.2 B 09'!H10</f>
        <v>42856</v>
      </c>
      <c r="I8" s="615">
        <f>'C.2.2 B 09'!I10</f>
        <v>42887</v>
      </c>
      <c r="J8" s="615">
        <f>'C.2.2 B 09'!J10</f>
        <v>42917</v>
      </c>
      <c r="K8" s="615">
        <f>'C.2.2 B 09'!K10</f>
        <v>42948</v>
      </c>
      <c r="L8" s="615">
        <f>'C.2.2 B 09'!L10</f>
        <v>42979</v>
      </c>
      <c r="M8" s="615">
        <f>'C.2.2 B 09'!M10</f>
        <v>43009</v>
      </c>
      <c r="N8" s="615">
        <f>'C.2.2 B 09'!N10</f>
        <v>43040</v>
      </c>
      <c r="O8" s="615">
        <f>'C.2.2 B 09'!O10</f>
        <v>43070</v>
      </c>
      <c r="P8" s="938" t="s">
        <v>99</v>
      </c>
      <c r="Q8" s="673"/>
      <c r="R8" s="673"/>
    </row>
    <row r="10" spans="1:18" ht="15.75">
      <c r="A10" s="862">
        <v>1</v>
      </c>
      <c r="B10" s="516" t="s">
        <v>268</v>
      </c>
    </row>
    <row r="11" spans="1:18">
      <c r="A11" s="862">
        <v>2</v>
      </c>
      <c r="B11" s="697"/>
      <c r="R11" s="693"/>
    </row>
    <row r="12" spans="1:18">
      <c r="A12" s="862">
        <v>3</v>
      </c>
      <c r="B12" s="697" t="s">
        <v>1181</v>
      </c>
    </row>
    <row r="13" spans="1:18">
      <c r="A13" s="862">
        <v>4</v>
      </c>
      <c r="B13" s="813" t="s">
        <v>518</v>
      </c>
      <c r="C13" s="361">
        <v>0</v>
      </c>
      <c r="D13" s="361">
        <v>0</v>
      </c>
      <c r="E13" s="361">
        <v>0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  <c r="R13" s="693"/>
    </row>
    <row r="14" spans="1:18">
      <c r="A14" s="862">
        <v>5</v>
      </c>
      <c r="B14" s="813" t="s">
        <v>519</v>
      </c>
      <c r="C14" s="361">
        <v>-57155.38</v>
      </c>
      <c r="D14" s="361">
        <v>-62145.880000000005</v>
      </c>
      <c r="E14" s="361">
        <v>-86324.529999999984</v>
      </c>
      <c r="F14" s="361">
        <v>-278876.51</v>
      </c>
      <c r="G14" s="361">
        <v>-351177.04000000004</v>
      </c>
      <c r="H14" s="361">
        <v>-398764.01999999996</v>
      </c>
      <c r="I14" s="361">
        <v>-445842.89999999997</v>
      </c>
      <c r="J14" s="361">
        <v>-270521.8133333333</v>
      </c>
      <c r="K14" s="361">
        <v>-270521.8133333333</v>
      </c>
      <c r="L14" s="361">
        <v>-270521.8133333333</v>
      </c>
      <c r="M14" s="361">
        <v>-270521.8133333333</v>
      </c>
      <c r="N14" s="361">
        <v>-270521.8133333333</v>
      </c>
      <c r="O14" s="361">
        <v>-270521.8133333333</v>
      </c>
    </row>
    <row r="15" spans="1:18">
      <c r="A15" s="862">
        <v>6</v>
      </c>
      <c r="B15" s="1079" t="s">
        <v>520</v>
      </c>
      <c r="C15" s="726">
        <f>SUM(C13:C14)</f>
        <v>-57155.38</v>
      </c>
      <c r="D15" s="726">
        <f t="shared" ref="D15:O15" si="0">SUM(D13:D14)</f>
        <v>-62145.880000000005</v>
      </c>
      <c r="E15" s="726">
        <f t="shared" si="0"/>
        <v>-86324.529999999984</v>
      </c>
      <c r="F15" s="726">
        <f t="shared" si="0"/>
        <v>-278876.51</v>
      </c>
      <c r="G15" s="726">
        <f t="shared" si="0"/>
        <v>-351177.04000000004</v>
      </c>
      <c r="H15" s="726">
        <f t="shared" si="0"/>
        <v>-398764.01999999996</v>
      </c>
      <c r="I15" s="726">
        <f t="shared" si="0"/>
        <v>-445842.89999999997</v>
      </c>
      <c r="J15" s="726">
        <f t="shared" si="0"/>
        <v>-270521.8133333333</v>
      </c>
      <c r="K15" s="726">
        <f t="shared" si="0"/>
        <v>-270521.8133333333</v>
      </c>
      <c r="L15" s="726">
        <f t="shared" si="0"/>
        <v>-270521.8133333333</v>
      </c>
      <c r="M15" s="726">
        <f t="shared" si="0"/>
        <v>-270521.8133333333</v>
      </c>
      <c r="N15" s="726">
        <f t="shared" si="0"/>
        <v>-270521.8133333333</v>
      </c>
      <c r="O15" s="726">
        <f t="shared" si="0"/>
        <v>-270521.8133333333</v>
      </c>
      <c r="P15" s="361">
        <f>(SUM(C15:O15))/13</f>
        <v>-254109.01076923081</v>
      </c>
    </row>
    <row r="16" spans="1:18">
      <c r="A16" s="862">
        <v>7</v>
      </c>
      <c r="B16" s="813"/>
    </row>
    <row r="17" spans="1:16">
      <c r="A17" s="862">
        <v>8</v>
      </c>
      <c r="B17" s="813" t="s">
        <v>1182</v>
      </c>
    </row>
    <row r="18" spans="1:16">
      <c r="A18" s="862">
        <v>9</v>
      </c>
      <c r="B18" s="813" t="s">
        <v>518</v>
      </c>
      <c r="C18" s="361">
        <v>76075.44</v>
      </c>
      <c r="D18" s="361">
        <v>76075.44</v>
      </c>
      <c r="E18" s="361">
        <v>76075.44</v>
      </c>
      <c r="F18" s="361">
        <v>76075.44</v>
      </c>
      <c r="G18" s="361">
        <v>76075.44</v>
      </c>
      <c r="H18" s="361">
        <v>76075.44</v>
      </c>
      <c r="I18" s="361">
        <v>76075.44</v>
      </c>
      <c r="J18" s="361">
        <v>76075.44</v>
      </c>
      <c r="K18" s="361">
        <v>76075.44</v>
      </c>
      <c r="L18" s="361">
        <v>76075.44</v>
      </c>
      <c r="M18" s="361">
        <v>76075.44</v>
      </c>
      <c r="N18" s="361">
        <v>76075.44</v>
      </c>
      <c r="O18" s="361">
        <v>76075.44</v>
      </c>
    </row>
    <row r="19" spans="1:16">
      <c r="A19" s="862">
        <v>10</v>
      </c>
      <c r="B19" s="813" t="s">
        <v>519</v>
      </c>
      <c r="C19" s="361">
        <v>585342.82000000007</v>
      </c>
      <c r="D19" s="361">
        <v>656724.80000000005</v>
      </c>
      <c r="E19" s="361">
        <v>760358.21000000008</v>
      </c>
      <c r="F19" s="361">
        <v>853995.7200000002</v>
      </c>
      <c r="G19" s="361">
        <v>913349.68999999983</v>
      </c>
      <c r="H19" s="361">
        <v>1012172.2599999999</v>
      </c>
      <c r="I19" s="361">
        <v>1079653.4999999998</v>
      </c>
      <c r="J19" s="361">
        <v>879375.69666666677</v>
      </c>
      <c r="K19" s="361">
        <v>879375.69666666677</v>
      </c>
      <c r="L19" s="361">
        <v>879375.69666666677</v>
      </c>
      <c r="M19" s="361">
        <v>879375.69666666677</v>
      </c>
      <c r="N19" s="361">
        <v>879375.69666666677</v>
      </c>
      <c r="O19" s="361">
        <v>879375.69666666677</v>
      </c>
    </row>
    <row r="20" spans="1:16">
      <c r="A20" s="862">
        <v>11</v>
      </c>
      <c r="B20" s="1079" t="s">
        <v>520</v>
      </c>
      <c r="C20" s="726">
        <f>SUM(C18:C19)</f>
        <v>661418.26</v>
      </c>
      <c r="D20" s="726">
        <f t="shared" ref="D20:O20" si="1">SUM(D18:D19)</f>
        <v>732800.24</v>
      </c>
      <c r="E20" s="726">
        <f t="shared" si="1"/>
        <v>836433.65000000014</v>
      </c>
      <c r="F20" s="726">
        <f t="shared" si="1"/>
        <v>930071.16000000015</v>
      </c>
      <c r="G20" s="726">
        <f t="shared" si="1"/>
        <v>989425.12999999989</v>
      </c>
      <c r="H20" s="726">
        <f t="shared" si="1"/>
        <v>1088247.7</v>
      </c>
      <c r="I20" s="726">
        <f t="shared" si="1"/>
        <v>1155728.9399999997</v>
      </c>
      <c r="J20" s="726">
        <f t="shared" si="1"/>
        <v>955451.13666666672</v>
      </c>
      <c r="K20" s="726">
        <f t="shared" si="1"/>
        <v>955451.13666666672</v>
      </c>
      <c r="L20" s="726">
        <f t="shared" si="1"/>
        <v>955451.13666666672</v>
      </c>
      <c r="M20" s="726">
        <f t="shared" si="1"/>
        <v>955451.13666666672</v>
      </c>
      <c r="N20" s="726">
        <f t="shared" si="1"/>
        <v>955451.13666666672</v>
      </c>
      <c r="O20" s="726">
        <f t="shared" si="1"/>
        <v>955451.13666666672</v>
      </c>
      <c r="P20" s="361">
        <f>(SUM(C20:O20))/13</f>
        <v>932833.22307692305</v>
      </c>
    </row>
    <row r="21" spans="1:16">
      <c r="A21" s="862">
        <v>12</v>
      </c>
      <c r="B21" s="813"/>
    </row>
    <row r="22" spans="1:16">
      <c r="A22" s="862">
        <v>13</v>
      </c>
      <c r="B22" s="813" t="s">
        <v>1183</v>
      </c>
    </row>
    <row r="23" spans="1:16">
      <c r="A23" s="862">
        <v>14</v>
      </c>
      <c r="B23" s="813" t="s">
        <v>518</v>
      </c>
      <c r="C23" s="1080">
        <v>0</v>
      </c>
      <c r="D23" s="1080">
        <v>0</v>
      </c>
      <c r="E23" s="1080">
        <v>0</v>
      </c>
      <c r="F23" s="1080">
        <v>0</v>
      </c>
      <c r="G23" s="1080">
        <v>0</v>
      </c>
      <c r="H23" s="1080">
        <v>0</v>
      </c>
      <c r="I23" s="1080">
        <v>0</v>
      </c>
      <c r="J23" s="1080">
        <v>0</v>
      </c>
      <c r="K23" s="1080">
        <v>0</v>
      </c>
      <c r="L23" s="1080">
        <v>0</v>
      </c>
      <c r="M23" s="1080">
        <v>0</v>
      </c>
      <c r="N23" s="1080">
        <v>0</v>
      </c>
      <c r="O23" s="1080">
        <v>0</v>
      </c>
    </row>
    <row r="24" spans="1:16">
      <c r="A24" s="862">
        <v>15</v>
      </c>
      <c r="B24" s="813" t="s">
        <v>519</v>
      </c>
      <c r="C24" s="1080">
        <v>0</v>
      </c>
      <c r="D24" s="1080">
        <v>0</v>
      </c>
      <c r="E24" s="1080">
        <v>0</v>
      </c>
      <c r="F24" s="1080">
        <v>0</v>
      </c>
      <c r="G24" s="1080">
        <v>0</v>
      </c>
      <c r="H24" s="1080">
        <v>0</v>
      </c>
      <c r="I24" s="1080">
        <v>0</v>
      </c>
      <c r="J24" s="1080">
        <v>0</v>
      </c>
      <c r="K24" s="1080">
        <v>0</v>
      </c>
      <c r="L24" s="1080">
        <v>0</v>
      </c>
      <c r="M24" s="1080">
        <v>0</v>
      </c>
      <c r="N24" s="1080">
        <v>0</v>
      </c>
      <c r="O24" s="1080">
        <v>0</v>
      </c>
    </row>
    <row r="25" spans="1:16">
      <c r="A25" s="862">
        <v>16</v>
      </c>
      <c r="B25" s="1079" t="s">
        <v>520</v>
      </c>
      <c r="C25" s="726">
        <f>SUM(C23:C24)</f>
        <v>0</v>
      </c>
      <c r="D25" s="726">
        <f t="shared" ref="D25:O25" si="2">SUM(D23:D24)</f>
        <v>0</v>
      </c>
      <c r="E25" s="726">
        <f t="shared" si="2"/>
        <v>0</v>
      </c>
      <c r="F25" s="726">
        <f t="shared" si="2"/>
        <v>0</v>
      </c>
      <c r="G25" s="726">
        <f t="shared" si="2"/>
        <v>0</v>
      </c>
      <c r="H25" s="726">
        <f t="shared" si="2"/>
        <v>0</v>
      </c>
      <c r="I25" s="726">
        <f t="shared" si="2"/>
        <v>0</v>
      </c>
      <c r="J25" s="726">
        <f t="shared" si="2"/>
        <v>0</v>
      </c>
      <c r="K25" s="726">
        <f t="shared" si="2"/>
        <v>0</v>
      </c>
      <c r="L25" s="726">
        <f t="shared" si="2"/>
        <v>0</v>
      </c>
      <c r="M25" s="726">
        <f t="shared" si="2"/>
        <v>0</v>
      </c>
      <c r="N25" s="726">
        <f t="shared" si="2"/>
        <v>0</v>
      </c>
      <c r="O25" s="726">
        <f t="shared" si="2"/>
        <v>0</v>
      </c>
      <c r="P25" s="361">
        <f>(SUM(C25:O25))/13</f>
        <v>0</v>
      </c>
    </row>
    <row r="26" spans="1:16">
      <c r="A26" s="862">
        <v>17</v>
      </c>
      <c r="B26" s="813"/>
    </row>
    <row r="27" spans="1:16">
      <c r="A27" s="862">
        <v>18</v>
      </c>
      <c r="B27" s="813" t="s">
        <v>1184</v>
      </c>
    </row>
    <row r="28" spans="1:16">
      <c r="A28" s="862">
        <v>19</v>
      </c>
      <c r="B28" s="813" t="s">
        <v>518</v>
      </c>
      <c r="C28" s="1080" t="s">
        <v>1693</v>
      </c>
      <c r="D28" s="1080" t="s">
        <v>1693</v>
      </c>
      <c r="E28" s="1080" t="s">
        <v>1693</v>
      </c>
      <c r="F28" s="1080" t="s">
        <v>1693</v>
      </c>
      <c r="G28" s="1080" t="s">
        <v>1693</v>
      </c>
      <c r="H28" s="1080" t="s">
        <v>1693</v>
      </c>
      <c r="I28" s="1080" t="s">
        <v>1693</v>
      </c>
      <c r="J28" s="1080" t="s">
        <v>1693</v>
      </c>
      <c r="K28" s="1080" t="s">
        <v>1693</v>
      </c>
      <c r="L28" s="1080" t="s">
        <v>1693</v>
      </c>
      <c r="M28" s="1080" t="s">
        <v>1693</v>
      </c>
      <c r="N28" s="1080" t="s">
        <v>1693</v>
      </c>
      <c r="O28" s="1080" t="s">
        <v>1693</v>
      </c>
    </row>
    <row r="29" spans="1:16">
      <c r="A29" s="862">
        <v>20</v>
      </c>
      <c r="B29" s="813" t="s">
        <v>519</v>
      </c>
      <c r="C29" s="1080" t="s">
        <v>1693</v>
      </c>
      <c r="D29" s="1080" t="s">
        <v>1693</v>
      </c>
      <c r="E29" s="1080" t="s">
        <v>1693</v>
      </c>
      <c r="F29" s="1080" t="s">
        <v>1693</v>
      </c>
      <c r="G29" s="1080" t="s">
        <v>1693</v>
      </c>
      <c r="H29" s="1080" t="s">
        <v>1693</v>
      </c>
      <c r="I29" s="1080" t="s">
        <v>1693</v>
      </c>
      <c r="J29" s="1080" t="s">
        <v>1693</v>
      </c>
      <c r="K29" s="1080" t="s">
        <v>1693</v>
      </c>
      <c r="L29" s="1080" t="s">
        <v>1693</v>
      </c>
      <c r="M29" s="1080" t="s">
        <v>1693</v>
      </c>
      <c r="N29" s="1080" t="s">
        <v>1693</v>
      </c>
      <c r="O29" s="1080" t="s">
        <v>1693</v>
      </c>
    </row>
    <row r="30" spans="1:16">
      <c r="A30" s="862">
        <v>21</v>
      </c>
      <c r="B30" s="1079" t="s">
        <v>520</v>
      </c>
      <c r="C30" s="726">
        <f>SUM(C28:C29)</f>
        <v>0</v>
      </c>
      <c r="D30" s="726">
        <f t="shared" ref="D30:J30" si="3">SUM(D28:D29)</f>
        <v>0</v>
      </c>
      <c r="E30" s="726">
        <f t="shared" si="3"/>
        <v>0</v>
      </c>
      <c r="F30" s="726">
        <f t="shared" si="3"/>
        <v>0</v>
      </c>
      <c r="G30" s="726">
        <f t="shared" si="3"/>
        <v>0</v>
      </c>
      <c r="H30" s="726">
        <f t="shared" si="3"/>
        <v>0</v>
      </c>
      <c r="I30" s="726">
        <f t="shared" si="3"/>
        <v>0</v>
      </c>
      <c r="J30" s="726">
        <f t="shared" si="3"/>
        <v>0</v>
      </c>
      <c r="K30" s="726">
        <f>SUM(K28:K29)</f>
        <v>0</v>
      </c>
      <c r="L30" s="726">
        <f>SUM(L28:L29)</f>
        <v>0</v>
      </c>
      <c r="M30" s="726">
        <f>SUM(M28:M29)</f>
        <v>0</v>
      </c>
      <c r="N30" s="726">
        <f>SUM(N28:N29)</f>
        <v>0</v>
      </c>
      <c r="O30" s="726">
        <f>SUM(O28:O29)</f>
        <v>0</v>
      </c>
      <c r="P30" s="361">
        <f>(SUM(C30:O30))/13</f>
        <v>0</v>
      </c>
    </row>
    <row r="31" spans="1:16">
      <c r="A31" s="862">
        <v>22</v>
      </c>
      <c r="B31" s="813"/>
    </row>
    <row r="32" spans="1:16" ht="15.75">
      <c r="A32" s="862">
        <v>23</v>
      </c>
      <c r="B32" s="516" t="s">
        <v>521</v>
      </c>
    </row>
    <row r="33" spans="1:18">
      <c r="A33" s="862">
        <v>24</v>
      </c>
      <c r="B33" s="96"/>
    </row>
    <row r="34" spans="1:18">
      <c r="A34" s="862">
        <v>25</v>
      </c>
      <c r="B34" s="813" t="s">
        <v>1181</v>
      </c>
      <c r="C34" s="361">
        <v>14824454.549999999</v>
      </c>
      <c r="D34" s="361">
        <v>6741670.5500000017</v>
      </c>
      <c r="E34" s="361">
        <v>2380328.580000001</v>
      </c>
      <c r="F34" s="361">
        <v>-1585227.1199999996</v>
      </c>
      <c r="G34" s="361">
        <v>1123327.4100000001</v>
      </c>
      <c r="H34" s="361">
        <v>2873790.4</v>
      </c>
      <c r="I34" s="361">
        <v>5812075.6500000004</v>
      </c>
      <c r="J34" s="361">
        <v>8272783.7200000007</v>
      </c>
      <c r="K34" s="361">
        <v>11340753.880000001</v>
      </c>
      <c r="L34" s="361">
        <v>14331314.09</v>
      </c>
      <c r="M34" s="361">
        <v>17779375.599999998</v>
      </c>
      <c r="N34" s="361">
        <v>15668363.290000003</v>
      </c>
      <c r="O34" s="361">
        <v>12337277.359999999</v>
      </c>
      <c r="P34" s="361">
        <f>(SUM(C34:O34))/13</f>
        <v>8607714.4584615398</v>
      </c>
      <c r="Q34" s="673"/>
      <c r="R34" s="673"/>
    </row>
    <row r="35" spans="1:18">
      <c r="A35" s="862">
        <v>26</v>
      </c>
      <c r="B35" s="813"/>
      <c r="K35" s="361"/>
      <c r="L35" s="361"/>
      <c r="M35" s="361"/>
      <c r="N35" s="361"/>
      <c r="O35" s="361"/>
    </row>
    <row r="36" spans="1:18">
      <c r="A36" s="862">
        <v>27</v>
      </c>
      <c r="B36" s="813" t="s">
        <v>1182</v>
      </c>
      <c r="C36" s="460">
        <v>0</v>
      </c>
      <c r="D36" s="460">
        <v>0</v>
      </c>
      <c r="E36" s="460">
        <v>0</v>
      </c>
      <c r="F36" s="460">
        <v>0</v>
      </c>
      <c r="G36" s="460">
        <v>0</v>
      </c>
      <c r="H36" s="460">
        <v>0</v>
      </c>
      <c r="I36" s="460">
        <v>0</v>
      </c>
      <c r="J36" s="460">
        <v>0</v>
      </c>
      <c r="K36" s="460">
        <v>0</v>
      </c>
      <c r="L36" s="460">
        <v>0</v>
      </c>
      <c r="M36" s="460">
        <v>0</v>
      </c>
      <c r="N36" s="460">
        <v>0</v>
      </c>
      <c r="O36" s="460">
        <v>0</v>
      </c>
      <c r="P36" s="361">
        <f>(SUM(C36:O36))/13</f>
        <v>0</v>
      </c>
    </row>
    <row r="37" spans="1:18">
      <c r="A37" s="862">
        <v>28</v>
      </c>
      <c r="B37" s="813"/>
    </row>
    <row r="38" spans="1:18">
      <c r="A38" s="862">
        <v>29</v>
      </c>
      <c r="B38" s="813" t="s">
        <v>1183</v>
      </c>
      <c r="C38" s="460">
        <v>0</v>
      </c>
      <c r="D38" s="460">
        <v>0</v>
      </c>
      <c r="E38" s="460">
        <v>0</v>
      </c>
      <c r="F38" s="460">
        <v>0</v>
      </c>
      <c r="G38" s="460">
        <v>0</v>
      </c>
      <c r="H38" s="460">
        <v>0</v>
      </c>
      <c r="I38" s="460">
        <v>0</v>
      </c>
      <c r="J38" s="460">
        <v>0</v>
      </c>
      <c r="K38" s="460">
        <v>0</v>
      </c>
      <c r="L38" s="460">
        <v>0</v>
      </c>
      <c r="M38" s="460">
        <v>0</v>
      </c>
      <c r="N38" s="460">
        <v>0</v>
      </c>
      <c r="O38" s="460">
        <v>0</v>
      </c>
      <c r="P38" s="361">
        <f>(SUM(C38:O38))/13</f>
        <v>0</v>
      </c>
    </row>
    <row r="39" spans="1:18">
      <c r="A39" s="862">
        <v>30</v>
      </c>
      <c r="B39" s="813"/>
    </row>
    <row r="40" spans="1:18">
      <c r="A40" s="862">
        <v>31</v>
      </c>
      <c r="B40" s="813" t="s">
        <v>1184</v>
      </c>
      <c r="C40" s="460">
        <v>0</v>
      </c>
      <c r="D40" s="460">
        <v>0</v>
      </c>
      <c r="E40" s="460">
        <v>0</v>
      </c>
      <c r="F40" s="460">
        <v>0</v>
      </c>
      <c r="G40" s="460">
        <v>0</v>
      </c>
      <c r="H40" s="460">
        <v>0</v>
      </c>
      <c r="I40" s="460">
        <v>0</v>
      </c>
      <c r="J40" s="460">
        <v>0</v>
      </c>
      <c r="K40" s="460">
        <v>0</v>
      </c>
      <c r="L40" s="460">
        <v>0</v>
      </c>
      <c r="M40" s="460">
        <v>0</v>
      </c>
      <c r="N40" s="460">
        <v>0</v>
      </c>
      <c r="O40" s="460">
        <v>0</v>
      </c>
      <c r="P40" s="361">
        <f>(SUM(C40:O40))/13</f>
        <v>0</v>
      </c>
    </row>
    <row r="41" spans="1:18">
      <c r="A41" s="862">
        <v>32</v>
      </c>
      <c r="B41" s="1079"/>
    </row>
    <row r="42" spans="1:18" ht="15.75">
      <c r="A42" s="862">
        <v>33</v>
      </c>
      <c r="B42" s="516" t="s">
        <v>522</v>
      </c>
    </row>
    <row r="43" spans="1:18">
      <c r="A43" s="862">
        <v>34</v>
      </c>
      <c r="B43" s="697"/>
    </row>
    <row r="44" spans="1:18">
      <c r="A44" s="862">
        <v>35</v>
      </c>
      <c r="B44" s="813" t="s">
        <v>1181</v>
      </c>
      <c r="C44" s="361">
        <v>165438.74</v>
      </c>
      <c r="D44" s="361">
        <v>137865.60999999999</v>
      </c>
      <c r="E44" s="361">
        <v>110292.48</v>
      </c>
      <c r="F44" s="361">
        <v>82719.350000000006</v>
      </c>
      <c r="G44" s="361">
        <v>55146.22</v>
      </c>
      <c r="H44" s="361">
        <v>27573.09</v>
      </c>
      <c r="I44" s="361">
        <v>0</v>
      </c>
      <c r="J44" s="361">
        <v>68932.791666666657</v>
      </c>
      <c r="K44" s="361">
        <v>68932.791666666657</v>
      </c>
      <c r="L44" s="361">
        <v>68932.791666666657</v>
      </c>
      <c r="M44" s="361">
        <v>68932.791666666657</v>
      </c>
      <c r="N44" s="361">
        <v>68932.791666666657</v>
      </c>
      <c r="O44" s="361">
        <v>68932.791666666657</v>
      </c>
      <c r="P44" s="361">
        <f>(SUM(C44:O44))/13</f>
        <v>76356.326153846123</v>
      </c>
    </row>
    <row r="45" spans="1:18">
      <c r="A45" s="862">
        <v>36</v>
      </c>
      <c r="B45" s="813"/>
    </row>
    <row r="46" spans="1:18">
      <c r="A46" s="862">
        <v>37</v>
      </c>
      <c r="B46" s="813" t="s">
        <v>1182</v>
      </c>
      <c r="C46" s="361">
        <v>5641.97</v>
      </c>
      <c r="D46" s="361">
        <v>4329.38</v>
      </c>
      <c r="E46" s="361">
        <v>3016.79</v>
      </c>
      <c r="F46" s="361">
        <v>1704.2</v>
      </c>
      <c r="G46" s="361">
        <v>391.61</v>
      </c>
      <c r="H46" s="361">
        <v>-920.98</v>
      </c>
      <c r="I46" s="361">
        <v>13517.43</v>
      </c>
      <c r="J46" s="361">
        <v>3673.0716666666667</v>
      </c>
      <c r="K46" s="361">
        <v>3673.0716666666667</v>
      </c>
      <c r="L46" s="361">
        <v>3673.0716666666667</v>
      </c>
      <c r="M46" s="361">
        <v>3673.0716666666667</v>
      </c>
      <c r="N46" s="361">
        <v>3673.0716666666667</v>
      </c>
      <c r="O46" s="361">
        <v>3673.0716666666667</v>
      </c>
      <c r="P46" s="361">
        <f>(SUM(C46:O46))/13</f>
        <v>3824.525384615386</v>
      </c>
    </row>
    <row r="47" spans="1:18">
      <c r="A47" s="862">
        <v>38</v>
      </c>
      <c r="B47" s="813"/>
    </row>
    <row r="48" spans="1:18">
      <c r="A48" s="862">
        <v>39</v>
      </c>
      <c r="B48" s="813" t="s">
        <v>1183</v>
      </c>
      <c r="C48" s="361">
        <v>33944541.850000001</v>
      </c>
      <c r="D48" s="361">
        <v>32452353.869999997</v>
      </c>
      <c r="E48" s="361">
        <v>28243166.189999994</v>
      </c>
      <c r="F48" s="361">
        <v>31839499.27</v>
      </c>
      <c r="G48" s="361">
        <v>29643339.819999997</v>
      </c>
      <c r="H48" s="361">
        <v>31033017.979999997</v>
      </c>
      <c r="I48" s="361">
        <v>27599696.059999999</v>
      </c>
      <c r="J48" s="361">
        <v>30135178.864999995</v>
      </c>
      <c r="K48" s="361">
        <v>30135178.864999995</v>
      </c>
      <c r="L48" s="361">
        <v>30135178.864999995</v>
      </c>
      <c r="M48" s="361">
        <v>30135178.864999995</v>
      </c>
      <c r="N48" s="361">
        <v>30135178.864999995</v>
      </c>
      <c r="O48" s="361">
        <v>30135178.864999995</v>
      </c>
      <c r="P48" s="361">
        <f>(SUM(C48:O48))/13</f>
        <v>30428206.786923077</v>
      </c>
    </row>
    <row r="49" spans="1:16">
      <c r="A49" s="862">
        <v>40</v>
      </c>
      <c r="B49" s="813"/>
    </row>
    <row r="50" spans="1:16">
      <c r="A50" s="862">
        <v>41</v>
      </c>
      <c r="B50" s="813" t="s">
        <v>1184</v>
      </c>
      <c r="C50" s="361">
        <v>1968032.49</v>
      </c>
      <c r="D50" s="361">
        <v>1848566.37</v>
      </c>
      <c r="E50" s="361">
        <v>2174650.0299999998</v>
      </c>
      <c r="F50" s="361">
        <v>1879184.47</v>
      </c>
      <c r="G50" s="361">
        <v>1607139.88</v>
      </c>
      <c r="H50" s="361">
        <v>1839554.82</v>
      </c>
      <c r="I50" s="361">
        <v>1610328.41</v>
      </c>
      <c r="J50" s="361">
        <v>1610328.41</v>
      </c>
      <c r="K50" s="361">
        <v>1610328.41</v>
      </c>
      <c r="L50" s="361">
        <v>1610328.41</v>
      </c>
      <c r="M50" s="361">
        <v>1610328.41</v>
      </c>
      <c r="N50" s="361">
        <v>1610328.41</v>
      </c>
      <c r="O50" s="361">
        <v>1610328.41</v>
      </c>
      <c r="P50" s="361">
        <f>(SUM(C50:O50))/13</f>
        <v>1737648.2253846154</v>
      </c>
    </row>
    <row r="55" spans="1:16">
      <c r="B55" s="80" t="s">
        <v>523</v>
      </c>
    </row>
    <row r="56" spans="1:16">
      <c r="B56" s="80" t="s">
        <v>1658</v>
      </c>
    </row>
    <row r="59" spans="1:16">
      <c r="C59" s="673"/>
    </row>
    <row r="60" spans="1:16">
      <c r="C60" s="673"/>
    </row>
  </sheetData>
  <mergeCells count="4">
    <mergeCell ref="A1:P1"/>
    <mergeCell ref="A2:P2"/>
    <mergeCell ref="A3:P3"/>
    <mergeCell ref="A4:P4"/>
  </mergeCells>
  <phoneticPr fontId="22" type="noConversion"/>
  <pageMargins left="0.56000000000000005" right="0.47" top="1" bottom="1" header="0.5" footer="0.5"/>
  <pageSetup scale="49" orientation="landscape" r:id="rId1"/>
  <headerFooter alignWithMargins="0">
    <oddFooter>&amp;R&amp;A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78"/>
  <sheetViews>
    <sheetView view="pageBreakPreview" zoomScale="70" zoomScaleNormal="70" zoomScaleSheetLayoutView="70" workbookViewId="0">
      <pane xSplit="3" ySplit="11" topLeftCell="D27" activePane="bottomRight" state="frozen"/>
      <selection activeCell="G63" sqref="G63"/>
      <selection pane="topRight" activeCell="G63" sqref="G63"/>
      <selection pane="bottomLeft" activeCell="G63" sqref="G63"/>
      <selection pane="bottomRight" activeCell="D20" sqref="D20"/>
    </sheetView>
  </sheetViews>
  <sheetFormatPr defaultColWidth="8.44140625" defaultRowHeight="15"/>
  <cols>
    <col min="1" max="1" width="5.77734375" style="81" customWidth="1"/>
    <col min="2" max="2" width="7.109375" style="81" customWidth="1"/>
    <col min="3" max="3" width="48.33203125" style="81" customWidth="1"/>
    <col min="4" max="4" width="13.21875" style="81" bestFit="1" customWidth="1"/>
    <col min="5" max="7" width="13.109375" style="81" bestFit="1" customWidth="1"/>
    <col min="8" max="8" width="13.109375" style="74" bestFit="1" customWidth="1"/>
    <col min="9" max="10" width="13.109375" style="81" bestFit="1" customWidth="1"/>
    <col min="11" max="14" width="16.21875" style="81" customWidth="1"/>
    <col min="15" max="15" width="13.5546875" style="81" customWidth="1"/>
    <col min="16" max="16" width="13.21875" style="81" customWidth="1"/>
    <col min="17" max="17" width="13.77734375" style="81" customWidth="1"/>
    <col min="18" max="16384" width="8.44140625" style="81"/>
  </cols>
  <sheetData>
    <row r="1" spans="1:18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8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8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693"/>
    </row>
    <row r="4" spans="1:18">
      <c r="A4" s="702" t="str">
        <f>Allocation!A3</f>
        <v>Base Period: Twelve Months Ended December 31, 2017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8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8">
      <c r="A6" s="1038" t="str">
        <f>'B.1 B'!A6</f>
        <v>Data:__X___Base Period______Forecasted Period</v>
      </c>
      <c r="B6" s="1038"/>
      <c r="C6" s="74"/>
      <c r="P6" s="81" t="s">
        <v>1450</v>
      </c>
    </row>
    <row r="7" spans="1:18">
      <c r="A7" s="1038" t="str">
        <f>'B.1 B'!A7</f>
        <v>Type of Filing:___X____Original________Updated ________Revised</v>
      </c>
      <c r="B7" s="74"/>
      <c r="C7" s="1038"/>
      <c r="P7" s="81" t="s">
        <v>724</v>
      </c>
    </row>
    <row r="8" spans="1:18">
      <c r="A8" s="392" t="str">
        <f>'B.1 B'!A8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8">
      <c r="D9" s="865"/>
      <c r="E9" s="76"/>
      <c r="F9" s="863"/>
      <c r="G9" s="863"/>
      <c r="H9" s="75"/>
      <c r="I9" s="863"/>
      <c r="J9" s="76"/>
      <c r="K9" s="863"/>
    </row>
    <row r="10" spans="1:18">
      <c r="A10" s="863" t="s">
        <v>94</v>
      </c>
      <c r="B10" s="863" t="s">
        <v>95</v>
      </c>
      <c r="D10" s="862" t="s">
        <v>108</v>
      </c>
      <c r="E10" s="862" t="s">
        <v>108</v>
      </c>
      <c r="F10" s="862" t="s">
        <v>108</v>
      </c>
      <c r="G10" s="862" t="s">
        <v>108</v>
      </c>
      <c r="H10" s="862" t="s">
        <v>108</v>
      </c>
      <c r="I10" s="862" t="s">
        <v>108</v>
      </c>
      <c r="J10" s="862" t="s">
        <v>108</v>
      </c>
      <c r="K10" s="862" t="s">
        <v>1251</v>
      </c>
      <c r="L10" s="862" t="s">
        <v>1251</v>
      </c>
      <c r="M10" s="862" t="s">
        <v>1251</v>
      </c>
      <c r="N10" s="862" t="s">
        <v>1251</v>
      </c>
      <c r="O10" s="862" t="s">
        <v>1251</v>
      </c>
      <c r="P10" s="862" t="s">
        <v>1251</v>
      </c>
      <c r="Q10" s="965" t="s">
        <v>319</v>
      </c>
    </row>
    <row r="11" spans="1:18">
      <c r="A11" s="436" t="s">
        <v>100</v>
      </c>
      <c r="B11" s="436" t="s">
        <v>101</v>
      </c>
      <c r="C11" s="151"/>
      <c r="D11" s="615">
        <f>'WP B.4.1B'!C8</f>
        <v>42705</v>
      </c>
      <c r="E11" s="615">
        <f>'WP B.4.1B'!D8</f>
        <v>42736</v>
      </c>
      <c r="F11" s="615">
        <f>'WP B.4.1B'!E8</f>
        <v>42767</v>
      </c>
      <c r="G11" s="615">
        <f>'WP B.4.1B'!F8</f>
        <v>42795</v>
      </c>
      <c r="H11" s="615">
        <f>'WP B.4.1B'!G8</f>
        <v>42826</v>
      </c>
      <c r="I11" s="615">
        <f>'WP B.4.1B'!H8</f>
        <v>42856</v>
      </c>
      <c r="J11" s="615">
        <f>'WP B.4.1B'!I8</f>
        <v>42887</v>
      </c>
      <c r="K11" s="615">
        <f>'WP B.4.1B'!J8</f>
        <v>42917</v>
      </c>
      <c r="L11" s="615">
        <f>'WP B.4.1B'!K8</f>
        <v>42948</v>
      </c>
      <c r="M11" s="615">
        <f>'WP B.4.1B'!L8</f>
        <v>42979</v>
      </c>
      <c r="N11" s="615">
        <f>'WP B.4.1B'!M8</f>
        <v>43009</v>
      </c>
      <c r="O11" s="615">
        <f>'WP B.4.1B'!N8</f>
        <v>43040</v>
      </c>
      <c r="P11" s="615">
        <f>'WP B.4.1B'!O8</f>
        <v>43070</v>
      </c>
      <c r="Q11" s="522" t="s">
        <v>99</v>
      </c>
    </row>
    <row r="12" spans="1:18" ht="15.75">
      <c r="B12" s="930" t="s">
        <v>214</v>
      </c>
    </row>
    <row r="13" spans="1:18">
      <c r="A13" s="863">
        <v>1</v>
      </c>
      <c r="C13" s="622" t="s">
        <v>679</v>
      </c>
      <c r="D13" s="1081">
        <v>2519497.8199999998</v>
      </c>
      <c r="E13" s="610">
        <v>2519497.8199999998</v>
      </c>
      <c r="F13" s="610">
        <v>2519497.8199999998</v>
      </c>
      <c r="G13" s="610">
        <v>2519497.8199999998</v>
      </c>
      <c r="H13" s="610">
        <v>2519497.8199999998</v>
      </c>
      <c r="I13" s="610">
        <v>2519497.8199999998</v>
      </c>
      <c r="J13" s="610">
        <v>2519497.8199999998</v>
      </c>
      <c r="K13" s="610">
        <v>2480404</v>
      </c>
      <c r="L13" s="610">
        <v>2480404</v>
      </c>
      <c r="M13" s="610">
        <v>2480404</v>
      </c>
      <c r="N13" s="610">
        <v>2480404</v>
      </c>
      <c r="O13" s="610">
        <v>2480404</v>
      </c>
      <c r="P13" s="610">
        <v>2480404</v>
      </c>
      <c r="Q13" s="555">
        <f>(SUM(D13:P13))/13</f>
        <v>2501454.5184615385</v>
      </c>
    </row>
    <row r="14" spans="1:18" ht="14.25" customHeight="1">
      <c r="A14" s="863">
        <f>A13+1</f>
        <v>2</v>
      </c>
      <c r="B14" s="1082"/>
      <c r="C14" s="88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170"/>
    </row>
    <row r="15" spans="1:18">
      <c r="A15" s="863">
        <f t="shared" ref="A15:A49" si="0">A14+1</f>
        <v>3</v>
      </c>
      <c r="C15" s="622" t="s">
        <v>680</v>
      </c>
      <c r="D15" s="610">
        <v>-98603125.820000008</v>
      </c>
      <c r="E15" s="610">
        <v>-98603125.820000008</v>
      </c>
      <c r="F15" s="610">
        <v>-98603125.820000008</v>
      </c>
      <c r="G15" s="610">
        <v>-98603125.820000008</v>
      </c>
      <c r="H15" s="610">
        <v>-98603125.820000008</v>
      </c>
      <c r="I15" s="610">
        <v>-98603125.820000008</v>
      </c>
      <c r="J15" s="610">
        <v>-98603125.820000008</v>
      </c>
      <c r="K15" s="610">
        <v>-103048107.65953778</v>
      </c>
      <c r="L15" s="610">
        <v>-107448677.98892581</v>
      </c>
      <c r="M15" s="610">
        <v>-111222299.75443169</v>
      </c>
      <c r="N15" s="610">
        <v>-112327775.15381345</v>
      </c>
      <c r="O15" s="610">
        <v>-113610419.94007586</v>
      </c>
      <c r="P15" s="610">
        <v>-114467337.55327797</v>
      </c>
      <c r="Q15" s="612">
        <f>(SUM(D15:P15))/13</f>
        <v>-104026653.75308174</v>
      </c>
    </row>
    <row r="16" spans="1:18">
      <c r="A16" s="863">
        <f t="shared" si="0"/>
        <v>4</v>
      </c>
      <c r="B16" s="1082"/>
      <c r="C16" s="88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2"/>
    </row>
    <row r="17" spans="1:18">
      <c r="A17" s="863">
        <f t="shared" si="0"/>
        <v>5</v>
      </c>
      <c r="C17" s="622" t="s">
        <v>681</v>
      </c>
      <c r="D17" s="610">
        <v>-831636.20000000007</v>
      </c>
      <c r="E17" s="610">
        <v>-831636.20000000007</v>
      </c>
      <c r="F17" s="610">
        <v>-831636.20000000007</v>
      </c>
      <c r="G17" s="610">
        <v>-831636.20000000007</v>
      </c>
      <c r="H17" s="610">
        <v>-831636.20000000007</v>
      </c>
      <c r="I17" s="610">
        <v>-831636.20000000007</v>
      </c>
      <c r="J17" s="610">
        <v>-831636.20000000007</v>
      </c>
      <c r="K17" s="610">
        <v>-103015</v>
      </c>
      <c r="L17" s="610">
        <v>-103015</v>
      </c>
      <c r="M17" s="610">
        <v>-103015</v>
      </c>
      <c r="N17" s="610">
        <v>-103015</v>
      </c>
      <c r="O17" s="610">
        <v>-103015</v>
      </c>
      <c r="P17" s="610">
        <v>-103015</v>
      </c>
      <c r="Q17" s="612">
        <f>(SUM(D17:P17))/13</f>
        <v>-495349.49230769236</v>
      </c>
    </row>
    <row r="18" spans="1:18" ht="14.25" customHeight="1">
      <c r="A18" s="863">
        <f t="shared" si="0"/>
        <v>6</v>
      </c>
      <c r="B18" s="1082"/>
      <c r="C18" s="88"/>
      <c r="D18" s="77"/>
      <c r="E18" s="77"/>
      <c r="F18" s="77"/>
      <c r="G18" s="77"/>
      <c r="H18" s="77"/>
      <c r="I18" s="74"/>
      <c r="J18" s="74"/>
      <c r="K18" s="74"/>
      <c r="L18" s="431"/>
      <c r="M18" s="431"/>
      <c r="N18" s="431"/>
      <c r="O18" s="431"/>
    </row>
    <row r="19" spans="1:18">
      <c r="A19" s="863">
        <f t="shared" si="0"/>
        <v>7</v>
      </c>
      <c r="C19" s="866" t="s">
        <v>31</v>
      </c>
      <c r="D19" s="577">
        <f t="shared" ref="D19:P19" si="1">SUM(D13:D17)</f>
        <v>-96915264.200000018</v>
      </c>
      <c r="E19" s="577">
        <f t="shared" si="1"/>
        <v>-96915264.200000018</v>
      </c>
      <c r="F19" s="577">
        <f t="shared" si="1"/>
        <v>-96915264.200000018</v>
      </c>
      <c r="G19" s="577">
        <f t="shared" si="1"/>
        <v>-96915264.200000018</v>
      </c>
      <c r="H19" s="577">
        <f t="shared" si="1"/>
        <v>-96915264.200000018</v>
      </c>
      <c r="I19" s="577">
        <f t="shared" si="1"/>
        <v>-96915264.200000018</v>
      </c>
      <c r="J19" s="577">
        <f t="shared" si="1"/>
        <v>-96915264.200000018</v>
      </c>
      <c r="K19" s="577">
        <f t="shared" si="1"/>
        <v>-100670718.65953778</v>
      </c>
      <c r="L19" s="577">
        <f t="shared" si="1"/>
        <v>-105071288.98892581</v>
      </c>
      <c r="M19" s="577">
        <f t="shared" si="1"/>
        <v>-108844910.75443169</v>
      </c>
      <c r="N19" s="577">
        <f t="shared" si="1"/>
        <v>-109950386.15381345</v>
      </c>
      <c r="O19" s="577">
        <f t="shared" si="1"/>
        <v>-111233030.94007586</v>
      </c>
      <c r="P19" s="547">
        <f t="shared" si="1"/>
        <v>-112089948.55327797</v>
      </c>
      <c r="Q19" s="547">
        <f>(SUM(D19:P19))/13</f>
        <v>-102020548.72692791</v>
      </c>
      <c r="R19" s="612"/>
    </row>
    <row r="20" spans="1:18" ht="14.25" customHeight="1">
      <c r="A20" s="863">
        <f t="shared" si="0"/>
        <v>8</v>
      </c>
      <c r="B20" s="1082"/>
      <c r="C20" s="88"/>
      <c r="D20" s="77"/>
      <c r="E20" s="77"/>
      <c r="F20" s="77"/>
      <c r="G20" s="77"/>
      <c r="H20" s="77"/>
      <c r="I20" s="74"/>
      <c r="J20" s="74"/>
      <c r="K20" s="74"/>
      <c r="L20" s="431"/>
      <c r="M20" s="431"/>
      <c r="N20" s="431"/>
      <c r="O20" s="431"/>
    </row>
    <row r="21" spans="1:18" ht="15.75">
      <c r="A21" s="863">
        <f t="shared" si="0"/>
        <v>9</v>
      </c>
      <c r="B21" s="930" t="s">
        <v>215</v>
      </c>
      <c r="D21" s="74"/>
      <c r="E21" s="74"/>
      <c r="F21" s="74"/>
      <c r="G21" s="74"/>
      <c r="I21" s="74"/>
      <c r="J21" s="74"/>
      <c r="K21" s="74"/>
      <c r="L21" s="431"/>
      <c r="M21" s="431"/>
      <c r="N21" s="431"/>
      <c r="O21" s="431"/>
    </row>
    <row r="22" spans="1:18">
      <c r="A22" s="863">
        <f t="shared" si="0"/>
        <v>10</v>
      </c>
      <c r="C22" s="622" t="s">
        <v>679</v>
      </c>
      <c r="D22" s="1081">
        <v>838601729</v>
      </c>
      <c r="E22" s="1081">
        <v>838601729</v>
      </c>
      <c r="F22" s="1081">
        <v>838601729</v>
      </c>
      <c r="G22" s="1081">
        <v>803309941.21688342</v>
      </c>
      <c r="H22" s="1081">
        <v>803309941.21688342</v>
      </c>
      <c r="I22" s="1081">
        <v>803309941.21688342</v>
      </c>
      <c r="J22" s="1081">
        <v>822699627.61165857</v>
      </c>
      <c r="K22" s="1081">
        <v>822699627.61165857</v>
      </c>
      <c r="L22" s="1081">
        <v>822699627.61165857</v>
      </c>
      <c r="M22" s="1081">
        <v>822699627.61165857</v>
      </c>
      <c r="N22" s="1081">
        <v>822699627.61165857</v>
      </c>
      <c r="O22" s="1081">
        <v>822699627.61165857</v>
      </c>
      <c r="P22" s="1081">
        <v>822699627.61165857</v>
      </c>
      <c r="Q22" s="555">
        <f>(SUM(D22:P22))/13</f>
        <v>821894800.30248141</v>
      </c>
      <c r="R22" s="673"/>
    </row>
    <row r="23" spans="1:18">
      <c r="A23" s="863">
        <f t="shared" si="0"/>
        <v>11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0"/>
      <c r="N23" s="610"/>
      <c r="O23" s="610"/>
      <c r="P23" s="610"/>
      <c r="Q23" s="170"/>
    </row>
    <row r="24" spans="1:18">
      <c r="A24" s="863">
        <f t="shared" si="0"/>
        <v>12</v>
      </c>
      <c r="C24" s="622" t="s">
        <v>680</v>
      </c>
      <c r="D24" s="610">
        <v>823198.37999999989</v>
      </c>
      <c r="E24" s="610">
        <v>823198.37999999989</v>
      </c>
      <c r="F24" s="610">
        <v>823198.37999999989</v>
      </c>
      <c r="G24" s="610">
        <v>-49976378.779999994</v>
      </c>
      <c r="H24" s="610">
        <v>-49976378.779999994</v>
      </c>
      <c r="I24" s="610">
        <v>-49976378.779999994</v>
      </c>
      <c r="J24" s="610">
        <v>-35492391.189999998</v>
      </c>
      <c r="K24" s="610">
        <v>-25934175.949016988</v>
      </c>
      <c r="L24" s="610">
        <v>-24332152.695652537</v>
      </c>
      <c r="M24" s="610">
        <v>-23867676.43783493</v>
      </c>
      <c r="N24" s="610">
        <v>-24031552.618854567</v>
      </c>
      <c r="O24" s="610">
        <v>-24232375.025370382</v>
      </c>
      <c r="P24" s="610">
        <v>-24433131.401703965</v>
      </c>
      <c r="Q24" s="612">
        <f>(SUM(D24:P24))/13</f>
        <v>-25367922.809110258</v>
      </c>
    </row>
    <row r="25" spans="1:18" ht="14.25" customHeight="1">
      <c r="A25" s="863">
        <f t="shared" si="0"/>
        <v>13</v>
      </c>
      <c r="B25" s="1082"/>
      <c r="C25" s="88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2"/>
    </row>
    <row r="26" spans="1:18">
      <c r="A26" s="863">
        <f t="shared" si="0"/>
        <v>14</v>
      </c>
      <c r="C26" s="622" t="s">
        <v>681</v>
      </c>
      <c r="D26" s="610">
        <v>17050406.059999999</v>
      </c>
      <c r="E26" s="610">
        <v>14870057.960000001</v>
      </c>
      <c r="F26" s="610">
        <v>13358460.220000001</v>
      </c>
      <c r="G26" s="610">
        <v>13989960.6</v>
      </c>
      <c r="H26" s="610">
        <v>21420144.350000001</v>
      </c>
      <c r="I26" s="610">
        <v>27053646.440000001</v>
      </c>
      <c r="J26" s="610">
        <v>23528779.149999999</v>
      </c>
      <c r="K26" s="610">
        <v>25919296.840000004</v>
      </c>
      <c r="L26" s="610">
        <v>25919296.840000004</v>
      </c>
      <c r="M26" s="610">
        <v>25919296.840000004</v>
      </c>
      <c r="N26" s="610">
        <v>25919296.840000004</v>
      </c>
      <c r="O26" s="610">
        <v>25919296.840000004</v>
      </c>
      <c r="P26" s="610">
        <v>25919296.840000004</v>
      </c>
      <c r="Q26" s="612">
        <f>(SUM(D26:P26))/13</f>
        <v>22060556.601538464</v>
      </c>
    </row>
    <row r="27" spans="1:18" ht="14.25" customHeight="1">
      <c r="A27" s="863">
        <f t="shared" si="0"/>
        <v>15</v>
      </c>
      <c r="B27" s="1082"/>
      <c r="C27" s="88"/>
      <c r="D27" s="77"/>
      <c r="E27" s="77"/>
      <c r="F27" s="77"/>
      <c r="G27" s="77"/>
      <c r="H27" s="77"/>
      <c r="I27" s="74"/>
      <c r="J27" s="74"/>
      <c r="K27" s="74"/>
      <c r="L27" s="431"/>
      <c r="M27" s="431"/>
      <c r="N27" s="431"/>
      <c r="O27" s="431"/>
    </row>
    <row r="28" spans="1:18">
      <c r="A28" s="863">
        <f t="shared" si="0"/>
        <v>16</v>
      </c>
      <c r="C28" s="866" t="s">
        <v>69</v>
      </c>
      <c r="D28" s="577">
        <f t="shared" ref="D28:P28" si="2">SUM(D22:D26)</f>
        <v>856475333.43999994</v>
      </c>
      <c r="E28" s="577">
        <f t="shared" si="2"/>
        <v>854294985.34000003</v>
      </c>
      <c r="F28" s="577">
        <f t="shared" si="2"/>
        <v>852783387.60000002</v>
      </c>
      <c r="G28" s="577">
        <f t="shared" si="2"/>
        <v>767323523.03688347</v>
      </c>
      <c r="H28" s="577">
        <f t="shared" si="2"/>
        <v>774753706.78688347</v>
      </c>
      <c r="I28" s="577">
        <f t="shared" si="2"/>
        <v>780387208.87688351</v>
      </c>
      <c r="J28" s="577">
        <f t="shared" si="2"/>
        <v>810736015.57165849</v>
      </c>
      <c r="K28" s="577">
        <f t="shared" si="2"/>
        <v>822684748.50264156</v>
      </c>
      <c r="L28" s="577">
        <f t="shared" si="2"/>
        <v>824286771.75600612</v>
      </c>
      <c r="M28" s="577">
        <f t="shared" si="2"/>
        <v>824751248.01382363</v>
      </c>
      <c r="N28" s="577">
        <f t="shared" si="2"/>
        <v>824587371.83280408</v>
      </c>
      <c r="O28" s="577">
        <f t="shared" si="2"/>
        <v>824386549.42628825</v>
      </c>
      <c r="P28" s="547">
        <f t="shared" si="2"/>
        <v>824185793.04995465</v>
      </c>
      <c r="Q28" s="547">
        <f>(SUM(D28:P28))/13</f>
        <v>818587434.09490979</v>
      </c>
      <c r="R28" s="612"/>
    </row>
    <row r="29" spans="1:18" ht="15.75">
      <c r="A29" s="863">
        <f t="shared" si="0"/>
        <v>17</v>
      </c>
      <c r="B29" s="930" t="s">
        <v>1126</v>
      </c>
      <c r="C29" s="866"/>
      <c r="D29" s="376"/>
      <c r="E29" s="376"/>
      <c r="F29" s="376"/>
      <c r="G29" s="76"/>
      <c r="H29" s="76"/>
      <c r="I29" s="76"/>
      <c r="J29" s="76"/>
      <c r="K29" s="76"/>
      <c r="L29" s="431"/>
      <c r="M29" s="431"/>
      <c r="N29" s="431"/>
      <c r="O29" s="431"/>
    </row>
    <row r="30" spans="1:18">
      <c r="A30" s="863">
        <f t="shared" si="0"/>
        <v>18</v>
      </c>
      <c r="C30" s="622" t="s">
        <v>679</v>
      </c>
      <c r="D30" s="1081">
        <v>-0.41000000000000003</v>
      </c>
      <c r="E30" s="610">
        <v>-0.41000000000000003</v>
      </c>
      <c r="F30" s="610">
        <v>-0.41000000000000003</v>
      </c>
      <c r="G30" s="610">
        <v>-0.41000000000000003</v>
      </c>
      <c r="H30" s="610">
        <v>-0.41000000000000003</v>
      </c>
      <c r="I30" s="610">
        <v>-0.41000000000000003</v>
      </c>
      <c r="J30" s="610">
        <v>-0.41000000000000003</v>
      </c>
      <c r="K30" s="610">
        <v>-574777</v>
      </c>
      <c r="L30" s="610">
        <v>-574777</v>
      </c>
      <c r="M30" s="610">
        <v>-574777</v>
      </c>
      <c r="N30" s="610">
        <v>-574777</v>
      </c>
      <c r="O30" s="610">
        <v>-574777</v>
      </c>
      <c r="P30" s="610">
        <v>-574777</v>
      </c>
      <c r="Q30" s="555">
        <f>(SUM(D30:P30))/13</f>
        <v>-265281.91307692311</v>
      </c>
    </row>
    <row r="31" spans="1:18">
      <c r="A31" s="863">
        <f t="shared" si="0"/>
        <v>19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170"/>
    </row>
    <row r="32" spans="1:18">
      <c r="A32" s="863">
        <f t="shared" si="0"/>
        <v>20</v>
      </c>
      <c r="C32" s="622" t="s">
        <v>680</v>
      </c>
      <c r="D32" s="610">
        <v>-27916937.350000001</v>
      </c>
      <c r="E32" s="610">
        <v>-27916937.350000001</v>
      </c>
      <c r="F32" s="610">
        <v>-27916937.350000001</v>
      </c>
      <c r="G32" s="610">
        <v>-27916937.350000001</v>
      </c>
      <c r="H32" s="610">
        <v>-27916937.350000001</v>
      </c>
      <c r="I32" s="610">
        <v>-27916937.350000001</v>
      </c>
      <c r="J32" s="610">
        <v>-27916937.350000001</v>
      </c>
      <c r="K32" s="610">
        <v>-27561936.302369721</v>
      </c>
      <c r="L32" s="610">
        <v>-27203402.175714057</v>
      </c>
      <c r="M32" s="610">
        <v>-26841707.499892004</v>
      </c>
      <c r="N32" s="610">
        <v>-26684130.871329967</v>
      </c>
      <c r="O32" s="610">
        <v>-26525576.638018575</v>
      </c>
      <c r="P32" s="610">
        <v>-26366044.799957823</v>
      </c>
      <c r="Q32" s="612">
        <f>(SUM(D32:P32))/13</f>
        <v>-27430873.825944778</v>
      </c>
    </row>
    <row r="33" spans="1:18">
      <c r="A33" s="863">
        <f t="shared" si="0"/>
        <v>21</v>
      </c>
      <c r="B33" s="1082"/>
      <c r="C33" s="88"/>
      <c r="D33" s="611"/>
      <c r="E33" s="611"/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170"/>
    </row>
    <row r="34" spans="1:18">
      <c r="A34" s="863">
        <f t="shared" si="0"/>
        <v>22</v>
      </c>
      <c r="C34" s="622" t="s">
        <v>681</v>
      </c>
      <c r="D34" s="610">
        <v>-574779</v>
      </c>
      <c r="E34" s="610">
        <v>-574779</v>
      </c>
      <c r="F34" s="610">
        <v>-574779</v>
      </c>
      <c r="G34" s="610">
        <v>-574779</v>
      </c>
      <c r="H34" s="610">
        <v>-574779</v>
      </c>
      <c r="I34" s="610">
        <v>-574779</v>
      </c>
      <c r="J34" s="610">
        <v>-574779</v>
      </c>
      <c r="K34" s="610">
        <v>0</v>
      </c>
      <c r="L34" s="610">
        <v>0</v>
      </c>
      <c r="M34" s="610">
        <v>0</v>
      </c>
      <c r="N34" s="610">
        <v>0</v>
      </c>
      <c r="O34" s="610">
        <v>0</v>
      </c>
      <c r="P34" s="610">
        <v>0</v>
      </c>
      <c r="Q34" s="612">
        <f>(SUM(D34:P34))/13</f>
        <v>-309496.38461538462</v>
      </c>
    </row>
    <row r="35" spans="1:18">
      <c r="A35" s="863">
        <f t="shared" si="0"/>
        <v>23</v>
      </c>
      <c r="B35" s="1082"/>
      <c r="C35" s="88"/>
      <c r="D35" s="77"/>
      <c r="E35" s="77"/>
      <c r="F35" s="77"/>
      <c r="G35" s="77"/>
      <c r="H35" s="77"/>
      <c r="I35" s="74"/>
      <c r="J35" s="74"/>
      <c r="K35" s="74"/>
      <c r="L35" s="431"/>
      <c r="M35" s="431"/>
      <c r="N35" s="431"/>
      <c r="O35" s="431"/>
    </row>
    <row r="36" spans="1:18">
      <c r="A36" s="863">
        <f t="shared" si="0"/>
        <v>24</v>
      </c>
      <c r="C36" s="866" t="s">
        <v>725</v>
      </c>
      <c r="D36" s="577">
        <f t="shared" ref="D36:P36" si="3">SUM(D30:D34)</f>
        <v>-28491716.760000002</v>
      </c>
      <c r="E36" s="577">
        <f t="shared" si="3"/>
        <v>-28491716.760000002</v>
      </c>
      <c r="F36" s="577">
        <f t="shared" si="3"/>
        <v>-28491716.760000002</v>
      </c>
      <c r="G36" s="577">
        <f t="shared" si="3"/>
        <v>-28491716.760000002</v>
      </c>
      <c r="H36" s="577">
        <f t="shared" si="3"/>
        <v>-28491716.760000002</v>
      </c>
      <c r="I36" s="577">
        <f t="shared" si="3"/>
        <v>-28491716.760000002</v>
      </c>
      <c r="J36" s="577">
        <f t="shared" si="3"/>
        <v>-28491716.760000002</v>
      </c>
      <c r="K36" s="577">
        <f>SUM(K30:K34)</f>
        <v>-28136713.302369721</v>
      </c>
      <c r="L36" s="577">
        <f t="shared" si="3"/>
        <v>-27778179.175714057</v>
      </c>
      <c r="M36" s="577">
        <f t="shared" si="3"/>
        <v>-27416484.499892004</v>
      </c>
      <c r="N36" s="577">
        <f t="shared" si="3"/>
        <v>-27258907.871329967</v>
      </c>
      <c r="O36" s="577">
        <f t="shared" si="3"/>
        <v>-27100353.638018575</v>
      </c>
      <c r="P36" s="547">
        <f t="shared" si="3"/>
        <v>-26940821.799957823</v>
      </c>
      <c r="Q36" s="547">
        <f>(SUM(D36:P36))/13</f>
        <v>-28005652.123637084</v>
      </c>
      <c r="R36" s="612"/>
    </row>
    <row r="37" spans="1:18">
      <c r="A37" s="863">
        <f t="shared" si="0"/>
        <v>25</v>
      </c>
      <c r="C37" s="866"/>
      <c r="D37" s="77"/>
      <c r="E37" s="77"/>
      <c r="F37" s="77"/>
      <c r="G37" s="74"/>
      <c r="I37" s="74"/>
      <c r="J37" s="74"/>
      <c r="K37" s="74"/>
      <c r="L37" s="431"/>
      <c r="M37" s="431"/>
      <c r="N37" s="431"/>
      <c r="O37" s="431"/>
    </row>
    <row r="38" spans="1:18" ht="15.75">
      <c r="A38" s="863">
        <f t="shared" si="0"/>
        <v>26</v>
      </c>
      <c r="B38" s="930" t="s">
        <v>682</v>
      </c>
      <c r="D38" s="74"/>
      <c r="E38" s="74"/>
      <c r="F38" s="74"/>
      <c r="G38" s="74"/>
      <c r="I38" s="74"/>
      <c r="J38" s="74"/>
      <c r="K38" s="74"/>
      <c r="L38" s="431"/>
      <c r="M38" s="431"/>
      <c r="N38" s="431"/>
      <c r="O38" s="431"/>
    </row>
    <row r="39" spans="1:18">
      <c r="A39" s="863">
        <f t="shared" si="0"/>
        <v>27</v>
      </c>
      <c r="C39" s="622" t="s">
        <v>679</v>
      </c>
      <c r="D39" s="1081">
        <v>5723472.1400000006</v>
      </c>
      <c r="E39" s="610">
        <v>5723472.1400000006</v>
      </c>
      <c r="F39" s="610">
        <v>5723472.1400000006</v>
      </c>
      <c r="G39" s="610">
        <v>5723472.1400000006</v>
      </c>
      <c r="H39" s="610">
        <v>5723472.1400000006</v>
      </c>
      <c r="I39" s="610">
        <v>5723472.1400000006</v>
      </c>
      <c r="J39" s="610">
        <v>5723472.1400000006</v>
      </c>
      <c r="K39" s="610">
        <v>6309382</v>
      </c>
      <c r="L39" s="610">
        <v>6309382</v>
      </c>
      <c r="M39" s="610">
        <v>6309382</v>
      </c>
      <c r="N39" s="610">
        <v>6309382</v>
      </c>
      <c r="O39" s="610">
        <v>6309382</v>
      </c>
      <c r="P39" s="610">
        <v>6309382</v>
      </c>
      <c r="Q39" s="555">
        <f>(SUM(D39:P39))/13</f>
        <v>5993892.0753846159</v>
      </c>
    </row>
    <row r="40" spans="1:18">
      <c r="A40" s="863">
        <f t="shared" si="0"/>
        <v>28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170"/>
    </row>
    <row r="41" spans="1:18">
      <c r="A41" s="863">
        <f t="shared" si="0"/>
        <v>29</v>
      </c>
      <c r="C41" s="622" t="s">
        <v>680</v>
      </c>
      <c r="D41" s="610">
        <v>-4004703.2100000009</v>
      </c>
      <c r="E41" s="610">
        <v>-4004703.2100000009</v>
      </c>
      <c r="F41" s="610">
        <v>-4004703.2100000009</v>
      </c>
      <c r="G41" s="610">
        <v>-10319370.01</v>
      </c>
      <c r="H41" s="610">
        <v>-10319370.01</v>
      </c>
      <c r="I41" s="610">
        <v>-10319370.01</v>
      </c>
      <c r="J41" s="610">
        <v>-13731308.210000001</v>
      </c>
      <c r="K41" s="610">
        <v>-7447364.0855983719</v>
      </c>
      <c r="L41" s="610">
        <v>-881994.43759674206</v>
      </c>
      <c r="M41" s="610">
        <v>5683375.2104048878</v>
      </c>
      <c r="N41" s="610">
        <v>5684918.7332743332</v>
      </c>
      <c r="O41" s="610">
        <v>5686462.2561437823</v>
      </c>
      <c r="P41" s="610">
        <v>5688005.7790132277</v>
      </c>
      <c r="Q41" s="612">
        <f>(SUM(D41:P41))/13</f>
        <v>-3253086.4934122209</v>
      </c>
    </row>
    <row r="42" spans="1:18">
      <c r="A42" s="863">
        <f t="shared" si="0"/>
        <v>30</v>
      </c>
      <c r="B42" s="863"/>
      <c r="C42" s="88"/>
      <c r="D42" s="611"/>
      <c r="E42" s="611"/>
      <c r="F42" s="611"/>
      <c r="G42" s="611"/>
      <c r="H42" s="611"/>
      <c r="I42" s="611"/>
      <c r="J42" s="611"/>
      <c r="K42" s="611"/>
      <c r="L42" s="611"/>
      <c r="M42" s="611"/>
      <c r="N42" s="611"/>
      <c r="O42" s="611"/>
      <c r="P42" s="611"/>
      <c r="Q42" s="170"/>
    </row>
    <row r="43" spans="1:18">
      <c r="A43" s="863">
        <f t="shared" si="0"/>
        <v>31</v>
      </c>
      <c r="C43" s="622" t="s">
        <v>681</v>
      </c>
      <c r="D43" s="610">
        <v>-1653672.15</v>
      </c>
      <c r="E43" s="610">
        <v>-1653672.15</v>
      </c>
      <c r="F43" s="610">
        <v>-1653672.15</v>
      </c>
      <c r="G43" s="610">
        <v>-1653672.15</v>
      </c>
      <c r="H43" s="610">
        <v>-1653672.15</v>
      </c>
      <c r="I43" s="610">
        <v>-1653672.15</v>
      </c>
      <c r="J43" s="610">
        <v>-1653672.15</v>
      </c>
      <c r="K43" s="610">
        <v>-1597357</v>
      </c>
      <c r="L43" s="610">
        <v>-1597357</v>
      </c>
      <c r="M43" s="610">
        <v>-1597357</v>
      </c>
      <c r="N43" s="610">
        <v>-1597357</v>
      </c>
      <c r="O43" s="610">
        <v>-1597357</v>
      </c>
      <c r="P43" s="610">
        <v>-1597357</v>
      </c>
      <c r="Q43" s="612">
        <f>(SUM(D43:P43))/13</f>
        <v>-1627680.5423076923</v>
      </c>
    </row>
    <row r="44" spans="1:18">
      <c r="A44" s="863">
        <f t="shared" si="0"/>
        <v>32</v>
      </c>
      <c r="C44" s="88"/>
      <c r="D44" s="610"/>
      <c r="E44" s="610"/>
      <c r="F44" s="610"/>
      <c r="G44" s="610"/>
      <c r="H44" s="610"/>
      <c r="I44" s="610"/>
      <c r="J44" s="610"/>
      <c r="K44" s="610"/>
      <c r="L44" s="612"/>
      <c r="M44" s="612"/>
      <c r="N44" s="612"/>
      <c r="O44" s="612"/>
      <c r="P44" s="612"/>
      <c r="Q44" s="170"/>
    </row>
    <row r="45" spans="1:18">
      <c r="A45" s="863">
        <f t="shared" si="0"/>
        <v>33</v>
      </c>
      <c r="C45" s="622" t="s">
        <v>444</v>
      </c>
      <c r="D45" s="610">
        <v>-1</v>
      </c>
      <c r="E45" s="610">
        <v>-1</v>
      </c>
      <c r="F45" s="610">
        <v>-1</v>
      </c>
      <c r="G45" s="610">
        <v>-1</v>
      </c>
      <c r="H45" s="610">
        <v>-1</v>
      </c>
      <c r="I45" s="610">
        <v>-1</v>
      </c>
      <c r="J45" s="610">
        <v>-1</v>
      </c>
      <c r="K45" s="610">
        <f>J45</f>
        <v>-1</v>
      </c>
      <c r="L45" s="610">
        <f t="shared" ref="L45:P45" si="4">K45</f>
        <v>-1</v>
      </c>
      <c r="M45" s="610">
        <f t="shared" si="4"/>
        <v>-1</v>
      </c>
      <c r="N45" s="610">
        <f t="shared" si="4"/>
        <v>-1</v>
      </c>
      <c r="O45" s="610">
        <f t="shared" si="4"/>
        <v>-1</v>
      </c>
      <c r="P45" s="610">
        <f t="shared" si="4"/>
        <v>-1</v>
      </c>
      <c r="Q45" s="612">
        <f>(SUM(D45:P45))/13</f>
        <v>-1</v>
      </c>
    </row>
    <row r="46" spans="1:18">
      <c r="A46" s="863">
        <f t="shared" si="0"/>
        <v>34</v>
      </c>
      <c r="B46" s="1082"/>
      <c r="C46" s="88"/>
      <c r="D46" s="77"/>
      <c r="E46" s="77"/>
      <c r="F46" s="77"/>
      <c r="G46" s="77"/>
      <c r="H46" s="77"/>
      <c r="I46" s="74"/>
      <c r="J46" s="74"/>
      <c r="K46" s="74"/>
      <c r="L46" s="378"/>
      <c r="M46" s="431"/>
      <c r="N46" s="431"/>
      <c r="O46" s="431"/>
      <c r="P46" s="431"/>
    </row>
    <row r="47" spans="1:18">
      <c r="A47" s="863">
        <f t="shared" si="0"/>
        <v>35</v>
      </c>
      <c r="C47" s="866" t="s">
        <v>443</v>
      </c>
      <c r="D47" s="577">
        <f>SUM(D39:D46)</f>
        <v>65095.779999999795</v>
      </c>
      <c r="E47" s="577">
        <f t="shared" ref="E47:P47" si="5">SUM(E39:E46)</f>
        <v>65095.779999999795</v>
      </c>
      <c r="F47" s="577">
        <f t="shared" si="5"/>
        <v>65095.779999999795</v>
      </c>
      <c r="G47" s="577">
        <f t="shared" si="5"/>
        <v>-6249571.0199999996</v>
      </c>
      <c r="H47" s="577">
        <f t="shared" si="5"/>
        <v>-6249571.0199999996</v>
      </c>
      <c r="I47" s="577">
        <f t="shared" si="5"/>
        <v>-6249571.0199999996</v>
      </c>
      <c r="J47" s="577">
        <f t="shared" si="5"/>
        <v>-9661509.2200000007</v>
      </c>
      <c r="K47" s="577">
        <f t="shared" si="5"/>
        <v>-2735340.0855983719</v>
      </c>
      <c r="L47" s="577">
        <f t="shared" si="5"/>
        <v>3830029.5624032579</v>
      </c>
      <c r="M47" s="577">
        <f t="shared" si="5"/>
        <v>10395399.210404888</v>
      </c>
      <c r="N47" s="577">
        <f t="shared" si="5"/>
        <v>10396942.733274333</v>
      </c>
      <c r="O47" s="577">
        <f t="shared" si="5"/>
        <v>10398486.256143782</v>
      </c>
      <c r="P47" s="577">
        <f t="shared" si="5"/>
        <v>10400029.779013228</v>
      </c>
      <c r="Q47" s="547">
        <f>(SUM(D47:P47))/13</f>
        <v>1113124.0396647016</v>
      </c>
      <c r="R47" s="612"/>
    </row>
    <row r="48" spans="1:18">
      <c r="A48" s="863">
        <f t="shared" si="0"/>
        <v>36</v>
      </c>
      <c r="D48" s="74"/>
      <c r="E48" s="74"/>
      <c r="F48" s="74"/>
      <c r="G48" s="74"/>
      <c r="I48" s="74"/>
      <c r="J48" s="74"/>
      <c r="K48" s="74"/>
      <c r="L48" s="74"/>
      <c r="P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731133448.25999987</v>
      </c>
      <c r="E49" s="330">
        <f t="shared" ref="E49:P49" si="6">E47+E36+E28+E19</f>
        <v>728953100.15999997</v>
      </c>
      <c r="F49" s="330">
        <f t="shared" si="6"/>
        <v>727441502.41999996</v>
      </c>
      <c r="G49" s="330">
        <f t="shared" si="6"/>
        <v>635666971.05688345</v>
      </c>
      <c r="H49" s="330">
        <f t="shared" si="6"/>
        <v>643097154.80688345</v>
      </c>
      <c r="I49" s="330">
        <f t="shared" si="6"/>
        <v>648730656.89688349</v>
      </c>
      <c r="J49" s="330">
        <f t="shared" si="6"/>
        <v>675667525.39165843</v>
      </c>
      <c r="K49" s="330">
        <f t="shared" si="6"/>
        <v>691141976.4551357</v>
      </c>
      <c r="L49" s="330">
        <f t="shared" si="6"/>
        <v>695267333.15376949</v>
      </c>
      <c r="M49" s="330">
        <f t="shared" si="6"/>
        <v>698885251.96990478</v>
      </c>
      <c r="N49" s="330">
        <f t="shared" si="6"/>
        <v>697775020.54093492</v>
      </c>
      <c r="O49" s="330">
        <f t="shared" si="6"/>
        <v>696451651.10433757</v>
      </c>
      <c r="P49" s="330">
        <f t="shared" si="6"/>
        <v>695555052.47573209</v>
      </c>
      <c r="Q49" s="330">
        <f>(SUM(D49:P49))/13</f>
        <v>689674357.28400946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1615</v>
      </c>
    </row>
    <row r="53" spans="1:17">
      <c r="A53" s="74"/>
      <c r="B53" s="74"/>
    </row>
    <row r="54" spans="1:17">
      <c r="A54" s="74"/>
      <c r="B54" s="74"/>
    </row>
    <row r="55" spans="1:17">
      <c r="A55" s="74"/>
      <c r="B55" s="74"/>
    </row>
    <row r="56" spans="1:17">
      <c r="A56" s="74"/>
      <c r="B56" s="74"/>
    </row>
    <row r="57" spans="1:17">
      <c r="D57" s="673"/>
    </row>
    <row r="58" spans="1:17">
      <c r="D58" s="673"/>
    </row>
    <row r="59" spans="1:17">
      <c r="D59" s="673"/>
    </row>
    <row r="61" spans="1:17">
      <c r="H61" s="81"/>
    </row>
    <row r="62" spans="1:17">
      <c r="H62" s="81"/>
    </row>
    <row r="63" spans="1:17">
      <c r="H63" s="81"/>
    </row>
    <row r="64" spans="1:17">
      <c r="C64" s="103"/>
      <c r="H64" s="81"/>
    </row>
    <row r="65" spans="3:16">
      <c r="C65" s="170"/>
      <c r="H65" s="81"/>
    </row>
    <row r="66" spans="3:16">
      <c r="H66" s="81"/>
    </row>
    <row r="69" spans="3:16">
      <c r="H69" s="81"/>
    </row>
    <row r="70" spans="3:16">
      <c r="H70" s="81"/>
    </row>
    <row r="71" spans="3:16">
      <c r="H71" s="81"/>
    </row>
    <row r="72" spans="3:16">
      <c r="C72" s="103"/>
      <c r="H72" s="81"/>
    </row>
    <row r="74" spans="3:16">
      <c r="H74" s="81"/>
      <c r="K74" s="103"/>
      <c r="L74" s="103"/>
      <c r="M74" s="103"/>
      <c r="N74" s="103"/>
      <c r="O74" s="103"/>
      <c r="P74" s="103"/>
    </row>
    <row r="78" spans="3:16">
      <c r="K78" s="673"/>
    </row>
  </sheetData>
  <mergeCells count="3">
    <mergeCell ref="A1:Q1"/>
    <mergeCell ref="A2:Q2"/>
    <mergeCell ref="A3:Q3"/>
  </mergeCells>
  <phoneticPr fontId="22" type="noConversion"/>
  <printOptions horizontalCentered="1"/>
  <pageMargins left="0.33" right="0.33" top="0.93" bottom="1" header="0.5" footer="0.5"/>
  <pageSetup scale="42" orientation="landscape" verticalDpi="300" r:id="rId1"/>
  <headerFooter alignWithMargins="0">
    <oddFooter>&amp;R&amp;A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74"/>
  <sheetViews>
    <sheetView view="pageBreakPreview" zoomScale="60" zoomScaleNormal="70" workbookViewId="0">
      <pane xSplit="3" ySplit="11" topLeftCell="D24" activePane="bottomRight" state="frozen"/>
      <selection activeCell="I17" sqref="I17"/>
      <selection pane="topRight" activeCell="I17" sqref="I17"/>
      <selection pane="bottomLeft" activeCell="I17" sqref="I17"/>
      <selection pane="bottomRight" activeCell="E17" sqref="E17"/>
    </sheetView>
  </sheetViews>
  <sheetFormatPr defaultColWidth="8.44140625" defaultRowHeight="15"/>
  <cols>
    <col min="1" max="1" width="5" style="81" customWidth="1"/>
    <col min="2" max="2" width="5.6640625" style="81" customWidth="1"/>
    <col min="3" max="3" width="49.33203125" style="81" bestFit="1" customWidth="1"/>
    <col min="4" max="5" width="14.77734375" style="81" bestFit="1" customWidth="1"/>
    <col min="6" max="6" width="14.33203125" style="81" bestFit="1" customWidth="1"/>
    <col min="7" max="7" width="14.77734375" style="81" bestFit="1" customWidth="1"/>
    <col min="8" max="8" width="14.77734375" style="74" bestFit="1" customWidth="1"/>
    <col min="9" max="9" width="14.88671875" style="81" bestFit="1" customWidth="1"/>
    <col min="10" max="11" width="14.77734375" style="81" bestFit="1" customWidth="1"/>
    <col min="12" max="15" width="14.88671875" style="81" bestFit="1" customWidth="1"/>
    <col min="16" max="17" width="14.77734375" style="81" bestFit="1" customWidth="1"/>
    <col min="18" max="18" width="9.33203125" style="81" bestFit="1" customWidth="1"/>
    <col min="19" max="16384" width="8.44140625" style="8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515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167"/>
      <c r="B5" s="150"/>
      <c r="C5" s="150"/>
      <c r="D5" s="150"/>
      <c r="E5" s="150"/>
      <c r="F5" s="150"/>
      <c r="G5" s="150"/>
      <c r="H5" s="372"/>
      <c r="I5" s="150"/>
      <c r="J5" s="150"/>
      <c r="K5" s="150"/>
    </row>
    <row r="6" spans="1:17">
      <c r="A6" s="1038" t="str">
        <f>'B.1 F '!A6</f>
        <v>Data:______Base Period__X___Forecasted Period</v>
      </c>
      <c r="B6" s="1038"/>
      <c r="C6" s="74"/>
      <c r="P6" s="81" t="s">
        <v>1450</v>
      </c>
    </row>
    <row r="7" spans="1:17">
      <c r="A7" s="1038" t="str">
        <f>'B.1 F '!A7</f>
        <v>Type of Filing:___X____Original________Updated ________Revised</v>
      </c>
      <c r="B7" s="74"/>
      <c r="C7" s="1038"/>
      <c r="P7" s="81" t="s">
        <v>1177</v>
      </c>
    </row>
    <row r="8" spans="1:17">
      <c r="A8" s="392" t="str">
        <f>'B.1 F '!A8</f>
        <v>Workpaper Reference No(s).</v>
      </c>
      <c r="B8" s="151"/>
      <c r="C8" s="151"/>
      <c r="D8" s="151"/>
      <c r="E8" s="151"/>
      <c r="F8" s="151"/>
      <c r="G8" s="82"/>
      <c r="H8" s="82"/>
      <c r="I8" s="151"/>
      <c r="J8" s="151"/>
      <c r="K8" s="82"/>
      <c r="L8" s="151"/>
      <c r="M8" s="82"/>
      <c r="N8" s="82"/>
      <c r="O8" s="82"/>
      <c r="P8" s="82"/>
      <c r="Q8" s="82"/>
    </row>
    <row r="9" spans="1:17">
      <c r="D9" s="865"/>
      <c r="E9" s="76"/>
      <c r="F9" s="863"/>
      <c r="G9" s="863"/>
      <c r="H9" s="75"/>
      <c r="I9" s="863"/>
      <c r="J9" s="76"/>
      <c r="K9" s="863"/>
    </row>
    <row r="10" spans="1:17">
      <c r="A10" s="863" t="s">
        <v>94</v>
      </c>
      <c r="B10" s="863" t="s">
        <v>95</v>
      </c>
      <c r="D10" s="862" t="s">
        <v>458</v>
      </c>
      <c r="E10" s="862" t="s">
        <v>458</v>
      </c>
      <c r="F10" s="862" t="s">
        <v>458</v>
      </c>
      <c r="G10" s="862" t="s">
        <v>458</v>
      </c>
      <c r="H10" s="862" t="s">
        <v>458</v>
      </c>
      <c r="I10" s="862" t="s">
        <v>1231</v>
      </c>
      <c r="J10" s="862" t="s">
        <v>1231</v>
      </c>
      <c r="K10" s="862" t="s">
        <v>1231</v>
      </c>
      <c r="L10" s="862" t="s">
        <v>1231</v>
      </c>
      <c r="M10" s="862" t="s">
        <v>1231</v>
      </c>
      <c r="N10" s="862" t="s">
        <v>1231</v>
      </c>
      <c r="O10" s="862" t="s">
        <v>1231</v>
      </c>
      <c r="P10" s="862" t="s">
        <v>1231</v>
      </c>
      <c r="Q10" s="965" t="s">
        <v>319</v>
      </c>
    </row>
    <row r="11" spans="1:17">
      <c r="A11" s="436" t="s">
        <v>100</v>
      </c>
      <c r="B11" s="436" t="s">
        <v>101</v>
      </c>
      <c r="C11" s="151"/>
      <c r="D11" s="615">
        <f>'WP B.4.1F'!C8</f>
        <v>43160</v>
      </c>
      <c r="E11" s="615">
        <f>'WP B.4.1F'!D8</f>
        <v>43191</v>
      </c>
      <c r="F11" s="615">
        <f>'WP B.4.1F'!E8</f>
        <v>43221</v>
      </c>
      <c r="G11" s="615">
        <f>'WP B.4.1F'!F8</f>
        <v>43252</v>
      </c>
      <c r="H11" s="615">
        <f>'WP B.4.1F'!G8</f>
        <v>43282</v>
      </c>
      <c r="I11" s="615">
        <f>'WP B.4.1F'!H8</f>
        <v>43313</v>
      </c>
      <c r="J11" s="615">
        <f>'WP B.4.1F'!I8</f>
        <v>43344</v>
      </c>
      <c r="K11" s="615">
        <f>'WP B.4.1F'!J8</f>
        <v>43374</v>
      </c>
      <c r="L11" s="615">
        <f>'WP B.4.1F'!K8</f>
        <v>43405</v>
      </c>
      <c r="M11" s="615">
        <f>'WP B.4.1F'!L8</f>
        <v>43435</v>
      </c>
      <c r="N11" s="615">
        <f>'WP B.4.1F'!M8</f>
        <v>43466</v>
      </c>
      <c r="O11" s="615">
        <f>'WP B.4.1F'!N8</f>
        <v>43497</v>
      </c>
      <c r="P11" s="615">
        <f>'WP B.4.1F'!O8</f>
        <v>43525</v>
      </c>
      <c r="Q11" s="522" t="s">
        <v>99</v>
      </c>
    </row>
    <row r="12" spans="1:17" ht="15.75">
      <c r="B12" s="930" t="s">
        <v>214</v>
      </c>
    </row>
    <row r="13" spans="1:17">
      <c r="A13" s="863">
        <v>1</v>
      </c>
      <c r="C13" s="622" t="s">
        <v>679</v>
      </c>
      <c r="D13" s="329">
        <v>2480404</v>
      </c>
      <c r="E13" s="378">
        <v>2480404</v>
      </c>
      <c r="F13" s="378">
        <v>2480404</v>
      </c>
      <c r="G13" s="378">
        <v>2480404</v>
      </c>
      <c r="H13" s="378">
        <v>2480404</v>
      </c>
      <c r="I13" s="378">
        <v>2480404</v>
      </c>
      <c r="J13" s="378">
        <v>2480404</v>
      </c>
      <c r="K13" s="378">
        <v>2480404</v>
      </c>
      <c r="L13" s="378">
        <v>2480404</v>
      </c>
      <c r="M13" s="378">
        <v>2480404</v>
      </c>
      <c r="N13" s="378">
        <v>2480404</v>
      </c>
      <c r="O13" s="378">
        <v>2480404</v>
      </c>
      <c r="P13" s="378">
        <v>2480404</v>
      </c>
      <c r="Q13" s="347">
        <f>(SUM(D13:P13))/13</f>
        <v>2480404</v>
      </c>
    </row>
    <row r="14" spans="1:17" ht="14.25" customHeight="1">
      <c r="A14" s="863">
        <f>A13+1</f>
        <v>2</v>
      </c>
      <c r="B14" s="1082"/>
      <c r="C14" s="8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431"/>
    </row>
    <row r="15" spans="1:17">
      <c r="A15" s="863">
        <f t="shared" ref="A15:A49" si="0">A14+1</f>
        <v>3</v>
      </c>
      <c r="C15" s="622" t="s">
        <v>680</v>
      </c>
      <c r="D15" s="378">
        <v>-117214673.87543592</v>
      </c>
      <c r="E15" s="378">
        <v>-118465808.40631916</v>
      </c>
      <c r="F15" s="378">
        <v>-120007414.18225914</v>
      </c>
      <c r="G15" s="378">
        <v>-121336066.77718185</v>
      </c>
      <c r="H15" s="378">
        <v>-122987828.744644</v>
      </c>
      <c r="I15" s="378">
        <v>-124445341.98999813</v>
      </c>
      <c r="J15" s="378">
        <v>-125483704.59202884</v>
      </c>
      <c r="K15" s="378">
        <v>-126012303.63436782</v>
      </c>
      <c r="L15" s="378">
        <v>-126697422.53612228</v>
      </c>
      <c r="M15" s="378">
        <v>-127022711.8902026</v>
      </c>
      <c r="N15" s="378">
        <v>-127280134.433551</v>
      </c>
      <c r="O15" s="378">
        <v>-127339839.19322272</v>
      </c>
      <c r="P15" s="378">
        <v>-127528305.31705078</v>
      </c>
      <c r="Q15" s="431">
        <f t="shared" ref="Q15:Q41" si="1">(SUM(D15:P15))/13</f>
        <v>-123986273.50556801</v>
      </c>
    </row>
    <row r="16" spans="1:17" ht="14.25" customHeight="1">
      <c r="A16" s="863">
        <f t="shared" si="0"/>
        <v>4</v>
      </c>
      <c r="B16" s="1082"/>
      <c r="C16" s="8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431"/>
    </row>
    <row r="17" spans="1:18">
      <c r="A17" s="863">
        <f t="shared" si="0"/>
        <v>5</v>
      </c>
      <c r="C17" s="622" t="s">
        <v>681</v>
      </c>
      <c r="D17" s="378">
        <v>-103015</v>
      </c>
      <c r="E17" s="378">
        <v>-103015</v>
      </c>
      <c r="F17" s="378">
        <v>-103015</v>
      </c>
      <c r="G17" s="378">
        <v>-103015</v>
      </c>
      <c r="H17" s="378">
        <v>-103015</v>
      </c>
      <c r="I17" s="378">
        <v>-103015</v>
      </c>
      <c r="J17" s="378">
        <v>-103015</v>
      </c>
      <c r="K17" s="378">
        <v>-103015</v>
      </c>
      <c r="L17" s="378">
        <v>-103015</v>
      </c>
      <c r="M17" s="378">
        <v>-103015</v>
      </c>
      <c r="N17" s="378">
        <v>-103015</v>
      </c>
      <c r="O17" s="378">
        <v>-103015</v>
      </c>
      <c r="P17" s="378">
        <v>-103015</v>
      </c>
      <c r="Q17" s="431">
        <f t="shared" si="1"/>
        <v>-103015</v>
      </c>
    </row>
    <row r="18" spans="1:18" ht="14.25" customHeight="1">
      <c r="A18" s="863">
        <f t="shared" si="0"/>
        <v>6</v>
      </c>
      <c r="B18" s="1082"/>
      <c r="C18" s="88"/>
      <c r="D18" s="378"/>
      <c r="E18" s="378"/>
      <c r="F18" s="378"/>
      <c r="G18" s="378"/>
      <c r="H18" s="378"/>
      <c r="I18" s="382"/>
      <c r="J18" s="382"/>
      <c r="K18" s="382"/>
      <c r="L18" s="378"/>
      <c r="M18" s="431"/>
      <c r="N18" s="431"/>
      <c r="O18" s="431"/>
      <c r="P18" s="431"/>
      <c r="Q18" s="431"/>
    </row>
    <row r="19" spans="1:18">
      <c r="A19" s="863">
        <f t="shared" si="0"/>
        <v>7</v>
      </c>
      <c r="C19" s="866" t="s">
        <v>31</v>
      </c>
      <c r="D19" s="577">
        <f t="shared" ref="D19:P19" si="2">SUM(D13:D17)</f>
        <v>-114837284.87543592</v>
      </c>
      <c r="E19" s="577">
        <f t="shared" si="2"/>
        <v>-116088419.40631916</v>
      </c>
      <c r="F19" s="577">
        <f t="shared" si="2"/>
        <v>-117630025.18225914</v>
      </c>
      <c r="G19" s="577">
        <f t="shared" si="2"/>
        <v>-118958677.77718185</v>
      </c>
      <c r="H19" s="577">
        <f t="shared" si="2"/>
        <v>-120610439.744644</v>
      </c>
      <c r="I19" s="577">
        <f t="shared" si="2"/>
        <v>-122067952.98999813</v>
      </c>
      <c r="J19" s="577">
        <f t="shared" si="2"/>
        <v>-123106315.59202884</v>
      </c>
      <c r="K19" s="577">
        <f t="shared" si="2"/>
        <v>-123634914.63436782</v>
      </c>
      <c r="L19" s="577">
        <f t="shared" si="2"/>
        <v>-124320033.53612228</v>
      </c>
      <c r="M19" s="577">
        <f t="shared" si="2"/>
        <v>-124645322.8902026</v>
      </c>
      <c r="N19" s="577">
        <f t="shared" si="2"/>
        <v>-124902745.433551</v>
      </c>
      <c r="O19" s="577">
        <f t="shared" si="2"/>
        <v>-124962450.19322272</v>
      </c>
      <c r="P19" s="577">
        <f t="shared" si="2"/>
        <v>-125150916.31705078</v>
      </c>
      <c r="Q19" s="347">
        <f t="shared" si="1"/>
        <v>-121608884.50556801</v>
      </c>
      <c r="R19" s="612"/>
    </row>
    <row r="20" spans="1:18" ht="14.25" customHeight="1">
      <c r="A20" s="863">
        <f t="shared" si="0"/>
        <v>8</v>
      </c>
      <c r="B20" s="1082"/>
      <c r="C20" s="88"/>
      <c r="D20" s="378"/>
      <c r="E20" s="378"/>
      <c r="F20" s="378"/>
      <c r="G20" s="378"/>
      <c r="H20" s="378"/>
      <c r="I20" s="382"/>
      <c r="J20" s="382"/>
      <c r="K20" s="382"/>
      <c r="L20" s="378"/>
      <c r="M20" s="431"/>
      <c r="N20" s="431"/>
      <c r="O20" s="431"/>
      <c r="P20" s="431"/>
      <c r="Q20" s="431"/>
    </row>
    <row r="21" spans="1:18" ht="15.75">
      <c r="A21" s="863">
        <f t="shared" si="0"/>
        <v>9</v>
      </c>
      <c r="B21" s="930" t="s">
        <v>215</v>
      </c>
      <c r="D21" s="382"/>
      <c r="E21" s="382"/>
      <c r="F21" s="382"/>
      <c r="G21" s="382"/>
      <c r="H21" s="382"/>
      <c r="I21" s="382"/>
      <c r="J21" s="382"/>
      <c r="K21" s="382"/>
      <c r="L21" s="382"/>
      <c r="M21" s="431"/>
      <c r="N21" s="431"/>
      <c r="O21" s="431"/>
      <c r="P21" s="431"/>
      <c r="Q21" s="431"/>
    </row>
    <row r="22" spans="1:18">
      <c r="A22" s="863">
        <f t="shared" si="0"/>
        <v>10</v>
      </c>
      <c r="C22" s="622" t="s">
        <v>679</v>
      </c>
      <c r="D22" s="329">
        <v>822699627.61165857</v>
      </c>
      <c r="E22" s="378">
        <v>822699627.61165857</v>
      </c>
      <c r="F22" s="378">
        <v>822699627.61165857</v>
      </c>
      <c r="G22" s="378">
        <v>822699627.61165857</v>
      </c>
      <c r="H22" s="378">
        <v>822699627.61165857</v>
      </c>
      <c r="I22" s="378">
        <v>822699627.61165857</v>
      </c>
      <c r="J22" s="378">
        <v>822699627.61165857</v>
      </c>
      <c r="K22" s="378">
        <v>822699627.61165857</v>
      </c>
      <c r="L22" s="378">
        <v>822699627.61165857</v>
      </c>
      <c r="M22" s="378">
        <v>822699627.61165857</v>
      </c>
      <c r="N22" s="378">
        <v>822699627.61165857</v>
      </c>
      <c r="O22" s="378">
        <v>822699627.61165857</v>
      </c>
      <c r="P22" s="378">
        <v>822699627.61165857</v>
      </c>
      <c r="Q22" s="347">
        <f t="shared" si="1"/>
        <v>822699627.61165833</v>
      </c>
    </row>
    <row r="23" spans="1:18">
      <c r="A23" s="863">
        <f t="shared" si="0"/>
        <v>11</v>
      </c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431"/>
    </row>
    <row r="24" spans="1:18">
      <c r="A24" s="863">
        <f t="shared" si="0"/>
        <v>12</v>
      </c>
      <c r="C24" s="622" t="s">
        <v>680</v>
      </c>
      <c r="D24" s="378">
        <v>-25934175.949016988</v>
      </c>
      <c r="E24" s="378">
        <v>-24332152.695652537</v>
      </c>
      <c r="F24" s="378">
        <v>-23867676.43783493</v>
      </c>
      <c r="G24" s="378">
        <v>-24031552.618854567</v>
      </c>
      <c r="H24" s="378">
        <v>-24232375.025370382</v>
      </c>
      <c r="I24" s="378">
        <v>-24433131.401703965</v>
      </c>
      <c r="J24" s="378">
        <v>-24633821.747855302</v>
      </c>
      <c r="K24" s="378">
        <v>-24834446.063824408</v>
      </c>
      <c r="L24" s="378">
        <v>-25035004.34961126</v>
      </c>
      <c r="M24" s="378">
        <v>-25235657.349407587</v>
      </c>
      <c r="N24" s="378">
        <v>-25436417.103592515</v>
      </c>
      <c r="O24" s="378">
        <v>-25637110.8275952</v>
      </c>
      <c r="P24" s="378">
        <v>-25837738.521415651</v>
      </c>
      <c r="Q24" s="431">
        <f t="shared" si="1"/>
        <v>-24883173.853210405</v>
      </c>
    </row>
    <row r="25" spans="1:18" ht="14.25" customHeight="1">
      <c r="A25" s="863">
        <f t="shared" si="0"/>
        <v>13</v>
      </c>
      <c r="B25" s="1082"/>
      <c r="C25" s="8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431"/>
    </row>
    <row r="26" spans="1:18">
      <c r="A26" s="863">
        <f t="shared" si="0"/>
        <v>14</v>
      </c>
      <c r="C26" s="622" t="s">
        <v>681</v>
      </c>
      <c r="D26" s="378">
        <v>25919296.840000004</v>
      </c>
      <c r="E26" s="378">
        <v>25919296.840000004</v>
      </c>
      <c r="F26" s="378">
        <v>25919296.840000004</v>
      </c>
      <c r="G26" s="378">
        <v>25919296.840000004</v>
      </c>
      <c r="H26" s="378">
        <v>25919296.840000004</v>
      </c>
      <c r="I26" s="378">
        <v>25919296.840000004</v>
      </c>
      <c r="J26" s="378">
        <v>25919296.840000004</v>
      </c>
      <c r="K26" s="378">
        <v>25919296.840000004</v>
      </c>
      <c r="L26" s="378">
        <v>25919296.840000004</v>
      </c>
      <c r="M26" s="378">
        <v>25919296.840000004</v>
      </c>
      <c r="N26" s="378">
        <v>25919296.840000004</v>
      </c>
      <c r="O26" s="378">
        <v>25919296.840000004</v>
      </c>
      <c r="P26" s="378">
        <v>25919296.840000004</v>
      </c>
      <c r="Q26" s="431">
        <f t="shared" si="1"/>
        <v>25919296.840000007</v>
      </c>
    </row>
    <row r="27" spans="1:18" ht="14.25" customHeight="1">
      <c r="A27" s="863">
        <f t="shared" si="0"/>
        <v>15</v>
      </c>
      <c r="B27" s="1082"/>
      <c r="C27" s="88"/>
      <c r="D27" s="378"/>
      <c r="E27" s="378"/>
      <c r="F27" s="378"/>
      <c r="G27" s="378"/>
      <c r="H27" s="378"/>
      <c r="I27" s="382"/>
      <c r="J27" s="382"/>
      <c r="K27" s="382"/>
      <c r="L27" s="378"/>
      <c r="M27" s="431"/>
      <c r="N27" s="431"/>
      <c r="O27" s="431"/>
      <c r="P27" s="431"/>
      <c r="Q27" s="431"/>
    </row>
    <row r="28" spans="1:18">
      <c r="A28" s="863">
        <f t="shared" si="0"/>
        <v>16</v>
      </c>
      <c r="C28" s="866" t="s">
        <v>69</v>
      </c>
      <c r="D28" s="577">
        <f t="shared" ref="D28:P28" si="3">SUM(D22:D26)</f>
        <v>822684748.50264156</v>
      </c>
      <c r="E28" s="577">
        <f t="shared" si="3"/>
        <v>824286771.75600612</v>
      </c>
      <c r="F28" s="577">
        <f t="shared" si="3"/>
        <v>824751248.01382363</v>
      </c>
      <c r="G28" s="577">
        <f t="shared" si="3"/>
        <v>824587371.83280408</v>
      </c>
      <c r="H28" s="577">
        <f t="shared" si="3"/>
        <v>824386549.42628825</v>
      </c>
      <c r="I28" s="577">
        <f t="shared" si="3"/>
        <v>824185793.04995465</v>
      </c>
      <c r="J28" s="577">
        <f t="shared" si="3"/>
        <v>823985102.7038033</v>
      </c>
      <c r="K28" s="577">
        <f t="shared" si="3"/>
        <v>823784478.38783419</v>
      </c>
      <c r="L28" s="577">
        <f t="shared" si="3"/>
        <v>823583920.10204732</v>
      </c>
      <c r="M28" s="577">
        <f t="shared" si="3"/>
        <v>823383267.10225105</v>
      </c>
      <c r="N28" s="577">
        <f t="shared" si="3"/>
        <v>823182507.34806609</v>
      </c>
      <c r="O28" s="577">
        <f t="shared" si="3"/>
        <v>822981813.62406337</v>
      </c>
      <c r="P28" s="577">
        <f t="shared" si="3"/>
        <v>822781185.9302429</v>
      </c>
      <c r="Q28" s="347">
        <f t="shared" si="1"/>
        <v>823735750.59844804</v>
      </c>
      <c r="R28" s="612"/>
    </row>
    <row r="29" spans="1:18" ht="15.75">
      <c r="A29" s="863">
        <f t="shared" si="0"/>
        <v>17</v>
      </c>
      <c r="B29" s="930" t="s">
        <v>1126</v>
      </c>
      <c r="C29" s="866"/>
      <c r="D29" s="383"/>
      <c r="E29" s="383"/>
      <c r="F29" s="383"/>
      <c r="G29" s="384"/>
      <c r="H29" s="384"/>
      <c r="I29" s="384"/>
      <c r="J29" s="384"/>
      <c r="K29" s="384"/>
      <c r="L29" s="378"/>
      <c r="M29" s="431"/>
      <c r="N29" s="431"/>
      <c r="O29" s="431"/>
      <c r="P29" s="431"/>
      <c r="Q29" s="431"/>
    </row>
    <row r="30" spans="1:18">
      <c r="A30" s="863">
        <f t="shared" si="0"/>
        <v>18</v>
      </c>
      <c r="C30" s="622" t="s">
        <v>679</v>
      </c>
      <c r="D30" s="329">
        <v>-574777</v>
      </c>
      <c r="E30" s="378">
        <v>-574777</v>
      </c>
      <c r="F30" s="378">
        <v>-574777</v>
      </c>
      <c r="G30" s="378">
        <v>-574777</v>
      </c>
      <c r="H30" s="378">
        <v>-574777</v>
      </c>
      <c r="I30" s="378">
        <v>-574777</v>
      </c>
      <c r="J30" s="378">
        <v>-574777</v>
      </c>
      <c r="K30" s="378">
        <v>-574777</v>
      </c>
      <c r="L30" s="378">
        <v>-574777</v>
      </c>
      <c r="M30" s="378">
        <v>-574777</v>
      </c>
      <c r="N30" s="378">
        <v>-574777</v>
      </c>
      <c r="O30" s="378">
        <v>-574777</v>
      </c>
      <c r="P30" s="378">
        <v>-574777</v>
      </c>
      <c r="Q30" s="347">
        <f t="shared" si="1"/>
        <v>-574777</v>
      </c>
    </row>
    <row r="31" spans="1:18">
      <c r="A31" s="863">
        <f t="shared" si="0"/>
        <v>19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431"/>
    </row>
    <row r="32" spans="1:18">
      <c r="A32" s="863">
        <f t="shared" si="0"/>
        <v>20</v>
      </c>
      <c r="C32" s="622" t="s">
        <v>680</v>
      </c>
      <c r="D32" s="378">
        <v>-25881583.657279368</v>
      </c>
      <c r="E32" s="378">
        <v>-25717163.795471791</v>
      </c>
      <c r="F32" s="378">
        <v>-25551766.328914858</v>
      </c>
      <c r="G32" s="378">
        <v>-25385623.05637034</v>
      </c>
      <c r="H32" s="378">
        <v>-25218502.17907647</v>
      </c>
      <c r="I32" s="378">
        <v>-25050403.69703323</v>
      </c>
      <c r="J32" s="378">
        <v>-24881327.610240631</v>
      </c>
      <c r="K32" s="378">
        <v>-24707853.755537882</v>
      </c>
      <c r="L32" s="378">
        <v>-24533584.714442585</v>
      </c>
      <c r="M32" s="378">
        <v>-24358520.486954745</v>
      </c>
      <c r="N32" s="378">
        <v>-24182661.073074371</v>
      </c>
      <c r="O32" s="378">
        <v>-24006006.472801454</v>
      </c>
      <c r="P32" s="378">
        <v>-23828556.686135989</v>
      </c>
      <c r="Q32" s="431">
        <f t="shared" si="1"/>
        <v>-24869504.116410289</v>
      </c>
    </row>
    <row r="33" spans="1:18">
      <c r="A33" s="863">
        <f t="shared" si="0"/>
        <v>21</v>
      </c>
      <c r="B33" s="1082"/>
      <c r="C33" s="8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431"/>
    </row>
    <row r="34" spans="1:18">
      <c r="A34" s="863">
        <f t="shared" si="0"/>
        <v>22</v>
      </c>
      <c r="C34" s="622" t="s">
        <v>681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378">
        <v>0</v>
      </c>
      <c r="Q34" s="431">
        <f t="shared" si="1"/>
        <v>0</v>
      </c>
    </row>
    <row r="35" spans="1:18">
      <c r="A35" s="863">
        <f t="shared" si="0"/>
        <v>23</v>
      </c>
      <c r="B35" s="1082"/>
      <c r="C35" s="88"/>
      <c r="D35" s="378"/>
      <c r="E35" s="378"/>
      <c r="F35" s="378"/>
      <c r="G35" s="378"/>
      <c r="H35" s="378"/>
      <c r="I35" s="382"/>
      <c r="J35" s="382"/>
      <c r="K35" s="382"/>
      <c r="L35" s="378"/>
      <c r="M35" s="431"/>
      <c r="N35" s="431"/>
      <c r="O35" s="431"/>
      <c r="P35" s="431"/>
      <c r="Q35" s="431"/>
    </row>
    <row r="36" spans="1:18">
      <c r="A36" s="863">
        <f t="shared" si="0"/>
        <v>24</v>
      </c>
      <c r="C36" s="866" t="s">
        <v>725</v>
      </c>
      <c r="D36" s="577">
        <f t="shared" ref="D36:P36" si="4">SUM(D30:D34)</f>
        <v>-26456360.657279368</v>
      </c>
      <c r="E36" s="577">
        <f t="shared" si="4"/>
        <v>-26291940.795471791</v>
      </c>
      <c r="F36" s="577">
        <f t="shared" si="4"/>
        <v>-26126543.328914858</v>
      </c>
      <c r="G36" s="577">
        <f t="shared" si="4"/>
        <v>-25960400.05637034</v>
      </c>
      <c r="H36" s="577">
        <f t="shared" si="4"/>
        <v>-25793279.17907647</v>
      </c>
      <c r="I36" s="577">
        <f t="shared" si="4"/>
        <v>-25625180.69703323</v>
      </c>
      <c r="J36" s="577">
        <f t="shared" si="4"/>
        <v>-25456104.610240631</v>
      </c>
      <c r="K36" s="577">
        <f t="shared" si="4"/>
        <v>-25282630.755537882</v>
      </c>
      <c r="L36" s="577">
        <f t="shared" si="4"/>
        <v>-25108361.714442585</v>
      </c>
      <c r="M36" s="577">
        <f t="shared" si="4"/>
        <v>-24933297.486954745</v>
      </c>
      <c r="N36" s="577">
        <f t="shared" si="4"/>
        <v>-24757438.073074371</v>
      </c>
      <c r="O36" s="577">
        <f t="shared" si="4"/>
        <v>-24580783.472801454</v>
      </c>
      <c r="P36" s="577">
        <f t="shared" si="4"/>
        <v>-24403333.686135989</v>
      </c>
      <c r="Q36" s="347">
        <f t="shared" si="1"/>
        <v>-25444281.116410289</v>
      </c>
      <c r="R36" s="612"/>
    </row>
    <row r="37" spans="1:18">
      <c r="A37" s="863">
        <f t="shared" si="0"/>
        <v>25</v>
      </c>
      <c r="C37" s="866"/>
      <c r="D37" s="378"/>
      <c r="E37" s="378"/>
      <c r="F37" s="378"/>
      <c r="G37" s="382"/>
      <c r="H37" s="382"/>
      <c r="I37" s="382"/>
      <c r="J37" s="382"/>
      <c r="K37" s="382"/>
      <c r="L37" s="378"/>
      <c r="M37" s="431"/>
      <c r="N37" s="431"/>
      <c r="O37" s="431"/>
      <c r="P37" s="431"/>
      <c r="Q37" s="431"/>
    </row>
    <row r="38" spans="1:18" ht="15.75">
      <c r="A38" s="863">
        <f t="shared" si="0"/>
        <v>26</v>
      </c>
      <c r="B38" s="930" t="s">
        <v>682</v>
      </c>
      <c r="D38" s="382"/>
      <c r="E38" s="382"/>
      <c r="F38" s="382"/>
      <c r="G38" s="382"/>
      <c r="H38" s="382"/>
      <c r="I38" s="382"/>
      <c r="J38" s="382"/>
      <c r="K38" s="382"/>
      <c r="L38" s="382"/>
      <c r="M38" s="431"/>
      <c r="N38" s="431"/>
      <c r="O38" s="431"/>
      <c r="P38" s="431"/>
      <c r="Q38" s="431"/>
    </row>
    <row r="39" spans="1:18">
      <c r="A39" s="863">
        <f t="shared" si="0"/>
        <v>27</v>
      </c>
      <c r="C39" s="622" t="s">
        <v>679</v>
      </c>
      <c r="D39" s="329">
        <v>6309382</v>
      </c>
      <c r="E39" s="378">
        <v>6309382</v>
      </c>
      <c r="F39" s="378">
        <v>6309382</v>
      </c>
      <c r="G39" s="378">
        <v>6309382</v>
      </c>
      <c r="H39" s="378">
        <v>6309382</v>
      </c>
      <c r="I39" s="378">
        <v>6309382</v>
      </c>
      <c r="J39" s="378">
        <v>6309382</v>
      </c>
      <c r="K39" s="378">
        <v>6309382</v>
      </c>
      <c r="L39" s="378">
        <v>6309382</v>
      </c>
      <c r="M39" s="378">
        <v>6309382</v>
      </c>
      <c r="N39" s="378">
        <v>6309382</v>
      </c>
      <c r="O39" s="378">
        <v>6309382</v>
      </c>
      <c r="P39" s="378">
        <v>6309382</v>
      </c>
      <c r="Q39" s="347">
        <f t="shared" si="1"/>
        <v>6309382</v>
      </c>
    </row>
    <row r="40" spans="1:18">
      <c r="A40" s="863">
        <f t="shared" si="0"/>
        <v>28</v>
      </c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431"/>
    </row>
    <row r="41" spans="1:18">
      <c r="A41" s="863">
        <f t="shared" si="0"/>
        <v>29</v>
      </c>
      <c r="C41" s="622" t="s">
        <v>680</v>
      </c>
      <c r="D41" s="378">
        <v>5689606.5990088303</v>
      </c>
      <c r="E41" s="378">
        <v>5691168.4243905377</v>
      </c>
      <c r="F41" s="378">
        <v>5692730.2497722451</v>
      </c>
      <c r="G41" s="378">
        <v>5694292.0751539525</v>
      </c>
      <c r="H41" s="378">
        <v>5695853.9005356599</v>
      </c>
      <c r="I41" s="378">
        <v>5697415.7259173673</v>
      </c>
      <c r="J41" s="378">
        <v>5698977.5512990747</v>
      </c>
      <c r="K41" s="378">
        <v>5701121.3437817991</v>
      </c>
      <c r="L41" s="378">
        <v>5703265.1362645235</v>
      </c>
      <c r="M41" s="378">
        <v>5705408.9287472479</v>
      </c>
      <c r="N41" s="378">
        <v>5707552.7212299742</v>
      </c>
      <c r="O41" s="378">
        <v>5707393.4061868042</v>
      </c>
      <c r="P41" s="378">
        <v>5709564.9537686333</v>
      </c>
      <c r="Q41" s="431">
        <f t="shared" si="1"/>
        <v>5699565.4627735894</v>
      </c>
    </row>
    <row r="42" spans="1:18">
      <c r="A42" s="863">
        <f t="shared" si="0"/>
        <v>30</v>
      </c>
      <c r="B42" s="863"/>
      <c r="C42" s="8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431"/>
    </row>
    <row r="43" spans="1:18">
      <c r="A43" s="863">
        <f t="shared" si="0"/>
        <v>31</v>
      </c>
      <c r="C43" s="622" t="s">
        <v>681</v>
      </c>
      <c r="D43" s="378">
        <v>-1597357</v>
      </c>
      <c r="E43" s="378">
        <v>-1597357</v>
      </c>
      <c r="F43" s="378">
        <v>-1597357</v>
      </c>
      <c r="G43" s="378">
        <v>-1597357</v>
      </c>
      <c r="H43" s="378">
        <v>-1597357</v>
      </c>
      <c r="I43" s="378">
        <v>-1597357</v>
      </c>
      <c r="J43" s="378">
        <v>-1597357</v>
      </c>
      <c r="K43" s="378">
        <v>-1597357</v>
      </c>
      <c r="L43" s="378">
        <v>-1597357</v>
      </c>
      <c r="M43" s="378">
        <v>-1597357</v>
      </c>
      <c r="N43" s="378">
        <v>-1597357</v>
      </c>
      <c r="O43" s="378">
        <v>-1597357</v>
      </c>
      <c r="P43" s="378">
        <v>-1597357</v>
      </c>
      <c r="Q43" s="431">
        <f>(SUM(D43:P43))/13</f>
        <v>-1597357</v>
      </c>
    </row>
    <row r="44" spans="1:18">
      <c r="A44" s="863">
        <f t="shared" si="0"/>
        <v>32</v>
      </c>
      <c r="D44" s="378"/>
      <c r="E44" s="378"/>
      <c r="F44" s="378"/>
      <c r="G44" s="378"/>
      <c r="H44" s="378"/>
      <c r="I44" s="378"/>
      <c r="J44" s="378"/>
      <c r="K44" s="378"/>
      <c r="L44" s="378"/>
      <c r="M44" s="431"/>
      <c r="N44" s="431"/>
      <c r="O44" s="431"/>
      <c r="P44" s="431"/>
      <c r="Q44" s="431"/>
    </row>
    <row r="45" spans="1:18">
      <c r="A45" s="863">
        <f t="shared" si="0"/>
        <v>33</v>
      </c>
      <c r="C45" s="622" t="s">
        <v>444</v>
      </c>
      <c r="D45" s="378">
        <f>'WP B.5 B'!P45</f>
        <v>-1</v>
      </c>
      <c r="E45" s="378">
        <f>D45</f>
        <v>-1</v>
      </c>
      <c r="F45" s="378">
        <f t="shared" ref="F45:J45" si="5">E45</f>
        <v>-1</v>
      </c>
      <c r="G45" s="378">
        <f t="shared" si="5"/>
        <v>-1</v>
      </c>
      <c r="H45" s="378">
        <f t="shared" si="5"/>
        <v>-1</v>
      </c>
      <c r="I45" s="378">
        <f t="shared" si="5"/>
        <v>-1</v>
      </c>
      <c r="J45" s="378">
        <f t="shared" si="5"/>
        <v>-1</v>
      </c>
      <c r="K45" s="378">
        <f t="shared" ref="K45:P45" si="6">J45</f>
        <v>-1</v>
      </c>
      <c r="L45" s="378">
        <f t="shared" si="6"/>
        <v>-1</v>
      </c>
      <c r="M45" s="378">
        <f t="shared" si="6"/>
        <v>-1</v>
      </c>
      <c r="N45" s="378">
        <f t="shared" si="6"/>
        <v>-1</v>
      </c>
      <c r="O45" s="378">
        <f t="shared" si="6"/>
        <v>-1</v>
      </c>
      <c r="P45" s="378">
        <f t="shared" si="6"/>
        <v>-1</v>
      </c>
      <c r="Q45" s="431">
        <f>(SUM(D45:P45))/13</f>
        <v>-1</v>
      </c>
    </row>
    <row r="46" spans="1:18">
      <c r="A46" s="863">
        <f t="shared" si="0"/>
        <v>34</v>
      </c>
      <c r="B46" s="1082"/>
      <c r="C46" s="88"/>
      <c r="D46" s="378"/>
      <c r="E46" s="378"/>
      <c r="F46" s="378"/>
      <c r="G46" s="378"/>
      <c r="H46" s="378"/>
      <c r="I46" s="382"/>
      <c r="J46" s="382"/>
      <c r="K46" s="382"/>
      <c r="L46" s="378"/>
      <c r="M46" s="431"/>
      <c r="N46" s="431"/>
      <c r="O46" s="431"/>
      <c r="P46" s="431"/>
      <c r="Q46" s="431"/>
    </row>
    <row r="47" spans="1:18">
      <c r="A47" s="863">
        <f t="shared" si="0"/>
        <v>35</v>
      </c>
      <c r="C47" s="866" t="s">
        <v>443</v>
      </c>
      <c r="D47" s="577">
        <f>SUM(D39:D45)</f>
        <v>10401630.59900883</v>
      </c>
      <c r="E47" s="577">
        <f t="shared" ref="E47:P47" si="7">SUM(E39:E45)</f>
        <v>10403192.424390538</v>
      </c>
      <c r="F47" s="577">
        <f t="shared" si="7"/>
        <v>10404754.249772245</v>
      </c>
      <c r="G47" s="577">
        <f t="shared" si="7"/>
        <v>10406316.075153952</v>
      </c>
      <c r="H47" s="577">
        <f t="shared" si="7"/>
        <v>10407877.90053566</v>
      </c>
      <c r="I47" s="577">
        <f t="shared" si="7"/>
        <v>10409439.725917367</v>
      </c>
      <c r="J47" s="577">
        <f t="shared" si="7"/>
        <v>10411001.551299075</v>
      </c>
      <c r="K47" s="577">
        <f t="shared" si="7"/>
        <v>10413145.343781799</v>
      </c>
      <c r="L47" s="577">
        <f t="shared" si="7"/>
        <v>10415289.136264523</v>
      </c>
      <c r="M47" s="577">
        <f t="shared" si="7"/>
        <v>10417432.928747248</v>
      </c>
      <c r="N47" s="577">
        <f t="shared" si="7"/>
        <v>10419576.721229974</v>
      </c>
      <c r="O47" s="577">
        <f t="shared" si="7"/>
        <v>10419417.406186804</v>
      </c>
      <c r="P47" s="577">
        <f t="shared" si="7"/>
        <v>10421588.953768633</v>
      </c>
      <c r="Q47" s="347">
        <f>(SUM(D47:P47))/13</f>
        <v>10411589.462773589</v>
      </c>
      <c r="R47" s="612"/>
    </row>
    <row r="48" spans="1:18">
      <c r="A48" s="863">
        <f t="shared" si="0"/>
        <v>36</v>
      </c>
      <c r="D48" s="382"/>
      <c r="E48" s="382"/>
      <c r="F48" s="382"/>
      <c r="G48" s="382"/>
      <c r="H48" s="382"/>
      <c r="I48" s="382"/>
      <c r="J48" s="382"/>
      <c r="K48" s="382"/>
      <c r="L48" s="382"/>
      <c r="M48" s="431"/>
      <c r="N48" s="431"/>
      <c r="O48" s="431"/>
      <c r="P48" s="431"/>
      <c r="Q48" s="431"/>
    </row>
    <row r="49" spans="1:17" ht="15.75" thickBot="1">
      <c r="A49" s="863">
        <f t="shared" si="0"/>
        <v>37</v>
      </c>
      <c r="B49" s="74"/>
      <c r="C49" s="81" t="s">
        <v>97</v>
      </c>
      <c r="D49" s="330">
        <f>D47+D36+D28+D19</f>
        <v>691792733.56893504</v>
      </c>
      <c r="E49" s="330">
        <f t="shared" ref="E49:P49" si="8">E47+E36+E28+E19</f>
        <v>692309603.97860575</v>
      </c>
      <c r="F49" s="330">
        <f t="shared" si="8"/>
        <v>691399433.75242186</v>
      </c>
      <c r="G49" s="330">
        <f t="shared" si="8"/>
        <v>690074610.07440579</v>
      </c>
      <c r="H49" s="330">
        <f t="shared" si="8"/>
        <v>688390708.40310335</v>
      </c>
      <c r="I49" s="330">
        <f t="shared" si="8"/>
        <v>686902099.08884072</v>
      </c>
      <c r="J49" s="330">
        <f t="shared" si="8"/>
        <v>685833684.05283284</v>
      </c>
      <c r="K49" s="330">
        <f t="shared" si="8"/>
        <v>685280078.34171033</v>
      </c>
      <c r="L49" s="330">
        <f t="shared" si="8"/>
        <v>684570813.98774695</v>
      </c>
      <c r="M49" s="330">
        <f t="shared" si="8"/>
        <v>684222079.6538409</v>
      </c>
      <c r="N49" s="330">
        <f t="shared" si="8"/>
        <v>683941900.56267071</v>
      </c>
      <c r="O49" s="330">
        <f t="shared" si="8"/>
        <v>683857997.36422598</v>
      </c>
      <c r="P49" s="330">
        <f t="shared" si="8"/>
        <v>683648524.88082469</v>
      </c>
      <c r="Q49" s="347">
        <f>(SUM(D49:P49))/13</f>
        <v>687094174.43924344</v>
      </c>
    </row>
    <row r="50" spans="1:17" ht="15.75" thickTop="1">
      <c r="A50" s="74"/>
      <c r="B50" s="74"/>
    </row>
    <row r="51" spans="1:17">
      <c r="A51" s="74"/>
      <c r="B51" s="74"/>
      <c r="C51" s="74" t="s">
        <v>691</v>
      </c>
    </row>
    <row r="52" spans="1:17">
      <c r="A52" s="74"/>
      <c r="B52" s="74"/>
      <c r="C52" s="74" t="s">
        <v>1616</v>
      </c>
      <c r="D52" s="673"/>
    </row>
    <row r="53" spans="1:17">
      <c r="A53" s="74"/>
      <c r="B53" s="74"/>
    </row>
    <row r="58" spans="1:17">
      <c r="D58" s="831"/>
    </row>
    <row r="59" spans="1:17">
      <c r="C59" s="103"/>
      <c r="D59" s="831"/>
    </row>
    <row r="60" spans="1:17">
      <c r="C60" s="103"/>
      <c r="D60" s="1083"/>
      <c r="H60" s="807"/>
    </row>
    <row r="61" spans="1:17">
      <c r="D61" s="831"/>
    </row>
    <row r="62" spans="1:17">
      <c r="C62" s="103"/>
      <c r="E62" s="103"/>
    </row>
    <row r="65" spans="3:4">
      <c r="C65" s="80"/>
    </row>
    <row r="66" spans="3:4">
      <c r="C66" s="80"/>
    </row>
    <row r="67" spans="3:4">
      <c r="C67" s="80"/>
    </row>
    <row r="68" spans="3:4">
      <c r="C68" s="80"/>
      <c r="D68" s="1084"/>
    </row>
    <row r="69" spans="3:4">
      <c r="C69" s="80"/>
    </row>
    <row r="70" spans="3:4">
      <c r="C70" s="80"/>
      <c r="D70" s="1083"/>
    </row>
    <row r="71" spans="3:4">
      <c r="C71" s="80"/>
    </row>
    <row r="72" spans="3:4">
      <c r="C72" s="80"/>
      <c r="D72" s="1084"/>
    </row>
    <row r="73" spans="3:4">
      <c r="C73" s="80"/>
    </row>
    <row r="74" spans="3:4">
      <c r="C74" s="80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38" right="0.34" top="0.84" bottom="1" header="0.5" footer="0.5"/>
  <pageSetup scale="41" orientation="landscape" verticalDpi="300" r:id="rId1"/>
  <headerFooter alignWithMargins="0">
    <oddFooter>&amp;R&amp;A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S42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.44140625" defaultRowHeight="15"/>
  <cols>
    <col min="1" max="1" width="5.77734375" style="1" customWidth="1"/>
    <col min="2" max="2" width="6.88671875" style="1" customWidth="1"/>
    <col min="3" max="3" width="47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1" style="1" customWidth="1"/>
    <col min="18" max="16384" width="8.44140625" style="1"/>
  </cols>
  <sheetData>
    <row r="1" spans="1:19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9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9">
      <c r="A3" s="1162" t="s">
        <v>1241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9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9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9">
      <c r="A6" s="48" t="str">
        <f>'B.1 B'!A6</f>
        <v>Data:__X___Base Period______Forecasted Period</v>
      </c>
      <c r="B6" s="48"/>
      <c r="C6" s="35"/>
      <c r="P6" s="1" t="s">
        <v>1451</v>
      </c>
    </row>
    <row r="7" spans="1:19">
      <c r="A7" s="48" t="str">
        <f>'B.1 B'!A7</f>
        <v>Type of Filing:___X____Original________Updated ________Revised</v>
      </c>
      <c r="B7" s="35"/>
      <c r="C7" s="48"/>
      <c r="P7" s="1" t="s">
        <v>813</v>
      </c>
    </row>
    <row r="8" spans="1:19">
      <c r="A8" s="51" t="str">
        <f>'B.1 B'!A8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9">
      <c r="D9" s="54"/>
      <c r="E9" s="222"/>
      <c r="F9" s="2"/>
      <c r="G9" s="2"/>
      <c r="H9" s="75"/>
      <c r="I9" s="2"/>
      <c r="J9" s="222"/>
      <c r="K9" s="2"/>
    </row>
    <row r="10" spans="1:19">
      <c r="A10" s="2" t="s">
        <v>94</v>
      </c>
      <c r="B10" s="2" t="s">
        <v>95</v>
      </c>
      <c r="D10" s="53" t="s">
        <v>108</v>
      </c>
      <c r="E10" s="53" t="s">
        <v>108</v>
      </c>
      <c r="F10" s="53" t="s">
        <v>108</v>
      </c>
      <c r="G10" s="53" t="s">
        <v>108</v>
      </c>
      <c r="H10" s="53" t="s">
        <v>108</v>
      </c>
      <c r="I10" s="53" t="s">
        <v>108</v>
      </c>
      <c r="J10" s="53" t="s">
        <v>108</v>
      </c>
      <c r="K10" s="613" t="s">
        <v>458</v>
      </c>
      <c r="L10" s="53" t="s">
        <v>458</v>
      </c>
      <c r="M10" s="53" t="s">
        <v>458</v>
      </c>
      <c r="N10" s="53" t="s">
        <v>458</v>
      </c>
      <c r="O10" s="53" t="s">
        <v>458</v>
      </c>
      <c r="P10" s="53" t="s">
        <v>458</v>
      </c>
      <c r="Q10" s="99" t="s">
        <v>319</v>
      </c>
    </row>
    <row r="11" spans="1:19">
      <c r="A11" s="9" t="s">
        <v>100</v>
      </c>
      <c r="B11" s="9" t="s">
        <v>101</v>
      </c>
      <c r="C11" s="6"/>
      <c r="D11" s="349">
        <f>'WP B.4.1B'!C8</f>
        <v>42705</v>
      </c>
      <c r="E11" s="349">
        <f>'WP B.4.1B'!D8</f>
        <v>42736</v>
      </c>
      <c r="F11" s="349">
        <f>'WP B.4.1B'!E8</f>
        <v>42767</v>
      </c>
      <c r="G11" s="349">
        <f>'WP B.4.1B'!F8</f>
        <v>42795</v>
      </c>
      <c r="H11" s="349">
        <f>'WP B.4.1B'!G8</f>
        <v>42826</v>
      </c>
      <c r="I11" s="349">
        <f>'WP B.4.1B'!H8</f>
        <v>42856</v>
      </c>
      <c r="J11" s="349">
        <f>'WP B.4.1B'!I8</f>
        <v>42887</v>
      </c>
      <c r="K11" s="349">
        <f>'WP B.4.1B'!J8</f>
        <v>42917</v>
      </c>
      <c r="L11" s="349">
        <f>'WP B.4.1B'!K8</f>
        <v>42948</v>
      </c>
      <c r="M11" s="349">
        <f>'WP B.4.1B'!L8</f>
        <v>42979</v>
      </c>
      <c r="N11" s="349">
        <f>'WP B.4.1B'!M8</f>
        <v>43009</v>
      </c>
      <c r="O11" s="349">
        <f>'WP B.4.1B'!N8</f>
        <v>43040</v>
      </c>
      <c r="P11" s="349">
        <f>'WP B.4.1B'!O8</f>
        <v>43070</v>
      </c>
      <c r="Q11" s="56" t="s">
        <v>99</v>
      </c>
    </row>
    <row r="12" spans="1:19" ht="15.75">
      <c r="B12" s="12" t="s">
        <v>214</v>
      </c>
      <c r="G12" s="81"/>
    </row>
    <row r="13" spans="1:19">
      <c r="A13" s="2">
        <v>1</v>
      </c>
      <c r="B13" s="373"/>
      <c r="C13" s="4" t="s">
        <v>53</v>
      </c>
      <c r="D13" s="378">
        <v>-1674612.99</v>
      </c>
      <c r="E13" s="378">
        <v>-1744326.61</v>
      </c>
      <c r="F13" s="378">
        <v>-1740194.61</v>
      </c>
      <c r="G13" s="378">
        <v>-1623598.93</v>
      </c>
      <c r="H13" s="378">
        <v>-1304466.75</v>
      </c>
      <c r="I13" s="378">
        <v>-1194206.95</v>
      </c>
      <c r="J13" s="378">
        <v>-1018425.36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312">
        <f>SUM(D13:P13)/13</f>
        <v>-1455773.1853846153</v>
      </c>
      <c r="S13" s="799"/>
    </row>
    <row r="14" spans="1:19">
      <c r="A14" s="54">
        <v>2</v>
      </c>
      <c r="B14" s="374"/>
      <c r="D14" s="77"/>
      <c r="E14" s="42"/>
      <c r="F14" s="42"/>
      <c r="G14" s="77"/>
      <c r="H14" s="77"/>
      <c r="I14" s="42"/>
      <c r="J14" s="42"/>
      <c r="K14" s="42"/>
      <c r="L14" s="42"/>
      <c r="P14" s="312"/>
    </row>
    <row r="15" spans="1:19" ht="15.75">
      <c r="A15" s="2">
        <v>3</v>
      </c>
      <c r="B15" s="12" t="s">
        <v>215</v>
      </c>
      <c r="D15" s="35"/>
      <c r="E15" s="35"/>
      <c r="F15" s="35"/>
      <c r="G15" s="74"/>
      <c r="I15" s="35"/>
      <c r="J15" s="35"/>
      <c r="K15" s="35"/>
      <c r="L15" s="381"/>
      <c r="M15" s="312"/>
      <c r="N15" s="312"/>
      <c r="O15" s="312"/>
      <c r="P15" s="312"/>
    </row>
    <row r="16" spans="1:19">
      <c r="A16" s="54">
        <v>4</v>
      </c>
      <c r="B16" s="373">
        <v>15560</v>
      </c>
      <c r="C16" s="4" t="s">
        <v>53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79">
        <v>0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8">
        <v>0</v>
      </c>
      <c r="Q16" s="312">
        <f>(SUM(D16:P16))/13</f>
        <v>0</v>
      </c>
    </row>
    <row r="17" spans="1:17">
      <c r="A17" s="2">
        <v>5</v>
      </c>
      <c r="B17" s="375"/>
      <c r="C17" s="4"/>
      <c r="D17" s="77"/>
      <c r="E17" s="42"/>
      <c r="F17" s="42"/>
      <c r="G17" s="77"/>
      <c r="H17" s="77"/>
      <c r="I17" s="74"/>
      <c r="J17" s="74"/>
      <c r="K17" s="74"/>
      <c r="L17" s="380"/>
      <c r="M17" s="312"/>
      <c r="N17" s="312"/>
      <c r="O17" s="312"/>
      <c r="P17" s="312"/>
    </row>
    <row r="18" spans="1:17" ht="15.75">
      <c r="A18" s="54">
        <v>6</v>
      </c>
      <c r="B18" s="12" t="s">
        <v>1126</v>
      </c>
      <c r="C18" s="22"/>
      <c r="D18" s="376"/>
      <c r="E18" s="168"/>
      <c r="F18" s="168"/>
      <c r="G18" s="76"/>
      <c r="H18" s="76"/>
      <c r="I18" s="76"/>
      <c r="J18" s="76"/>
      <c r="K18" s="76"/>
      <c r="L18" s="380"/>
      <c r="M18" s="312"/>
      <c r="N18" s="312"/>
      <c r="O18" s="312"/>
      <c r="P18" s="312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12">
        <f>(SUM(D19:P19))/13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35"/>
      <c r="E21" s="35"/>
      <c r="F21" s="35"/>
      <c r="G21" s="74"/>
      <c r="I21" s="35"/>
      <c r="J21" s="35"/>
      <c r="K21" s="35"/>
      <c r="L21" s="381"/>
      <c r="M21" s="312"/>
      <c r="N21" s="312"/>
      <c r="O21" s="312"/>
      <c r="P21" s="312"/>
    </row>
    <row r="22" spans="1:17">
      <c r="A22" s="54">
        <v>10</v>
      </c>
      <c r="B22" s="373">
        <v>15560</v>
      </c>
      <c r="C22" s="4" t="s">
        <v>53</v>
      </c>
      <c r="D22" s="383" t="s">
        <v>1693</v>
      </c>
      <c r="E22" s="383" t="s">
        <v>1693</v>
      </c>
      <c r="F22" s="383" t="s">
        <v>1693</v>
      </c>
      <c r="G22" s="383" t="s">
        <v>1693</v>
      </c>
      <c r="H22" s="383" t="s">
        <v>1693</v>
      </c>
      <c r="I22" s="383" t="s">
        <v>1693</v>
      </c>
      <c r="J22" s="383" t="s">
        <v>1693</v>
      </c>
      <c r="K22" s="383">
        <v>0</v>
      </c>
      <c r="L22" s="383">
        <v>0</v>
      </c>
      <c r="M22" s="383">
        <v>0</v>
      </c>
      <c r="N22" s="383">
        <v>0</v>
      </c>
      <c r="O22" s="383">
        <v>0</v>
      </c>
      <c r="P22" s="383">
        <v>0</v>
      </c>
      <c r="Q22" s="312">
        <f>(SUM(D22:P22))/13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  <c r="P25" s="312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  <row r="42" spans="1:2">
      <c r="A42" s="35"/>
      <c r="B42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3" top="0.93" bottom="1" header="0.5" footer="0.5"/>
  <pageSetup scale="50" orientation="landscape" verticalDpi="300" r:id="rId1"/>
  <headerFooter alignWithMargins="0">
    <oddFooter>&amp;R&amp;A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Q41"/>
  <sheetViews>
    <sheetView view="pageBreakPreview" zoomScale="70" zoomScaleNormal="80" zoomScaleSheetLayoutView="70" workbookViewId="0">
      <pane xSplit="3" ySplit="11" topLeftCell="D12" activePane="bottomRight" state="frozen"/>
      <selection activeCell="G63" sqref="G63"/>
      <selection pane="topRight" activeCell="G63" sqref="G63"/>
      <selection pane="bottomLeft" activeCell="G63" sqref="G63"/>
      <selection pane="bottomRight" activeCell="G63" sqref="G63"/>
    </sheetView>
  </sheetViews>
  <sheetFormatPr defaultColWidth="8.44140625" defaultRowHeight="15"/>
  <cols>
    <col min="1" max="1" width="5.77734375" style="1" customWidth="1"/>
    <col min="2" max="2" width="7.109375" style="1" customWidth="1"/>
    <col min="3" max="3" width="44.21875" style="1" customWidth="1"/>
    <col min="4" max="7" width="10.5546875" style="1" bestFit="1" customWidth="1"/>
    <col min="8" max="8" width="10.5546875" style="74" bestFit="1" customWidth="1"/>
    <col min="9" max="15" width="10.5546875" style="1" bestFit="1" customWidth="1"/>
    <col min="16" max="16" width="12" style="1" bestFit="1" customWidth="1"/>
    <col min="17" max="17" width="10" style="1" bestFit="1" customWidth="1"/>
    <col min="18" max="16384" width="8.44140625" style="1"/>
  </cols>
  <sheetData>
    <row r="1" spans="1:17">
      <c r="A1" s="1162" t="str">
        <f>Allocation!A1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</row>
    <row r="2" spans="1:17">
      <c r="A2" s="1162" t="str">
        <f>Allocation!A2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  <c r="O2" s="1162"/>
      <c r="P2" s="1162"/>
      <c r="Q2" s="1162"/>
    </row>
    <row r="3" spans="1:17">
      <c r="A3" s="1162" t="s">
        <v>1241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</row>
    <row r="4" spans="1:17">
      <c r="A4" s="1162" t="str">
        <f>Allocation!A3</f>
        <v>Base Period: Twelve Months Ended December 31, 2017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</row>
    <row r="5" spans="1:17">
      <c r="A5" s="31"/>
      <c r="B5" s="30"/>
      <c r="C5" s="30"/>
      <c r="D5" s="30"/>
      <c r="E5" s="30"/>
      <c r="F5" s="30"/>
      <c r="G5" s="30"/>
      <c r="H5" s="372"/>
      <c r="I5" s="30"/>
      <c r="J5" s="30"/>
      <c r="K5" s="30"/>
    </row>
    <row r="6" spans="1:17">
      <c r="A6" s="48" t="str">
        <f>'B.1 F '!A6</f>
        <v>Data:______Base Period__X___Forecasted Period</v>
      </c>
      <c r="B6" s="48"/>
      <c r="C6" s="35"/>
      <c r="P6" s="1" t="s">
        <v>1450</v>
      </c>
    </row>
    <row r="7" spans="1:17">
      <c r="A7" s="48" t="str">
        <f>'B.1 F '!A7</f>
        <v>Type of Filing:___X____Original________Updated ________Revised</v>
      </c>
      <c r="B7" s="35"/>
      <c r="C7" s="48"/>
      <c r="P7" s="1" t="s">
        <v>1177</v>
      </c>
    </row>
    <row r="8" spans="1:17">
      <c r="A8" s="51" t="str">
        <f>'B.1 F '!A8</f>
        <v>Workpaper Reference No(s).</v>
      </c>
      <c r="B8" s="6"/>
      <c r="C8" s="6"/>
      <c r="D8" s="6"/>
      <c r="E8" s="6"/>
      <c r="F8" s="6"/>
      <c r="G8" s="33"/>
      <c r="H8" s="82"/>
      <c r="I8" s="6"/>
      <c r="J8" s="6"/>
      <c r="K8" s="33"/>
      <c r="L8" s="6"/>
      <c r="M8" s="33"/>
      <c r="N8" s="33"/>
      <c r="O8" s="33"/>
      <c r="P8" s="33"/>
      <c r="Q8" s="33"/>
    </row>
    <row r="9" spans="1:17">
      <c r="D9" s="54"/>
      <c r="E9" s="222"/>
      <c r="F9" s="2"/>
      <c r="G9" s="2"/>
      <c r="H9" s="75"/>
      <c r="I9" s="2"/>
      <c r="J9" s="222"/>
      <c r="K9" s="2"/>
    </row>
    <row r="10" spans="1:17">
      <c r="A10" s="2" t="s">
        <v>94</v>
      </c>
      <c r="B10" s="2" t="s">
        <v>95</v>
      </c>
      <c r="D10" s="53" t="s">
        <v>458</v>
      </c>
      <c r="E10" s="792" t="s">
        <v>458</v>
      </c>
      <c r="F10" s="792" t="s">
        <v>458</v>
      </c>
      <c r="G10" s="792" t="s">
        <v>458</v>
      </c>
      <c r="H10" s="792" t="s">
        <v>458</v>
      </c>
      <c r="I10" s="613" t="s">
        <v>44</v>
      </c>
      <c r="J10" s="613" t="s">
        <v>44</v>
      </c>
      <c r="K10" s="613" t="s">
        <v>44</v>
      </c>
      <c r="L10" s="613" t="s">
        <v>44</v>
      </c>
      <c r="M10" s="613" t="s">
        <v>44</v>
      </c>
      <c r="N10" s="613" t="s">
        <v>44</v>
      </c>
      <c r="O10" s="613" t="s">
        <v>44</v>
      </c>
      <c r="P10" s="613" t="s">
        <v>44</v>
      </c>
      <c r="Q10" s="99" t="s">
        <v>319</v>
      </c>
    </row>
    <row r="11" spans="1:17">
      <c r="A11" s="9" t="s">
        <v>100</v>
      </c>
      <c r="B11" s="9" t="s">
        <v>101</v>
      </c>
      <c r="C11" s="6"/>
      <c r="D11" s="349">
        <f>'WP B.4.1F'!C8</f>
        <v>43160</v>
      </c>
      <c r="E11" s="349">
        <f>'WP B.4.1F'!D8</f>
        <v>43191</v>
      </c>
      <c r="F11" s="349">
        <f>'WP B.4.1F'!E8</f>
        <v>43221</v>
      </c>
      <c r="G11" s="349">
        <f>'WP B.4.1F'!F8</f>
        <v>43252</v>
      </c>
      <c r="H11" s="349">
        <f>'WP B.4.1F'!G8</f>
        <v>43282</v>
      </c>
      <c r="I11" s="349">
        <f>'WP B.4.1F'!H8</f>
        <v>43313</v>
      </c>
      <c r="J11" s="349">
        <f>'WP B.4.1F'!I8</f>
        <v>43344</v>
      </c>
      <c r="K11" s="349">
        <f>'WP B.4.1F'!J8</f>
        <v>43374</v>
      </c>
      <c r="L11" s="349">
        <f>'WP B.4.1F'!K8</f>
        <v>43405</v>
      </c>
      <c r="M11" s="349">
        <f>'WP B.4.1F'!L8</f>
        <v>43435</v>
      </c>
      <c r="N11" s="349">
        <f>'WP B.4.1F'!M8</f>
        <v>43466</v>
      </c>
      <c r="O11" s="349">
        <f>'WP B.4.1F'!N8</f>
        <v>43497</v>
      </c>
      <c r="P11" s="349">
        <f>'WP B.4.1F'!O8</f>
        <v>43525</v>
      </c>
      <c r="Q11" s="56" t="s">
        <v>99</v>
      </c>
    </row>
    <row r="12" spans="1:17" ht="15.75">
      <c r="B12" s="12" t="s">
        <v>214</v>
      </c>
      <c r="G12" s="81"/>
    </row>
    <row r="13" spans="1:17">
      <c r="A13" s="2">
        <v>1</v>
      </c>
      <c r="B13" s="373"/>
      <c r="C13" s="4" t="s">
        <v>53</v>
      </c>
      <c r="D13" s="378">
        <v>-1437536.5350000001</v>
      </c>
      <c r="E13" s="378">
        <v>-1437536.5350000001</v>
      </c>
      <c r="F13" s="378">
        <v>-1437536.5350000001</v>
      </c>
      <c r="G13" s="378">
        <v>-1437536.5350000001</v>
      </c>
      <c r="H13" s="378">
        <v>-1437536.5350000001</v>
      </c>
      <c r="I13" s="378">
        <v>-1437536.5350000001</v>
      </c>
      <c r="J13" s="378">
        <v>-1437536.5350000001</v>
      </c>
      <c r="K13" s="378">
        <v>-1437536.5350000001</v>
      </c>
      <c r="L13" s="378">
        <v>-1437536.5350000001</v>
      </c>
      <c r="M13" s="378">
        <v>-1437536.5350000001</v>
      </c>
      <c r="N13" s="378">
        <v>-1437536.5350000001</v>
      </c>
      <c r="O13" s="378">
        <v>-1437536.5350000001</v>
      </c>
      <c r="P13" s="378">
        <v>-1437536.5350000001</v>
      </c>
      <c r="Q13" s="1">
        <f>SUM(D13:P13)/13</f>
        <v>-1437536.5350000001</v>
      </c>
    </row>
    <row r="14" spans="1:17">
      <c r="A14" s="54">
        <v>2</v>
      </c>
      <c r="B14" s="374"/>
      <c r="D14" s="77"/>
      <c r="E14" s="77"/>
      <c r="F14" s="77"/>
      <c r="G14" s="77"/>
      <c r="H14" s="77"/>
      <c r="I14" s="77"/>
      <c r="J14" s="77"/>
      <c r="K14" s="77"/>
      <c r="L14" s="77"/>
      <c r="M14" s="81"/>
      <c r="N14" s="81"/>
      <c r="O14" s="81"/>
      <c r="P14" s="431"/>
    </row>
    <row r="15" spans="1:17" ht="15.75">
      <c r="A15" s="2">
        <v>3</v>
      </c>
      <c r="B15" s="12" t="s">
        <v>215</v>
      </c>
      <c r="D15" s="74"/>
      <c r="E15" s="74"/>
      <c r="F15" s="74"/>
      <c r="G15" s="74"/>
      <c r="I15" s="74"/>
      <c r="J15" s="74"/>
      <c r="K15" s="74"/>
      <c r="L15" s="382"/>
      <c r="M15" s="431"/>
      <c r="N15" s="431"/>
      <c r="O15" s="431"/>
      <c r="P15" s="431"/>
    </row>
    <row r="16" spans="1:17">
      <c r="A16" s="54">
        <v>4</v>
      </c>
      <c r="B16" s="373">
        <v>15560</v>
      </c>
      <c r="C16" s="4" t="s">
        <v>53</v>
      </c>
      <c r="D16" s="378">
        <v>0</v>
      </c>
      <c r="E16" s="378">
        <v>0</v>
      </c>
      <c r="F16" s="378">
        <v>0</v>
      </c>
      <c r="G16" s="378">
        <v>0</v>
      </c>
      <c r="H16" s="378">
        <v>0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1">
        <f>SUM(D16:P16)/13</f>
        <v>0</v>
      </c>
    </row>
    <row r="17" spans="1:17">
      <c r="A17" s="2">
        <v>5</v>
      </c>
      <c r="B17" s="375"/>
      <c r="C17" s="4"/>
      <c r="D17" s="77"/>
      <c r="E17" s="77"/>
      <c r="F17" s="77"/>
      <c r="G17" s="77"/>
      <c r="H17" s="77"/>
      <c r="I17" s="74"/>
      <c r="J17" s="74"/>
      <c r="K17" s="74"/>
      <c r="L17" s="378"/>
      <c r="M17" s="431"/>
      <c r="N17" s="431"/>
      <c r="O17" s="431"/>
      <c r="P17" s="431"/>
    </row>
    <row r="18" spans="1:17" ht="15.75">
      <c r="A18" s="54">
        <v>6</v>
      </c>
      <c r="B18" s="12" t="s">
        <v>1126</v>
      </c>
      <c r="C18" s="22"/>
      <c r="D18" s="376"/>
      <c r="E18" s="376"/>
      <c r="F18" s="376"/>
      <c r="G18" s="76"/>
      <c r="H18" s="76"/>
      <c r="I18" s="76"/>
      <c r="J18" s="76"/>
      <c r="K18" s="76"/>
      <c r="L18" s="378"/>
      <c r="M18" s="431"/>
      <c r="N18" s="431"/>
      <c r="O18" s="431"/>
      <c r="P18" s="431"/>
    </row>
    <row r="19" spans="1:17">
      <c r="A19" s="2">
        <v>7</v>
      </c>
      <c r="B19" s="373">
        <v>15560</v>
      </c>
      <c r="C19" s="4" t="s">
        <v>53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1">
        <f>SUM(D19:P19)/13</f>
        <v>0</v>
      </c>
    </row>
    <row r="20" spans="1:17">
      <c r="A20" s="54">
        <v>8</v>
      </c>
      <c r="B20" s="375"/>
      <c r="C20" s="4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</row>
    <row r="21" spans="1:17" ht="15.75">
      <c r="A21" s="2">
        <v>9</v>
      </c>
      <c r="B21" s="12" t="s">
        <v>682</v>
      </c>
      <c r="D21" s="74"/>
      <c r="E21" s="74"/>
      <c r="F21" s="74"/>
      <c r="G21" s="74"/>
      <c r="I21" s="74"/>
      <c r="J21" s="74"/>
      <c r="K21" s="74"/>
      <c r="L21" s="382"/>
      <c r="M21" s="431"/>
      <c r="N21" s="431"/>
      <c r="O21" s="431"/>
      <c r="P21" s="431"/>
    </row>
    <row r="22" spans="1:17">
      <c r="A22" s="54">
        <v>10</v>
      </c>
      <c r="B22" s="373">
        <v>15560</v>
      </c>
      <c r="C22" s="4" t="s">
        <v>53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  <c r="I22" s="378">
        <v>0</v>
      </c>
      <c r="J22" s="378">
        <v>0</v>
      </c>
      <c r="K22" s="378">
        <v>0</v>
      </c>
      <c r="L22" s="378">
        <v>0</v>
      </c>
      <c r="M22" s="378">
        <v>0</v>
      </c>
      <c r="N22" s="378">
        <v>0</v>
      </c>
      <c r="O22" s="378">
        <v>0</v>
      </c>
      <c r="P22" s="378">
        <v>0</v>
      </c>
      <c r="Q22" s="1">
        <f>SUM(D22:P22)/13</f>
        <v>0</v>
      </c>
    </row>
    <row r="23" spans="1:17">
      <c r="A23" s="2"/>
      <c r="B23" s="374"/>
      <c r="D23" s="77"/>
      <c r="E23" s="42"/>
      <c r="F23" s="42"/>
      <c r="G23" s="77"/>
      <c r="H23" s="77"/>
      <c r="I23" s="77"/>
      <c r="J23" s="77"/>
      <c r="K23" s="77"/>
      <c r="L23" s="380"/>
      <c r="M23" s="312"/>
      <c r="N23" s="312"/>
      <c r="O23" s="312"/>
      <c r="P23" s="312"/>
    </row>
    <row r="24" spans="1:17">
      <c r="A24" s="2"/>
      <c r="D24" s="77"/>
      <c r="E24" s="42"/>
      <c r="F24" s="42"/>
      <c r="G24" s="77"/>
      <c r="H24" s="77"/>
      <c r="I24" s="77"/>
      <c r="J24" s="77"/>
      <c r="K24" s="77"/>
      <c r="L24" s="380"/>
      <c r="M24" s="312"/>
      <c r="N24" s="312"/>
      <c r="O24" s="312"/>
      <c r="P24" s="312"/>
    </row>
    <row r="25" spans="1:17">
      <c r="A25" s="35"/>
      <c r="B25" s="35"/>
    </row>
    <row r="26" spans="1:17">
      <c r="A26" s="35"/>
      <c r="B26" s="35"/>
    </row>
    <row r="27" spans="1:17">
      <c r="A27" s="35"/>
      <c r="B27" s="35"/>
    </row>
    <row r="28" spans="1:17">
      <c r="A28" s="35"/>
      <c r="B28" s="35"/>
    </row>
    <row r="29" spans="1:17">
      <c r="A29" s="35"/>
      <c r="B29" s="35"/>
    </row>
    <row r="30" spans="1:17">
      <c r="A30" s="35"/>
      <c r="B30" s="35"/>
    </row>
    <row r="31" spans="1:17">
      <c r="A31" s="35"/>
      <c r="B31" s="35"/>
    </row>
    <row r="32" spans="1:17">
      <c r="A32" s="35"/>
      <c r="B32" s="35"/>
    </row>
    <row r="33" spans="1:2">
      <c r="A33" s="35"/>
      <c r="B33" s="35"/>
    </row>
    <row r="34" spans="1:2">
      <c r="A34" s="35"/>
      <c r="B34" s="35"/>
    </row>
    <row r="35" spans="1:2">
      <c r="A35" s="35"/>
      <c r="B35" s="35"/>
    </row>
    <row r="36" spans="1:2">
      <c r="A36" s="35"/>
      <c r="B36" s="35"/>
    </row>
    <row r="37" spans="1:2">
      <c r="A37" s="35"/>
      <c r="B37" s="35"/>
    </row>
    <row r="38" spans="1:2">
      <c r="A38" s="35"/>
      <c r="B38" s="35"/>
    </row>
    <row r="39" spans="1:2">
      <c r="A39" s="35"/>
      <c r="B39" s="35"/>
    </row>
    <row r="40" spans="1:2">
      <c r="A40" s="35"/>
      <c r="B40" s="35"/>
    </row>
    <row r="41" spans="1:2">
      <c r="A41" s="35"/>
      <c r="B41" s="35"/>
    </row>
  </sheetData>
  <mergeCells count="4">
    <mergeCell ref="A1:Q1"/>
    <mergeCell ref="A2:Q2"/>
    <mergeCell ref="A3:Q3"/>
    <mergeCell ref="A4:Q4"/>
  </mergeCells>
  <phoneticPr fontId="22" type="noConversion"/>
  <printOptions horizontalCentered="1"/>
  <pageMargins left="0.54" right="0.55000000000000004" top="0.87" bottom="1" header="0.5" footer="0.5"/>
  <pageSetup scale="51" orientation="landscape" verticalDpi="300" r:id="rId1"/>
  <headerFooter alignWithMargins="0">
    <oddFooter>&amp;R&amp;A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1"/>
  <sheetViews>
    <sheetView view="pageBreakPreview" zoomScale="60" zoomScaleNormal="100" workbookViewId="0">
      <selection activeCell="E14" sqref="E14"/>
    </sheetView>
  </sheetViews>
  <sheetFormatPr defaultRowHeight="15"/>
  <cols>
    <col min="1" max="1" width="13.109375" customWidth="1"/>
    <col min="3" max="3" width="51.2187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 ht="15.75">
      <c r="A9" s="1173" t="s">
        <v>1452</v>
      </c>
      <c r="B9" s="1173"/>
      <c r="C9" s="1173"/>
    </row>
    <row r="11" spans="1:3" ht="15.75">
      <c r="A11" s="1161" t="s">
        <v>60</v>
      </c>
      <c r="B11" s="1161"/>
      <c r="C11" s="1161"/>
    </row>
    <row r="14" spans="1:3">
      <c r="A14" s="223" t="s">
        <v>59</v>
      </c>
      <c r="B14" s="522" t="s">
        <v>620</v>
      </c>
      <c r="C14" s="60" t="s">
        <v>993</v>
      </c>
    </row>
    <row r="15" spans="1:3">
      <c r="A15" s="78"/>
      <c r="B15" s="196"/>
      <c r="C15" s="40"/>
    </row>
    <row r="16" spans="1:3">
      <c r="A16" s="227" t="s">
        <v>373</v>
      </c>
      <c r="B16" s="462">
        <v>1</v>
      </c>
      <c r="C16" s="40" t="s">
        <v>60</v>
      </c>
    </row>
    <row r="17" spans="1:3">
      <c r="A17" s="227" t="s">
        <v>141</v>
      </c>
      <c r="B17" s="462">
        <v>1</v>
      </c>
      <c r="C17" s="40" t="s">
        <v>125</v>
      </c>
    </row>
    <row r="18" spans="1:3">
      <c r="A18" s="227" t="s">
        <v>1178</v>
      </c>
      <c r="B18" s="462">
        <v>10</v>
      </c>
      <c r="C18" s="40" t="s">
        <v>1148</v>
      </c>
    </row>
    <row r="19" spans="1:3">
      <c r="A19" s="227" t="s">
        <v>3</v>
      </c>
      <c r="B19" s="462">
        <v>10</v>
      </c>
      <c r="C19" s="40" t="s">
        <v>465</v>
      </c>
    </row>
    <row r="20" spans="1:3">
      <c r="A20" s="227" t="s">
        <v>464</v>
      </c>
      <c r="B20" s="462">
        <v>2</v>
      </c>
      <c r="C20" t="s">
        <v>466</v>
      </c>
    </row>
    <row r="21" spans="1:3">
      <c r="B21" s="80"/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6"/>
  <sheetViews>
    <sheetView workbookViewId="0">
      <selection activeCell="C41" sqref="C41"/>
    </sheetView>
  </sheetViews>
  <sheetFormatPr defaultRowHeight="15"/>
  <cols>
    <col min="1" max="1" width="13.109375" customWidth="1"/>
    <col min="3" max="3" width="38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4" spans="1:3" ht="15.75">
      <c r="A14" s="303" t="s">
        <v>59</v>
      </c>
      <c r="B14" s="303" t="s">
        <v>620</v>
      </c>
      <c r="C14" s="303" t="s">
        <v>993</v>
      </c>
    </row>
    <row r="15" spans="1:3">
      <c r="A15" s="78"/>
      <c r="B15" s="40"/>
      <c r="C15" s="40"/>
    </row>
    <row r="16" spans="1:3">
      <c r="A16" s="78" t="s">
        <v>171</v>
      </c>
      <c r="B16" s="78">
        <v>1</v>
      </c>
      <c r="C16" s="78" t="s">
        <v>1008</v>
      </c>
    </row>
  </sheetData>
  <mergeCells count="4"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35"/>
  <sheetViews>
    <sheetView view="pageBreakPreview" zoomScale="80" zoomScaleNormal="90" zoomScaleSheetLayoutView="80" workbookViewId="0">
      <selection activeCell="D20" sqref="D20"/>
    </sheetView>
  </sheetViews>
  <sheetFormatPr defaultColWidth="10.109375" defaultRowHeight="15"/>
  <cols>
    <col min="1" max="1" width="5.21875" style="40" customWidth="1"/>
    <col min="2" max="2" width="2.21875" style="40" customWidth="1"/>
    <col min="3" max="3" width="26.109375" style="40" customWidth="1"/>
    <col min="4" max="4" width="13.21875" style="40" customWidth="1"/>
    <col min="5" max="5" width="2.33203125" style="40" customWidth="1"/>
    <col min="6" max="6" width="13.21875" style="40" customWidth="1"/>
    <col min="7" max="7" width="2.109375" style="40" customWidth="1"/>
    <col min="8" max="8" width="12.88671875" style="40" customWidth="1"/>
    <col min="9" max="9" width="2.109375" style="40" customWidth="1"/>
    <col min="10" max="10" width="13.88671875" style="40" customWidth="1"/>
    <col min="11" max="11" width="4.88671875" style="40" customWidth="1"/>
    <col min="12" max="12" width="6.5546875" style="40" bestFit="1" customWidth="1"/>
    <col min="13" max="13" width="11.109375" style="40" customWidth="1"/>
    <col min="14" max="14" width="8" style="40" bestFit="1" customWidth="1"/>
    <col min="15" max="15" width="12" style="40" customWidth="1"/>
    <col min="16" max="16" width="10.109375" style="40" customWidth="1"/>
    <col min="17" max="17" width="3.21875" style="40" customWidth="1"/>
    <col min="18" max="18" width="11.88671875" style="40" customWidth="1"/>
    <col min="19" max="19" width="1.33203125" style="40" customWidth="1"/>
    <col min="20" max="20" width="12.33203125" style="40" customWidth="1"/>
    <col min="21" max="21" width="1.6640625" style="40" customWidth="1"/>
    <col min="22" max="22" width="10.5546875" style="40" bestFit="1" customWidth="1"/>
    <col min="23" max="23" width="0.88671875" style="40" customWidth="1"/>
    <col min="24" max="24" width="10.44140625" style="40" bestFit="1" customWidth="1"/>
    <col min="25" max="16384" width="10.109375" style="40"/>
  </cols>
  <sheetData>
    <row r="1" spans="1:24" s="1" customFormat="1">
      <c r="A1" s="1174" t="str">
        <f>'Table of Contents'!A1:C1</f>
        <v>Atmos Energy Corporation, Kentucky/Mid-States Division</v>
      </c>
      <c r="B1" s="1174"/>
      <c r="C1" s="1174"/>
      <c r="D1" s="1174"/>
      <c r="E1" s="1174"/>
      <c r="F1" s="1174"/>
      <c r="G1" s="1174"/>
      <c r="H1" s="1174"/>
      <c r="I1" s="1174"/>
      <c r="J1" s="1174"/>
    </row>
    <row r="2" spans="1:24" s="1" customFormat="1">
      <c r="A2" s="1174" t="str">
        <f>'Table of Contents'!A2:C2</f>
        <v>Kentucky Jurisdiction Case No. 2017-00349</v>
      </c>
      <c r="B2" s="1174"/>
      <c r="C2" s="1174"/>
      <c r="D2" s="1174"/>
      <c r="E2" s="1174"/>
      <c r="F2" s="1174"/>
      <c r="G2" s="1174"/>
      <c r="H2" s="1174"/>
      <c r="I2" s="1174"/>
      <c r="J2" s="1174"/>
    </row>
    <row r="3" spans="1:24" s="1" customFormat="1">
      <c r="A3" s="1174" t="s">
        <v>60</v>
      </c>
      <c r="B3" s="1174"/>
      <c r="C3" s="1174"/>
      <c r="D3" s="1174"/>
      <c r="E3" s="1174"/>
      <c r="F3" s="1174"/>
      <c r="G3" s="1174"/>
      <c r="H3" s="1174"/>
      <c r="I3" s="1174"/>
      <c r="J3" s="1174"/>
    </row>
    <row r="4" spans="1:24" s="1" customFormat="1">
      <c r="A4" s="1174" t="str">
        <f>'Table of Contents'!A4:C4</f>
        <v>Forecasted Test Period: Twelve Months Ended March 31, 2019</v>
      </c>
      <c r="B4" s="1174"/>
      <c r="C4" s="1174"/>
      <c r="D4" s="1174"/>
      <c r="E4" s="1174"/>
      <c r="F4" s="1174"/>
      <c r="G4" s="1174"/>
      <c r="H4" s="1174"/>
      <c r="I4" s="1174"/>
      <c r="J4" s="1174"/>
    </row>
    <row r="5" spans="1:24" s="1" customFormat="1">
      <c r="A5" s="437"/>
      <c r="B5" s="437"/>
      <c r="C5" s="437"/>
      <c r="D5" s="437"/>
      <c r="E5" s="437"/>
      <c r="F5" s="437"/>
      <c r="G5" s="437"/>
      <c r="H5" s="437"/>
      <c r="I5" s="437"/>
      <c r="J5" s="437"/>
    </row>
    <row r="6" spans="1:24" s="1" customFormat="1"/>
    <row r="7" spans="1:24" s="1" customFormat="1">
      <c r="A7" s="4" t="s">
        <v>867</v>
      </c>
      <c r="I7" s="4"/>
      <c r="J7" s="377" t="s">
        <v>1453</v>
      </c>
    </row>
    <row r="8" spans="1:24" s="1" customFormat="1">
      <c r="A8" s="4" t="s">
        <v>621</v>
      </c>
      <c r="H8" s="4"/>
      <c r="I8" s="4"/>
      <c r="J8" s="490" t="s">
        <v>266</v>
      </c>
    </row>
    <row r="9" spans="1:24" s="1" customFormat="1">
      <c r="A9" s="5" t="s">
        <v>369</v>
      </c>
      <c r="B9" s="6"/>
      <c r="C9" s="6"/>
      <c r="D9" s="6"/>
      <c r="E9" s="6"/>
      <c r="F9" s="6"/>
      <c r="G9" s="6"/>
      <c r="H9" s="5"/>
      <c r="I9" s="5"/>
      <c r="J9" s="551" t="s">
        <v>1681</v>
      </c>
    </row>
    <row r="10" spans="1:24" s="1" customFormat="1">
      <c r="D10" s="54" t="s">
        <v>45</v>
      </c>
      <c r="F10" s="2" t="s">
        <v>44</v>
      </c>
      <c r="J10" s="2" t="s">
        <v>44</v>
      </c>
      <c r="R10" s="738"/>
      <c r="S10" s="738"/>
      <c r="T10" s="738"/>
      <c r="U10" s="738"/>
      <c r="V10" s="738"/>
      <c r="W10" s="738"/>
      <c r="X10" s="738"/>
    </row>
    <row r="11" spans="1:24" s="1" customFormat="1">
      <c r="A11" s="2" t="s">
        <v>94</v>
      </c>
      <c r="D11" s="2" t="s">
        <v>434</v>
      </c>
      <c r="F11" s="2" t="s">
        <v>434</v>
      </c>
      <c r="H11" s="2" t="s">
        <v>400</v>
      </c>
      <c r="J11" s="2" t="s">
        <v>434</v>
      </c>
      <c r="R11" s="738"/>
      <c r="S11" s="738"/>
      <c r="T11" s="738"/>
      <c r="U11" s="738"/>
      <c r="V11" s="738"/>
      <c r="W11" s="738"/>
      <c r="X11" s="738"/>
    </row>
    <row r="12" spans="1:24">
      <c r="A12" s="9" t="s">
        <v>100</v>
      </c>
      <c r="B12" s="6"/>
      <c r="C12" s="5" t="s">
        <v>993</v>
      </c>
      <c r="D12" s="9" t="s">
        <v>432</v>
      </c>
      <c r="E12" s="6"/>
      <c r="F12" s="9" t="s">
        <v>432</v>
      </c>
      <c r="G12" s="6"/>
      <c r="H12" s="9" t="s">
        <v>1121</v>
      </c>
      <c r="I12" s="6"/>
      <c r="J12" s="9" t="s">
        <v>433</v>
      </c>
      <c r="K12" s="1"/>
      <c r="L12" s="738"/>
      <c r="M12" s="1"/>
      <c r="N12" s="1"/>
      <c r="O12" s="746"/>
      <c r="P12" s="747"/>
      <c r="R12" s="738"/>
      <c r="S12" s="738"/>
      <c r="T12" s="738"/>
      <c r="U12" s="738"/>
      <c r="V12" s="748"/>
      <c r="W12" s="748"/>
      <c r="X12" s="738"/>
    </row>
    <row r="13" spans="1:24">
      <c r="D13" s="189"/>
      <c r="F13" s="189"/>
      <c r="H13" s="189"/>
      <c r="J13" s="189"/>
      <c r="L13" s="738"/>
      <c r="O13" s="747"/>
      <c r="P13" s="747"/>
      <c r="R13" s="749"/>
      <c r="S13" s="738"/>
      <c r="T13" s="738"/>
      <c r="U13" s="738"/>
      <c r="V13" s="749"/>
      <c r="W13" s="749"/>
      <c r="X13" s="738"/>
    </row>
    <row r="14" spans="1:24">
      <c r="F14" s="196"/>
      <c r="L14" s="738"/>
      <c r="O14" s="668"/>
      <c r="P14" s="668"/>
      <c r="R14" s="738"/>
      <c r="S14" s="738"/>
      <c r="T14" s="738"/>
      <c r="U14" s="738"/>
      <c r="V14" s="738"/>
      <c r="W14" s="738"/>
      <c r="X14" s="738"/>
    </row>
    <row r="15" spans="1:24">
      <c r="A15" s="189">
        <v>1</v>
      </c>
      <c r="C15" s="181" t="s">
        <v>745</v>
      </c>
      <c r="D15" s="308">
        <f>+C.2!D14</f>
        <v>156713246.88095582</v>
      </c>
      <c r="E15" s="196"/>
      <c r="F15" s="308">
        <f>C.2!O14</f>
        <v>170729275.9114207</v>
      </c>
      <c r="G15" s="188"/>
      <c r="H15" s="477">
        <f>A.1!G32</f>
        <v>9623000</v>
      </c>
      <c r="I15" s="188"/>
      <c r="J15" s="477">
        <f>+F15+H15</f>
        <v>180352275.9114207</v>
      </c>
      <c r="K15" s="188"/>
      <c r="L15" s="762"/>
      <c r="M15" s="477"/>
      <c r="N15" s="188"/>
      <c r="O15" s="671"/>
      <c r="P15" s="669"/>
      <c r="Q15" s="188"/>
      <c r="R15" s="750"/>
      <c r="S15" s="750"/>
      <c r="T15" s="750"/>
      <c r="U15" s="738"/>
      <c r="V15" s="738"/>
      <c r="W15" s="738"/>
      <c r="X15" s="738"/>
    </row>
    <row r="16" spans="1:24">
      <c r="D16" s="196"/>
      <c r="E16" s="196"/>
      <c r="F16" s="224"/>
      <c r="G16" s="188"/>
      <c r="H16" s="188"/>
      <c r="I16" s="188"/>
      <c r="J16" s="188"/>
      <c r="K16" s="188"/>
      <c r="L16" s="756"/>
      <c r="M16" s="188"/>
      <c r="N16" s="188"/>
      <c r="O16" s="670"/>
      <c r="P16" s="669"/>
      <c r="Q16" s="188"/>
      <c r="R16" s="751"/>
      <c r="S16" s="751"/>
      <c r="T16" s="752"/>
      <c r="U16" s="738"/>
      <c r="V16" s="738"/>
      <c r="W16" s="738"/>
      <c r="X16" s="738"/>
    </row>
    <row r="17" spans="1:24">
      <c r="A17" s="189">
        <v>2</v>
      </c>
      <c r="C17" s="181" t="s">
        <v>998</v>
      </c>
      <c r="D17" s="196"/>
      <c r="E17" s="196"/>
      <c r="F17" s="224"/>
      <c r="G17" s="188"/>
      <c r="H17" s="188"/>
      <c r="I17" s="188"/>
      <c r="J17" s="188"/>
      <c r="K17" s="188"/>
      <c r="L17" s="756"/>
      <c r="M17" s="188"/>
      <c r="N17" s="188"/>
      <c r="O17" s="670"/>
      <c r="P17" s="669"/>
      <c r="Q17" s="188"/>
      <c r="R17" s="751"/>
      <c r="S17" s="751"/>
      <c r="T17" s="752"/>
      <c r="U17" s="738"/>
      <c r="V17" s="738"/>
      <c r="W17" s="738"/>
      <c r="X17" s="738"/>
    </row>
    <row r="18" spans="1:24">
      <c r="A18" s="189">
        <v>3</v>
      </c>
      <c r="C18" s="250" t="s">
        <v>24</v>
      </c>
      <c r="D18" s="310">
        <f>+C.2!D17</f>
        <v>65546014.381216273</v>
      </c>
      <c r="E18" s="514"/>
      <c r="F18" s="310">
        <f>C.2!O17</f>
        <v>78709117.242809042</v>
      </c>
      <c r="G18" s="310"/>
      <c r="H18" s="310"/>
      <c r="I18" s="310"/>
      <c r="J18" s="310">
        <f>+F18+H18</f>
        <v>78709117.242809042</v>
      </c>
      <c r="K18" s="188"/>
      <c r="L18" s="762"/>
      <c r="M18" s="188"/>
      <c r="O18" s="671"/>
      <c r="P18" s="669"/>
      <c r="Q18" s="188"/>
      <c r="R18" s="750"/>
      <c r="S18" s="753"/>
      <c r="T18" s="750"/>
      <c r="U18" s="738"/>
      <c r="V18" s="738"/>
      <c r="W18" s="738"/>
      <c r="X18" s="738"/>
    </row>
    <row r="19" spans="1:24">
      <c r="A19" s="189">
        <v>4</v>
      </c>
      <c r="C19" s="250" t="s">
        <v>462</v>
      </c>
      <c r="D19" s="310">
        <f>SUM(C.2!D18:D25)</f>
        <v>26718389.43839439</v>
      </c>
      <c r="E19" s="514"/>
      <c r="F19" s="310">
        <f>SUM(C.2!O18:O25)</f>
        <v>25796795.787130918</v>
      </c>
      <c r="G19" s="310"/>
      <c r="H19" s="310">
        <f>+(H15*H.1!E19)</f>
        <v>48115</v>
      </c>
      <c r="I19" s="310"/>
      <c r="J19" s="310">
        <f>+F19+H19</f>
        <v>25844910.787130918</v>
      </c>
      <c r="K19" s="188"/>
      <c r="L19" s="762"/>
      <c r="M19" s="669"/>
      <c r="N19" s="744"/>
      <c r="O19" s="671"/>
      <c r="P19" s="669"/>
      <c r="Q19" s="188"/>
      <c r="R19" s="750"/>
      <c r="S19" s="753"/>
      <c r="T19" s="750"/>
      <c r="U19" s="738"/>
      <c r="V19" s="738"/>
      <c r="W19" s="738"/>
      <c r="X19" s="738"/>
    </row>
    <row r="20" spans="1:24">
      <c r="A20" s="189">
        <v>5</v>
      </c>
      <c r="C20" s="181" t="s">
        <v>1060</v>
      </c>
      <c r="D20" s="310">
        <f>+C.2!D26</f>
        <v>18849734.532483872</v>
      </c>
      <c r="E20" s="514"/>
      <c r="F20" s="310">
        <f>+C.2!O26</f>
        <v>21502805.8261499</v>
      </c>
      <c r="G20" s="525"/>
      <c r="H20" s="310"/>
      <c r="I20" s="525"/>
      <c r="J20" s="525">
        <f>+F20+H20</f>
        <v>21502805.8261499</v>
      </c>
      <c r="K20" s="188"/>
      <c r="L20" s="762"/>
      <c r="M20" s="188"/>
      <c r="N20" s="745"/>
      <c r="O20" s="671"/>
      <c r="P20" s="669"/>
      <c r="Q20" s="188"/>
      <c r="R20" s="750"/>
      <c r="S20" s="753"/>
      <c r="T20" s="750"/>
      <c r="U20" s="738"/>
      <c r="V20" s="738"/>
      <c r="W20" s="738"/>
      <c r="X20" s="738"/>
    </row>
    <row r="21" spans="1:24">
      <c r="A21" s="189">
        <v>6</v>
      </c>
      <c r="C21" s="181" t="s">
        <v>632</v>
      </c>
      <c r="D21" s="310">
        <f>+C.2!D27</f>
        <v>4827152.1770496229</v>
      </c>
      <c r="E21" s="514"/>
      <c r="F21" s="310">
        <f>+C.2!O27</f>
        <v>6550583.127082617</v>
      </c>
      <c r="G21" s="525"/>
      <c r="H21" s="310">
        <f>(H15*H.1!E21)</f>
        <v>19207.507999999998</v>
      </c>
      <c r="I21" s="525"/>
      <c r="J21" s="525">
        <f>+F21+H21</f>
        <v>6569790.6350826174</v>
      </c>
      <c r="K21" s="188"/>
      <c r="L21" s="762"/>
      <c r="M21" s="669"/>
      <c r="N21" s="744"/>
      <c r="O21" s="671"/>
      <c r="P21" s="669"/>
      <c r="Q21" s="188"/>
      <c r="R21" s="750"/>
      <c r="S21" s="753"/>
      <c r="T21" s="750"/>
      <c r="U21" s="738"/>
      <c r="V21" s="738"/>
      <c r="W21" s="738"/>
      <c r="X21" s="738"/>
    </row>
    <row r="22" spans="1:24">
      <c r="A22" s="189">
        <v>7</v>
      </c>
      <c r="C22" s="181"/>
      <c r="D22" s="407"/>
      <c r="E22" s="407"/>
      <c r="F22" s="525"/>
      <c r="G22" s="525"/>
      <c r="H22" s="310"/>
      <c r="I22" s="525"/>
      <c r="J22" s="525"/>
      <c r="K22" s="188"/>
      <c r="L22" s="756"/>
      <c r="M22" s="188"/>
      <c r="O22" s="671"/>
      <c r="P22" s="669"/>
      <c r="Q22" s="188"/>
      <c r="R22" s="754"/>
      <c r="S22" s="754"/>
      <c r="T22" s="755"/>
      <c r="U22" s="738"/>
      <c r="V22" s="738"/>
      <c r="W22" s="738"/>
      <c r="X22" s="738"/>
    </row>
    <row r="23" spans="1:24">
      <c r="A23" s="189">
        <v>8</v>
      </c>
      <c r="C23" s="181" t="s">
        <v>308</v>
      </c>
      <c r="D23" s="526">
        <f>+E!E23</f>
        <v>12654026.412252365</v>
      </c>
      <c r="E23" s="407"/>
      <c r="F23" s="526">
        <f>E!G23</f>
        <v>11001436.474629989</v>
      </c>
      <c r="G23" s="525"/>
      <c r="H23" s="526">
        <f>((+H15-H19-H21)*0.06)+((+H15-H19-H21-((+H15-H19-H21)*0.06))*0.35)</f>
        <v>3717158.5443879999</v>
      </c>
      <c r="I23" s="525"/>
      <c r="J23" s="527">
        <f>+F23+H23</f>
        <v>14718595.019017989</v>
      </c>
      <c r="K23" s="188"/>
      <c r="L23" s="762"/>
      <c r="M23" s="188"/>
      <c r="N23" s="188"/>
      <c r="O23" s="671"/>
      <c r="P23" s="669"/>
      <c r="Q23" s="188"/>
      <c r="R23" s="750"/>
      <c r="S23" s="753"/>
      <c r="T23" s="750"/>
      <c r="U23" s="738"/>
      <c r="V23" s="738"/>
      <c r="W23" s="738"/>
      <c r="X23" s="738"/>
    </row>
    <row r="24" spans="1:24">
      <c r="A24" s="189">
        <v>9</v>
      </c>
      <c r="C24" s="181" t="s">
        <v>1130</v>
      </c>
      <c r="D24" s="477">
        <f>SUM(D18:D23)</f>
        <v>128595316.94139652</v>
      </c>
      <c r="F24" s="308">
        <f>SUM(F18:F23)</f>
        <v>143560738.45780247</v>
      </c>
      <c r="G24" s="188"/>
      <c r="H24" s="477">
        <f>SUM(H18:H23)</f>
        <v>3784481.0523879998</v>
      </c>
      <c r="I24" s="188"/>
      <c r="J24" s="477">
        <f>SUM(J18:J23)</f>
        <v>147345219.51019046</v>
      </c>
      <c r="K24" s="188"/>
      <c r="L24" s="762"/>
      <c r="M24" s="188"/>
      <c r="N24" s="188"/>
      <c r="O24" s="671"/>
      <c r="P24" s="669"/>
      <c r="Q24" s="188"/>
      <c r="R24" s="750"/>
      <c r="S24" s="753"/>
      <c r="T24" s="750"/>
      <c r="U24" s="738"/>
      <c r="V24" s="738"/>
      <c r="W24" s="738"/>
      <c r="X24" s="738"/>
    </row>
    <row r="25" spans="1:24">
      <c r="D25" s="188"/>
      <c r="F25" s="224"/>
      <c r="G25" s="188"/>
      <c r="H25" s="188"/>
      <c r="I25" s="188"/>
      <c r="J25" s="188"/>
      <c r="K25" s="188"/>
      <c r="L25" s="756"/>
      <c r="M25" s="188"/>
      <c r="N25" s="188"/>
      <c r="O25" s="670"/>
      <c r="P25" s="669"/>
      <c r="Q25" s="188"/>
      <c r="R25" s="750"/>
      <c r="S25" s="753"/>
      <c r="T25" s="750"/>
      <c r="U25" s="738"/>
      <c r="V25" s="738"/>
      <c r="W25" s="738"/>
      <c r="X25" s="738"/>
    </row>
    <row r="26" spans="1:24" ht="15.75" thickBot="1">
      <c r="A26" s="189">
        <v>10</v>
      </c>
      <c r="C26" s="181" t="s">
        <v>800</v>
      </c>
      <c r="D26" s="523">
        <f>D15-D24</f>
        <v>28117929.939559296</v>
      </c>
      <c r="F26" s="524">
        <f>F15-F24</f>
        <v>27168537.453618228</v>
      </c>
      <c r="G26" s="188"/>
      <c r="H26" s="524">
        <f>H15-H24</f>
        <v>5838518.9476120006</v>
      </c>
      <c r="I26" s="188"/>
      <c r="J26" s="523">
        <f>J15-J24</f>
        <v>33007056.401230246</v>
      </c>
      <c r="K26" s="188"/>
      <c r="L26" s="762"/>
      <c r="M26" s="188"/>
      <c r="N26" s="188"/>
      <c r="O26" s="671"/>
      <c r="P26" s="669"/>
      <c r="Q26" s="188"/>
      <c r="R26" s="750"/>
      <c r="S26" s="753"/>
      <c r="T26" s="750"/>
      <c r="U26" s="738"/>
      <c r="V26" s="738"/>
      <c r="W26" s="738"/>
      <c r="X26" s="738"/>
    </row>
    <row r="27" spans="1:24" ht="15.75" thickTop="1">
      <c r="F27" s="224"/>
      <c r="G27" s="188"/>
      <c r="H27" s="188"/>
      <c r="I27" s="188"/>
      <c r="J27" s="188"/>
      <c r="K27" s="188"/>
      <c r="L27" s="756"/>
      <c r="M27" s="188"/>
      <c r="N27" s="188"/>
      <c r="O27" s="188"/>
      <c r="P27" s="188"/>
      <c r="Q27" s="188"/>
      <c r="R27" s="738"/>
      <c r="S27" s="754"/>
      <c r="T27" s="752"/>
      <c r="U27" s="738"/>
      <c r="V27" s="738"/>
      <c r="W27" s="738"/>
      <c r="X27" s="738"/>
    </row>
    <row r="28" spans="1:24">
      <c r="A28" s="189">
        <v>11</v>
      </c>
      <c r="C28" s="181" t="s">
        <v>272</v>
      </c>
      <c r="D28" s="310">
        <f>+'B.1 B'!F27</f>
        <v>366554327.38816023</v>
      </c>
      <c r="E28" s="407"/>
      <c r="F28" s="310">
        <f>+'B.1 F '!F27</f>
        <v>426999485.2838006</v>
      </c>
      <c r="G28" s="525"/>
      <c r="H28" s="525"/>
      <c r="I28" s="525"/>
      <c r="J28" s="525">
        <f>+'B.1 F '!F27</f>
        <v>426999485.2838006</v>
      </c>
      <c r="K28" s="188"/>
      <c r="L28" s="756"/>
      <c r="M28" s="188"/>
      <c r="N28" s="188"/>
      <c r="O28" s="188"/>
      <c r="P28" s="188"/>
      <c r="Q28" s="188"/>
      <c r="R28" s="750"/>
      <c r="S28" s="754"/>
      <c r="T28" s="750"/>
      <c r="U28" s="738"/>
      <c r="V28" s="738"/>
      <c r="W28" s="738"/>
      <c r="X28" s="738"/>
    </row>
    <row r="29" spans="1:24"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738"/>
      <c r="S29" s="738"/>
      <c r="T29" s="756"/>
      <c r="U29" s="738"/>
      <c r="V29" s="738"/>
      <c r="W29" s="738"/>
      <c r="X29" s="738"/>
    </row>
    <row r="30" spans="1:24">
      <c r="A30" s="189">
        <v>12</v>
      </c>
      <c r="C30" s="181" t="s">
        <v>744</v>
      </c>
      <c r="D30" s="304">
        <f>(D26/D28)</f>
        <v>7.6708765491626571E-2</v>
      </c>
      <c r="F30" s="304">
        <f>(F26/F28)</f>
        <v>6.3626628110712957E-2</v>
      </c>
      <c r="H30" s="228"/>
      <c r="J30" s="304">
        <f>(J26/J28)</f>
        <v>7.7299991074444643E-2</v>
      </c>
      <c r="K30" s="188"/>
      <c r="L30" s="188"/>
      <c r="M30" s="188"/>
      <c r="R30" s="757"/>
      <c r="S30" s="738"/>
      <c r="T30" s="757"/>
      <c r="U30" s="738"/>
      <c r="V30" s="757"/>
      <c r="W30" s="757"/>
      <c r="X30" s="757"/>
    </row>
    <row r="31" spans="1:24">
      <c r="F31" s="188"/>
      <c r="H31" s="228"/>
      <c r="J31" s="188"/>
      <c r="K31" s="188"/>
      <c r="L31" s="188"/>
      <c r="M31" s="188"/>
      <c r="R31" s="738"/>
      <c r="S31" s="738"/>
      <c r="T31" s="738"/>
      <c r="U31" s="738"/>
      <c r="V31" s="738"/>
      <c r="W31" s="738"/>
      <c r="X31" s="738"/>
    </row>
    <row r="32" spans="1:24">
      <c r="F32" s="188"/>
      <c r="H32" s="188"/>
      <c r="J32" s="188"/>
      <c r="K32" s="188"/>
      <c r="L32" s="188"/>
      <c r="M32" s="188"/>
      <c r="R32" s="738"/>
      <c r="S32" s="738"/>
      <c r="T32" s="738"/>
      <c r="U32" s="738"/>
      <c r="V32" s="738"/>
      <c r="W32" s="738"/>
      <c r="X32" s="738"/>
    </row>
    <row r="33" spans="3:24">
      <c r="C33" s="674"/>
      <c r="D33" s="675"/>
      <c r="E33" s="675"/>
      <c r="F33" s="675"/>
      <c r="G33" s="675"/>
      <c r="H33" s="675"/>
      <c r="I33" s="675"/>
      <c r="J33" s="675"/>
      <c r="K33" s="188"/>
      <c r="L33" s="188"/>
      <c r="M33" s="188"/>
      <c r="R33" s="738"/>
      <c r="S33" s="738"/>
      <c r="T33" s="738"/>
      <c r="U33" s="738"/>
      <c r="V33" s="738"/>
      <c r="W33" s="738"/>
      <c r="X33" s="738"/>
    </row>
    <row r="34" spans="3:24">
      <c r="F34" s="188"/>
      <c r="K34" s="188"/>
      <c r="L34" s="188"/>
      <c r="M34" s="188"/>
    </row>
    <row r="35" spans="3:24">
      <c r="F35" s="188"/>
      <c r="K35" s="188"/>
      <c r="L35" s="188"/>
      <c r="M35" s="188"/>
    </row>
  </sheetData>
  <mergeCells count="4">
    <mergeCell ref="A1:J1"/>
    <mergeCell ref="A2:J2"/>
    <mergeCell ref="A3:J3"/>
    <mergeCell ref="A4:J4"/>
  </mergeCells>
  <phoneticPr fontId="22" type="noConversion"/>
  <printOptions horizontalCentered="1"/>
  <pageMargins left="0.75" right="0.69" top="0.8" bottom="0.5" header="0.5" footer="0.5"/>
  <pageSetup orientation="landscape" verticalDpi="300" r:id="rId1"/>
  <headerFooter alignWithMargins="0">
    <oddFooter>&amp;RSchedule &amp;A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W95"/>
  <sheetViews>
    <sheetView view="pageBreakPreview" zoomScale="70" zoomScaleNormal="90" zoomScaleSheetLayoutView="70" workbookViewId="0">
      <selection activeCell="D26" sqref="D26"/>
    </sheetView>
  </sheetViews>
  <sheetFormatPr defaultColWidth="7.109375" defaultRowHeight="15"/>
  <cols>
    <col min="1" max="1" width="3.5546875" style="40" customWidth="1"/>
    <col min="2" max="2" width="2.21875" style="40" customWidth="1"/>
    <col min="3" max="3" width="27.5546875" style="40" customWidth="1"/>
    <col min="4" max="4" width="13.109375" style="40" bestFit="1" customWidth="1"/>
    <col min="5" max="5" width="1.33203125" style="40" customWidth="1"/>
    <col min="6" max="6" width="12.6640625" style="40" customWidth="1"/>
    <col min="7" max="7" width="6.21875" style="40" bestFit="1" customWidth="1"/>
    <col min="8" max="8" width="7.33203125" style="40" customWidth="1"/>
    <col min="9" max="9" width="6" style="40" customWidth="1"/>
    <col min="10" max="10" width="1.44140625" style="40" customWidth="1"/>
    <col min="11" max="11" width="12.88671875" style="40" customWidth="1"/>
    <col min="12" max="12" width="1.44140625" style="40" customWidth="1"/>
    <col min="13" max="13" width="11.5546875" style="40" customWidth="1"/>
    <col min="14" max="14" width="14.5546875" style="40" customWidth="1"/>
    <col min="15" max="15" width="13.44140625" style="40" customWidth="1"/>
    <col min="16" max="16" width="11.77734375" style="40" bestFit="1" customWidth="1"/>
    <col min="17" max="17" width="2.109375" style="40" customWidth="1"/>
    <col min="18" max="18" width="8.5546875" style="40" customWidth="1"/>
    <col min="19" max="21" width="7.109375" style="40"/>
    <col min="22" max="22" width="8" style="40" bestFit="1" customWidth="1"/>
    <col min="23" max="23" width="9.21875" style="40" customWidth="1"/>
    <col min="24" max="16384" width="7.109375" style="40"/>
  </cols>
  <sheetData>
    <row r="1" spans="1:20" s="1" customFormat="1">
      <c r="A1" s="1175" t="str">
        <f>'Table of Contents'!A1:C1</f>
        <v>Atmos Energy Corporation, Kentucky/Mid-States Division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</row>
    <row r="2" spans="1:20" s="1" customFormat="1">
      <c r="A2" s="1175" t="str">
        <f>'Table of Contents'!A2:C2</f>
        <v>Kentucky Jurisdiction Case No. 2017-00349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</row>
    <row r="3" spans="1:20" s="1" customFormat="1">
      <c r="A3" s="1175" t="s">
        <v>402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</row>
    <row r="4" spans="1:20" s="1" customFormat="1">
      <c r="A4" s="1175" t="str">
        <f>'Table of Contents'!A3:C3</f>
        <v>Base Period: Twelve Months Ended December 31, 2017</v>
      </c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</row>
    <row r="5" spans="1:20" s="1" customFormat="1">
      <c r="A5" s="1175" t="str">
        <f>'Table of Contents'!A4:C4</f>
        <v>Forecasted Test Period: Twelve Months Ended March 31, 2019</v>
      </c>
      <c r="B5" s="1175"/>
      <c r="C5" s="1175"/>
      <c r="D5" s="1175"/>
      <c r="E5" s="1175"/>
      <c r="F5" s="1175"/>
      <c r="G5" s="1175"/>
      <c r="H5" s="1175"/>
      <c r="I5" s="1175"/>
      <c r="J5" s="1175"/>
      <c r="K5" s="1175"/>
      <c r="L5" s="1175"/>
      <c r="M5" s="1175"/>
      <c r="N5" s="1175"/>
      <c r="O5" s="1175"/>
    </row>
    <row r="6" spans="1:20" s="1" customFormat="1">
      <c r="C6" s="251"/>
    </row>
    <row r="7" spans="1:20" s="1" customFormat="1">
      <c r="A7" s="4" t="str">
        <f>C.1!A7</f>
        <v>Data:__X____Base Period___X___Forecasted Period</v>
      </c>
      <c r="K7" s="252"/>
      <c r="O7" s="377" t="s">
        <v>1454</v>
      </c>
    </row>
    <row r="8" spans="1:20" s="1" customFormat="1">
      <c r="A8" s="4" t="str">
        <f>C.1!A8</f>
        <v>Type of Filing:___X____Original________Updated ________Revised</v>
      </c>
      <c r="K8" s="252"/>
      <c r="O8" s="492" t="s">
        <v>267</v>
      </c>
    </row>
    <row r="9" spans="1:20" s="1" customFormat="1">
      <c r="A9" s="51" t="str">
        <f>C.1!A9</f>
        <v>Workpaper Reference No(s).____________________</v>
      </c>
      <c r="B9" s="6"/>
      <c r="C9" s="6"/>
      <c r="D9" s="6"/>
      <c r="E9" s="6"/>
      <c r="F9" s="6"/>
      <c r="G9" s="6"/>
      <c r="H9" s="6"/>
      <c r="I9" s="6"/>
      <c r="J9" s="6"/>
      <c r="K9" s="253"/>
      <c r="L9" s="6"/>
      <c r="M9" s="33"/>
      <c r="N9" s="33"/>
      <c r="O9" s="493" t="str">
        <f>C.1!J9</f>
        <v>Witness: Waller, Martin</v>
      </c>
    </row>
    <row r="10" spans="1:20">
      <c r="A10" s="1"/>
      <c r="B10" s="1"/>
      <c r="C10" s="1"/>
      <c r="D10" s="2" t="s">
        <v>1137</v>
      </c>
      <c r="E10" s="1"/>
      <c r="F10" s="1"/>
      <c r="G10" s="254"/>
      <c r="H10" s="78" t="s">
        <v>1379</v>
      </c>
      <c r="K10" s="189" t="s">
        <v>44</v>
      </c>
      <c r="O10" s="78" t="s">
        <v>129</v>
      </c>
    </row>
    <row r="11" spans="1:20">
      <c r="A11" s="206" t="s">
        <v>94</v>
      </c>
      <c r="C11" s="189" t="s">
        <v>1140</v>
      </c>
      <c r="D11" s="206" t="s">
        <v>746</v>
      </c>
      <c r="F11" s="78" t="s">
        <v>455</v>
      </c>
      <c r="G11" s="78" t="s">
        <v>453</v>
      </c>
      <c r="H11" s="189" t="s">
        <v>1380</v>
      </c>
      <c r="I11" s="78" t="s">
        <v>453</v>
      </c>
      <c r="K11" s="206" t="s">
        <v>746</v>
      </c>
      <c r="M11" s="78" t="s">
        <v>128</v>
      </c>
      <c r="N11" s="78" t="s">
        <v>453</v>
      </c>
      <c r="O11" s="78" t="s">
        <v>130</v>
      </c>
    </row>
    <row r="12" spans="1:20">
      <c r="A12" s="255" t="s">
        <v>100</v>
      </c>
      <c r="B12" s="191"/>
      <c r="C12" s="255" t="s">
        <v>1139</v>
      </c>
      <c r="D12" s="229" t="s">
        <v>1138</v>
      </c>
      <c r="E12" s="191"/>
      <c r="F12" s="229" t="s">
        <v>995</v>
      </c>
      <c r="G12" s="256" t="s">
        <v>454</v>
      </c>
      <c r="H12" s="229" t="s">
        <v>1381</v>
      </c>
      <c r="I12" s="256" t="s">
        <v>454</v>
      </c>
      <c r="J12" s="191"/>
      <c r="K12" s="229" t="s">
        <v>1138</v>
      </c>
      <c r="L12" s="191"/>
      <c r="M12" s="430" t="s">
        <v>995</v>
      </c>
      <c r="N12" s="256" t="s">
        <v>454</v>
      </c>
      <c r="O12" s="223" t="s">
        <v>996</v>
      </c>
    </row>
    <row r="13" spans="1:20">
      <c r="C13" s="15"/>
      <c r="D13" s="189"/>
      <c r="F13" s="189"/>
      <c r="H13" s="189"/>
      <c r="K13" s="210"/>
      <c r="M13" s="766"/>
      <c r="O13" s="189"/>
    </row>
    <row r="14" spans="1:20">
      <c r="A14" s="257">
        <v>1</v>
      </c>
      <c r="C14" s="181" t="s">
        <v>745</v>
      </c>
      <c r="D14" s="528">
        <f>+'C.2.1 B'!D32</f>
        <v>156713246.88095582</v>
      </c>
      <c r="E14" s="196"/>
      <c r="F14" s="308">
        <f>+K14-D14</f>
        <v>14016029.030464888</v>
      </c>
      <c r="G14" s="265" t="s">
        <v>1074</v>
      </c>
      <c r="H14" s="224"/>
      <c r="I14" s="196"/>
      <c r="J14" s="196"/>
      <c r="K14" s="528">
        <f>'C.2.1 F'!D28</f>
        <v>170729275.9114207</v>
      </c>
      <c r="L14" s="260"/>
      <c r="M14" s="308">
        <v>0</v>
      </c>
      <c r="N14" s="260"/>
      <c r="O14" s="308">
        <f>+K14+M14</f>
        <v>170729275.9114207</v>
      </c>
      <c r="P14" s="258"/>
    </row>
    <row r="15" spans="1:20">
      <c r="A15" s="235">
        <v>2</v>
      </c>
      <c r="C15" s="254"/>
      <c r="D15" s="260"/>
      <c r="E15" s="196"/>
      <c r="F15" s="260"/>
      <c r="G15" s="260"/>
      <c r="H15" s="260"/>
      <c r="I15" s="196"/>
      <c r="J15" s="196"/>
      <c r="K15" s="260"/>
      <c r="L15" s="260"/>
      <c r="M15" s="466"/>
      <c r="N15" s="260"/>
      <c r="O15" s="466"/>
      <c r="P15" s="258"/>
    </row>
    <row r="16" spans="1:20">
      <c r="A16" s="257">
        <v>3</v>
      </c>
      <c r="C16" s="181" t="s">
        <v>998</v>
      </c>
      <c r="D16" s="196"/>
      <c r="E16" s="196"/>
      <c r="F16" s="196"/>
      <c r="G16" s="196"/>
      <c r="H16" s="196"/>
      <c r="I16" s="196"/>
      <c r="J16" s="196"/>
      <c r="K16" s="196"/>
      <c r="L16" s="196"/>
      <c r="M16" s="466"/>
      <c r="N16" s="196"/>
      <c r="O16" s="466"/>
      <c r="P16" s="258"/>
      <c r="Q16" s="228"/>
      <c r="S16" s="228"/>
      <c r="T16" s="258"/>
    </row>
    <row r="17" spans="1:23">
      <c r="A17" s="235">
        <v>4</v>
      </c>
      <c r="C17" s="250" t="s">
        <v>24</v>
      </c>
      <c r="D17" s="398">
        <f>+'C.2.1 B'!D104</f>
        <v>65546014.381216273</v>
      </c>
      <c r="E17" s="196"/>
      <c r="F17" s="310">
        <f t="shared" ref="F17:F28" si="0">+K17-D17-H17</f>
        <v>13163102.86159277</v>
      </c>
      <c r="G17" s="265" t="s">
        <v>1074</v>
      </c>
      <c r="H17" s="224"/>
      <c r="I17" s="196"/>
      <c r="J17" s="196"/>
      <c r="K17" s="398">
        <f>'C.2.1 F'!D100</f>
        <v>78709117.242809042</v>
      </c>
      <c r="L17" s="260"/>
      <c r="M17" s="310">
        <v>0</v>
      </c>
      <c r="N17" s="260"/>
      <c r="O17" s="310">
        <f t="shared" ref="O17:O22" si="1">+K17+M17</f>
        <v>78709117.242809042</v>
      </c>
      <c r="P17" s="258"/>
      <c r="Q17" s="228"/>
      <c r="S17" s="228"/>
      <c r="T17" s="258"/>
    </row>
    <row r="18" spans="1:23">
      <c r="A18" s="257">
        <v>5</v>
      </c>
      <c r="C18" s="250" t="s">
        <v>641</v>
      </c>
      <c r="D18" s="529">
        <f>+'C.2.1 B'!D38+'C.2.1 B'!D42</f>
        <v>0</v>
      </c>
      <c r="E18" s="196"/>
      <c r="F18" s="310">
        <f t="shared" si="0"/>
        <v>0</v>
      </c>
      <c r="G18" s="265" t="s">
        <v>1074</v>
      </c>
      <c r="H18" s="224"/>
      <c r="I18" s="196"/>
      <c r="J18" s="196"/>
      <c r="K18" s="398">
        <f>'C.2.1 F'!D34+'C.2.1 F'!D38</f>
        <v>0</v>
      </c>
      <c r="L18" s="224"/>
      <c r="M18" s="310">
        <v>0</v>
      </c>
      <c r="N18" s="224"/>
      <c r="O18" s="310">
        <f t="shared" si="1"/>
        <v>0</v>
      </c>
      <c r="P18" s="258"/>
    </row>
    <row r="19" spans="1:23">
      <c r="A19" s="235">
        <v>6</v>
      </c>
      <c r="C19" s="250" t="s">
        <v>642</v>
      </c>
      <c r="D19" s="529">
        <f>+'C.2.1 B'!D54+'C.2.1 B'!D64</f>
        <v>402608.75718359562</v>
      </c>
      <c r="E19" s="196"/>
      <c r="F19" s="310">
        <f t="shared" si="0"/>
        <v>2372.5684540501679</v>
      </c>
      <c r="G19" s="265" t="s">
        <v>1074</v>
      </c>
      <c r="H19" s="224"/>
      <c r="I19" s="196"/>
      <c r="J19" s="196"/>
      <c r="K19" s="398">
        <f>'C.2.1 F'!D50+'C.2.1 F'!D60</f>
        <v>404981.32563764579</v>
      </c>
      <c r="L19" s="224"/>
      <c r="M19" s="310">
        <v>0</v>
      </c>
      <c r="N19" s="224"/>
      <c r="O19" s="310">
        <f t="shared" si="1"/>
        <v>404981.32563764579</v>
      </c>
      <c r="P19" s="258"/>
    </row>
    <row r="20" spans="1:23">
      <c r="A20" s="257">
        <v>7</v>
      </c>
      <c r="C20" s="250" t="s">
        <v>657</v>
      </c>
      <c r="D20" s="529">
        <f>+'C.2.1 B'!D74+'C.2.1 B'!D82</f>
        <v>267885.1416324373</v>
      </c>
      <c r="E20" s="196"/>
      <c r="F20" s="310">
        <f t="shared" si="0"/>
        <v>2787.7297778790817</v>
      </c>
      <c r="G20" s="265" t="s">
        <v>1074</v>
      </c>
      <c r="H20" s="224"/>
      <c r="I20" s="196"/>
      <c r="J20" s="196"/>
      <c r="K20" s="398">
        <f>'C.2.1 F'!D70+'C.2.1 F'!D78</f>
        <v>270672.87141031638</v>
      </c>
      <c r="L20" s="224"/>
      <c r="M20" s="310">
        <v>0</v>
      </c>
      <c r="N20" s="224"/>
      <c r="O20" s="310">
        <f t="shared" si="1"/>
        <v>270672.87141031638</v>
      </c>
      <c r="P20" s="258"/>
      <c r="R20" s="594"/>
      <c r="S20" s="594"/>
      <c r="T20" s="594"/>
      <c r="U20" s="594"/>
      <c r="V20" s="594"/>
      <c r="W20" s="594"/>
    </row>
    <row r="21" spans="1:23">
      <c r="A21" s="235">
        <v>8</v>
      </c>
      <c r="C21" s="262" t="s">
        <v>678</v>
      </c>
      <c r="D21" s="529">
        <f>+'C.2.1 B'!D119+'C.2.1 B'!D132</f>
        <v>6643817.962154286</v>
      </c>
      <c r="E21" s="196"/>
      <c r="F21" s="310">
        <f t="shared" si="0"/>
        <v>131725.66012019105</v>
      </c>
      <c r="G21" s="265" t="s">
        <v>1074</v>
      </c>
      <c r="H21" s="224"/>
      <c r="I21" s="462" t="s">
        <v>782</v>
      </c>
      <c r="J21" s="196"/>
      <c r="K21" s="530">
        <f>'C.2.1 F'!D115+'C.2.1 F'!D128</f>
        <v>6775543.622274477</v>
      </c>
      <c r="L21" s="224"/>
      <c r="M21" s="310">
        <f>-F.2.2!H20</f>
        <v>0</v>
      </c>
      <c r="N21" s="239"/>
      <c r="O21" s="310">
        <f t="shared" si="1"/>
        <v>6775543.622274477</v>
      </c>
      <c r="P21" s="258"/>
      <c r="R21" s="594"/>
      <c r="S21" s="594"/>
      <c r="T21" s="594"/>
      <c r="U21" s="594"/>
      <c r="V21" s="594"/>
      <c r="W21" s="594"/>
    </row>
    <row r="22" spans="1:23">
      <c r="A22" s="257">
        <v>9</v>
      </c>
      <c r="C22" s="262" t="s">
        <v>71</v>
      </c>
      <c r="D22" s="529">
        <f>+'C.2.1 B'!D139</f>
        <v>3218090.9482542495</v>
      </c>
      <c r="E22" s="196"/>
      <c r="F22" s="310">
        <f t="shared" si="0"/>
        <v>158674.88617670769</v>
      </c>
      <c r="G22" s="265" t="s">
        <v>1074</v>
      </c>
      <c r="H22" s="224"/>
      <c r="I22" s="462" t="s">
        <v>782</v>
      </c>
      <c r="J22" s="196"/>
      <c r="K22" s="398">
        <f>'C.2.1 F'!D135</f>
        <v>3376765.8344309572</v>
      </c>
      <c r="L22" s="224"/>
      <c r="M22" s="310">
        <v>0</v>
      </c>
      <c r="N22" s="224"/>
      <c r="O22" s="310">
        <f t="shared" si="1"/>
        <v>3376765.8344309572</v>
      </c>
      <c r="P22" s="258"/>
      <c r="R22" s="594"/>
      <c r="S22" s="594"/>
      <c r="T22" s="683"/>
      <c r="U22" s="594"/>
      <c r="V22" s="594"/>
      <c r="W22" s="594"/>
    </row>
    <row r="23" spans="1:23">
      <c r="A23" s="235">
        <v>10</v>
      </c>
      <c r="C23" s="250" t="s">
        <v>72</v>
      </c>
      <c r="D23" s="398">
        <f>+'C.2.1 B'!D146</f>
        <v>134412.29365729415</v>
      </c>
      <c r="E23" s="196"/>
      <c r="F23" s="310">
        <f t="shared" si="0"/>
        <v>-798.68748963411781</v>
      </c>
      <c r="G23" s="265" t="s">
        <v>1074</v>
      </c>
      <c r="H23" s="224"/>
      <c r="I23" s="462" t="s">
        <v>782</v>
      </c>
      <c r="J23" s="196"/>
      <c r="K23" s="398">
        <f>'C.2.1 F'!D142</f>
        <v>133613.60616766004</v>
      </c>
      <c r="L23" s="260"/>
      <c r="M23" s="310">
        <v>0</v>
      </c>
      <c r="N23" s="239"/>
      <c r="O23" s="310">
        <f>+K23+M23</f>
        <v>133613.60616766004</v>
      </c>
      <c r="P23" s="258"/>
      <c r="R23" s="594"/>
      <c r="S23" s="594"/>
      <c r="T23" s="684"/>
      <c r="U23" s="594"/>
      <c r="V23" s="594"/>
      <c r="W23" s="594"/>
    </row>
    <row r="24" spans="1:23">
      <c r="A24" s="257">
        <v>11</v>
      </c>
      <c r="C24" s="262" t="s">
        <v>499</v>
      </c>
      <c r="D24" s="398">
        <f>+'C.2.1 B'!D153</f>
        <v>410952.66041130282</v>
      </c>
      <c r="E24" s="196"/>
      <c r="F24" s="310">
        <f t="shared" si="0"/>
        <v>32781.969086789526</v>
      </c>
      <c r="G24" s="265" t="s">
        <v>1074</v>
      </c>
      <c r="H24" s="224"/>
      <c r="I24" s="462" t="s">
        <v>782</v>
      </c>
      <c r="J24" s="196"/>
      <c r="K24" s="398">
        <f>'C.2.1 F'!D149</f>
        <v>443734.62949809234</v>
      </c>
      <c r="L24" s="260"/>
      <c r="M24" s="310">
        <f>-F.4!K29</f>
        <v>-86254.329696384259</v>
      </c>
      <c r="N24" s="239" t="s">
        <v>559</v>
      </c>
      <c r="O24" s="310">
        <f>+K24+M24</f>
        <v>357480.29980170808</v>
      </c>
      <c r="P24" s="258"/>
      <c r="R24" s="594"/>
      <c r="S24" s="594"/>
      <c r="T24" s="684"/>
      <c r="U24" s="594"/>
      <c r="V24" s="594"/>
      <c r="W24" s="594"/>
    </row>
    <row r="25" spans="1:23">
      <c r="A25" s="235">
        <v>12</v>
      </c>
      <c r="C25" s="262" t="s">
        <v>500</v>
      </c>
      <c r="D25" s="398">
        <f>+'C.2.1 B'!D167+'C.2.1 B'!D171</f>
        <v>15640621.675101224</v>
      </c>
      <c r="E25" s="196"/>
      <c r="F25" s="310">
        <f t="shared" si="0"/>
        <v>92773.771691353992</v>
      </c>
      <c r="G25" s="265" t="s">
        <v>1074</v>
      </c>
      <c r="H25" s="224"/>
      <c r="I25" s="462" t="s">
        <v>782</v>
      </c>
      <c r="J25" s="196"/>
      <c r="K25" s="398">
        <f>'C.2.1 F'!D163+'C.2.1 F'!D167</f>
        <v>15733395.446792578</v>
      </c>
      <c r="L25" s="260"/>
      <c r="M25" s="310">
        <f>F.6!J27-F.8!I24+F.9!G20-F.10!F41</f>
        <v>-1255657.2193844221</v>
      </c>
      <c r="N25" s="239" t="s">
        <v>1394</v>
      </c>
      <c r="O25" s="310">
        <f>+K25+M25</f>
        <v>14477738.227408156</v>
      </c>
      <c r="P25" s="258"/>
      <c r="Q25" s="228"/>
      <c r="R25" s="594"/>
      <c r="S25" s="594"/>
      <c r="T25" s="684"/>
      <c r="U25" s="594"/>
      <c r="V25" s="594"/>
      <c r="W25" s="594"/>
    </row>
    <row r="26" spans="1:23">
      <c r="A26" s="257">
        <v>13</v>
      </c>
      <c r="C26" s="264" t="s">
        <v>92</v>
      </c>
      <c r="D26" s="398">
        <f>+'C.2.1 B'!D175</f>
        <v>18849734.532483872</v>
      </c>
      <c r="E26" s="196"/>
      <c r="F26" s="310">
        <f t="shared" si="0"/>
        <v>2653071.2936660275</v>
      </c>
      <c r="G26" s="265" t="s">
        <v>1074</v>
      </c>
      <c r="H26" s="224"/>
      <c r="I26" s="196"/>
      <c r="J26" s="196"/>
      <c r="K26" s="398">
        <f>'C.2.1 F'!D171</f>
        <v>21502805.8261499</v>
      </c>
      <c r="L26" s="260"/>
      <c r="M26" s="310">
        <f>O26-K26</f>
        <v>0</v>
      </c>
      <c r="N26" s="260"/>
      <c r="O26" s="398">
        <f>'C.2.1 F'!D171</f>
        <v>21502805.8261499</v>
      </c>
      <c r="P26" s="258"/>
      <c r="Q26" s="228"/>
      <c r="R26" s="594"/>
      <c r="S26" s="685"/>
      <c r="T26" s="684"/>
      <c r="U26" s="594"/>
      <c r="V26" s="594"/>
      <c r="W26" s="594"/>
    </row>
    <row r="27" spans="1:23">
      <c r="A27" s="235">
        <v>14</v>
      </c>
      <c r="C27" s="262" t="s">
        <v>598</v>
      </c>
      <c r="D27" s="398">
        <f>+'C.2.1 B'!D176</f>
        <v>4827152.1770496229</v>
      </c>
      <c r="F27" s="525">
        <f t="shared" si="0"/>
        <v>1723430.9500329942</v>
      </c>
      <c r="G27" s="259" t="s">
        <v>1074</v>
      </c>
      <c r="H27" s="188"/>
      <c r="K27" s="398">
        <f>'C.2.1 F'!D172</f>
        <v>6550583.127082617</v>
      </c>
      <c r="L27" s="224"/>
      <c r="M27" s="310">
        <v>0</v>
      </c>
      <c r="N27" s="239"/>
      <c r="O27" s="525">
        <f>+K27+M27</f>
        <v>6550583.127082617</v>
      </c>
      <c r="P27" s="258"/>
      <c r="Q27" s="228"/>
      <c r="S27" s="228"/>
      <c r="T27" s="188"/>
    </row>
    <row r="28" spans="1:23">
      <c r="A28" s="257">
        <v>15</v>
      </c>
      <c r="C28" s="264" t="s">
        <v>573</v>
      </c>
      <c r="D28" s="398">
        <f>+'C.2.1 B'!D177</f>
        <v>12654026.412252365</v>
      </c>
      <c r="F28" s="525">
        <f t="shared" si="0"/>
        <v>-1652589.9376223758</v>
      </c>
      <c r="H28" s="188"/>
      <c r="K28" s="398">
        <f>'C.2.1 F'!D173</f>
        <v>11001436.474629989</v>
      </c>
      <c r="L28" s="260"/>
      <c r="M28" s="398">
        <f>+O28-K28</f>
        <v>0</v>
      </c>
      <c r="N28" s="265"/>
      <c r="O28" s="398">
        <f>+E!G23</f>
        <v>11001436.474629989</v>
      </c>
      <c r="P28" s="258"/>
      <c r="Q28" s="228"/>
      <c r="S28" s="228"/>
      <c r="T28" s="258"/>
    </row>
    <row r="29" spans="1:23">
      <c r="A29" s="235">
        <v>16</v>
      </c>
      <c r="C29" s="205"/>
      <c r="D29" s="193"/>
      <c r="F29" s="266"/>
      <c r="H29" s="267"/>
      <c r="K29" s="193"/>
      <c r="L29" s="188"/>
      <c r="M29" s="190"/>
      <c r="N29" s="188"/>
      <c r="O29" s="190"/>
      <c r="P29" s="258"/>
    </row>
    <row r="30" spans="1:23">
      <c r="A30" s="257">
        <v>17</v>
      </c>
      <c r="C30" s="221"/>
      <c r="D30" s="188"/>
      <c r="F30" s="188"/>
      <c r="H30" s="188"/>
      <c r="K30" s="188"/>
      <c r="L30" s="188"/>
      <c r="M30" s="261"/>
      <c r="N30" s="188"/>
      <c r="O30" s="261"/>
      <c r="P30" s="258"/>
      <c r="T30" s="263"/>
    </row>
    <row r="31" spans="1:23">
      <c r="A31" s="235">
        <v>18</v>
      </c>
      <c r="C31" s="181" t="s">
        <v>1130</v>
      </c>
      <c r="D31" s="477">
        <f>SUM(D17:D29)</f>
        <v>128595316.9413965</v>
      </c>
      <c r="F31" s="477">
        <f>SUM(F17:F29)</f>
        <v>16307333.065486751</v>
      </c>
      <c r="H31" s="477">
        <f>SUM(H21:H29)</f>
        <v>0</v>
      </c>
      <c r="K31" s="477">
        <f>SUM(K17:K29)</f>
        <v>144902650.00688326</v>
      </c>
      <c r="L31" s="188"/>
      <c r="M31" s="477">
        <f>SUM(M17:M29)</f>
        <v>-1341911.5490808063</v>
      </c>
      <c r="N31" s="188"/>
      <c r="O31" s="477">
        <f>SUM(O17:O29)</f>
        <v>143560738.45780244</v>
      </c>
      <c r="P31" s="258"/>
    </row>
    <row r="32" spans="1:23">
      <c r="A32" s="257">
        <v>19</v>
      </c>
      <c r="D32" s="258"/>
      <c r="F32" s="258"/>
      <c r="H32" s="258"/>
      <c r="K32" s="258"/>
      <c r="L32" s="258"/>
      <c r="M32" s="258"/>
      <c r="N32" s="258"/>
      <c r="O32" s="258"/>
      <c r="P32" s="258"/>
    </row>
    <row r="33" spans="1:21" ht="15.75" thickBot="1">
      <c r="A33" s="235">
        <v>20</v>
      </c>
      <c r="C33" s="181" t="s">
        <v>1201</v>
      </c>
      <c r="D33" s="523">
        <f>D14-D31</f>
        <v>28117929.939559311</v>
      </c>
      <c r="F33" s="523">
        <f>F14-F31</f>
        <v>-2291304.0350218639</v>
      </c>
      <c r="H33" s="523">
        <f>H14-H31</f>
        <v>0</v>
      </c>
      <c r="K33" s="523">
        <f>K14-K31</f>
        <v>25826625.904537439</v>
      </c>
      <c r="L33" s="188"/>
      <c r="M33" s="523">
        <f>M14-M31</f>
        <v>1341911.5490808063</v>
      </c>
      <c r="N33" s="188"/>
      <c r="O33" s="523">
        <f>O14-O31</f>
        <v>27168537.453618258</v>
      </c>
      <c r="P33" s="258"/>
      <c r="Q33" s="228"/>
      <c r="S33" s="228"/>
      <c r="T33" s="188"/>
      <c r="U33" s="188"/>
    </row>
    <row r="34" spans="1:21" ht="15.75" thickTop="1">
      <c r="A34" s="235"/>
      <c r="D34" s="188"/>
      <c r="F34" s="188"/>
      <c r="G34" s="188"/>
      <c r="H34" s="188"/>
      <c r="K34" s="230"/>
      <c r="L34" s="188"/>
      <c r="M34" s="230"/>
      <c r="N34" s="188"/>
      <c r="O34" s="188"/>
      <c r="P34" s="188"/>
      <c r="Q34" s="228"/>
      <c r="S34" s="228"/>
      <c r="T34" s="188"/>
      <c r="U34" s="188"/>
    </row>
    <row r="35" spans="1:21">
      <c r="A35" s="257"/>
      <c r="D35" s="268"/>
      <c r="F35" s="188"/>
      <c r="G35" s="188"/>
      <c r="H35" s="188"/>
      <c r="K35" s="268"/>
      <c r="L35" s="188"/>
      <c r="M35" s="228"/>
      <c r="N35" s="188"/>
      <c r="O35" s="268"/>
      <c r="P35" s="188"/>
    </row>
    <row r="36" spans="1:21">
      <c r="A36" s="257"/>
      <c r="C36" s="768"/>
      <c r="D36" s="669"/>
      <c r="E36" s="668"/>
      <c r="F36" s="669"/>
      <c r="G36" s="669"/>
      <c r="H36" s="669"/>
      <c r="I36" s="668"/>
      <c r="J36" s="668"/>
      <c r="K36" s="669"/>
      <c r="L36" s="188"/>
      <c r="M36" s="310"/>
      <c r="N36" s="188"/>
      <c r="O36" s="268"/>
      <c r="P36" s="188"/>
    </row>
    <row r="37" spans="1:21">
      <c r="A37" s="257"/>
      <c r="C37" s="668"/>
      <c r="D37" s="769"/>
      <c r="E37" s="668"/>
      <c r="F37" s="669"/>
      <c r="G37" s="669"/>
      <c r="H37" s="669"/>
      <c r="I37" s="668"/>
      <c r="J37" s="668"/>
      <c r="K37" s="769"/>
      <c r="L37" s="188"/>
      <c r="M37" s="228"/>
      <c r="N37" s="188"/>
      <c r="O37" s="268"/>
      <c r="P37" s="188"/>
    </row>
    <row r="38" spans="1:21" s="270" customFormat="1">
      <c r="A38" s="235"/>
      <c r="B38" s="269"/>
      <c r="C38" s="768"/>
      <c r="D38" s="669"/>
      <c r="E38" s="668"/>
      <c r="F38" s="669"/>
      <c r="G38" s="669"/>
      <c r="H38" s="669"/>
      <c r="I38" s="668"/>
      <c r="J38" s="668"/>
      <c r="K38" s="669"/>
      <c r="L38" s="271"/>
      <c r="N38" s="271"/>
      <c r="P38" s="271"/>
    </row>
    <row r="39" spans="1:21" s="270" customFormat="1">
      <c r="A39" s="272"/>
      <c r="B39" s="273"/>
      <c r="C39" s="768"/>
      <c r="D39" s="669"/>
      <c r="E39" s="668"/>
      <c r="F39" s="669"/>
      <c r="G39" s="669"/>
      <c r="H39" s="669"/>
      <c r="I39" s="668"/>
      <c r="J39" s="668"/>
      <c r="K39" s="669"/>
      <c r="L39" s="271"/>
      <c r="M39" s="274"/>
      <c r="N39" s="271"/>
      <c r="O39" s="274"/>
      <c r="P39" s="271"/>
      <c r="T39" s="275"/>
    </row>
    <row r="40" spans="1:21" s="270" customFormat="1">
      <c r="D40" s="271"/>
      <c r="F40" s="271"/>
      <c r="G40" s="271"/>
      <c r="K40" s="271"/>
      <c r="L40" s="271"/>
      <c r="M40" s="669"/>
      <c r="N40" s="668"/>
    </row>
    <row r="41" spans="1:21">
      <c r="A41" s="270"/>
      <c r="B41" s="270"/>
      <c r="C41" s="270"/>
      <c r="D41" s="188"/>
      <c r="F41" s="188"/>
      <c r="G41" s="188"/>
      <c r="H41" s="228"/>
      <c r="K41" s="188"/>
      <c r="L41" s="188"/>
      <c r="M41" s="669"/>
      <c r="N41" s="669"/>
      <c r="O41" s="228"/>
      <c r="P41" s="188"/>
    </row>
    <row r="42" spans="1:21">
      <c r="A42" s="221"/>
      <c r="D42" s="188"/>
      <c r="F42" s="188"/>
      <c r="G42" s="188"/>
      <c r="K42" s="188"/>
      <c r="L42" s="188"/>
      <c r="M42" s="669"/>
      <c r="N42" s="669"/>
      <c r="P42" s="188"/>
      <c r="Q42" s="228"/>
      <c r="S42" s="228"/>
      <c r="T42" s="188"/>
      <c r="U42" s="188"/>
    </row>
    <row r="43" spans="1:21">
      <c r="A43" s="221"/>
      <c r="D43" s="188"/>
      <c r="F43" s="188"/>
      <c r="G43" s="188"/>
      <c r="H43" s="228"/>
      <c r="K43" s="188"/>
      <c r="L43" s="188"/>
      <c r="M43" s="192"/>
      <c r="N43" s="669"/>
      <c r="O43" s="228"/>
      <c r="P43" s="188"/>
      <c r="Q43" s="228"/>
      <c r="S43" s="228"/>
      <c r="T43" s="188"/>
      <c r="U43" s="188"/>
    </row>
    <row r="44" spans="1:21">
      <c r="A44" s="221"/>
      <c r="C44" s="221"/>
      <c r="D44" s="188"/>
      <c r="F44" s="188"/>
      <c r="G44" s="188"/>
      <c r="M44" s="847"/>
      <c r="N44" s="668"/>
    </row>
    <row r="45" spans="1:21">
      <c r="A45" s="221"/>
      <c r="C45" s="221"/>
      <c r="D45" s="188"/>
      <c r="F45" s="188"/>
      <c r="G45" s="188"/>
    </row>
    <row r="46" spans="1:21">
      <c r="D46" s="188"/>
      <c r="F46" s="188"/>
      <c r="G46" s="188"/>
      <c r="K46" s="263"/>
      <c r="L46" s="263"/>
      <c r="N46" s="263"/>
      <c r="P46" s="263"/>
      <c r="T46" s="263"/>
    </row>
    <row r="47" spans="1:21">
      <c r="A47" s="221"/>
      <c r="D47" s="188"/>
      <c r="F47" s="188"/>
      <c r="G47" s="188"/>
    </row>
    <row r="48" spans="1:21">
      <c r="C48" s="254"/>
      <c r="E48" s="188"/>
      <c r="G48" s="188"/>
    </row>
    <row r="49" spans="1:23">
      <c r="A49" s="221"/>
      <c r="C49" s="221"/>
      <c r="E49" s="188"/>
      <c r="F49" s="228"/>
      <c r="G49" s="188"/>
      <c r="H49" s="228"/>
      <c r="K49" s="228"/>
      <c r="L49" s="258"/>
      <c r="M49" s="228"/>
      <c r="N49" s="258"/>
      <c r="O49" s="228"/>
      <c r="P49" s="258"/>
      <c r="Q49" s="228"/>
      <c r="S49" s="228"/>
      <c r="T49" s="188"/>
      <c r="V49" s="221"/>
    </row>
    <row r="50" spans="1:23">
      <c r="C50" s="221"/>
      <c r="D50" s="228"/>
      <c r="E50" s="188"/>
      <c r="F50" s="228"/>
      <c r="G50" s="188"/>
      <c r="H50" s="228"/>
      <c r="K50" s="228"/>
      <c r="L50" s="258"/>
      <c r="M50" s="228"/>
      <c r="N50" s="258"/>
      <c r="O50" s="228"/>
      <c r="P50" s="258"/>
      <c r="Q50" s="228"/>
      <c r="S50" s="228"/>
      <c r="T50" s="188"/>
    </row>
    <row r="51" spans="1:23">
      <c r="D51" s="228"/>
      <c r="V51" s="221"/>
    </row>
    <row r="52" spans="1:23">
      <c r="V52" s="258"/>
      <c r="W52" s="188"/>
    </row>
    <row r="53" spans="1:23">
      <c r="V53" s="258"/>
      <c r="W53" s="188"/>
    </row>
    <row r="56" spans="1:23">
      <c r="V56" s="263"/>
    </row>
    <row r="58" spans="1:23">
      <c r="S58" s="188"/>
      <c r="T58" s="188"/>
    </row>
    <row r="59" spans="1:23">
      <c r="E59" s="258"/>
      <c r="R59" s="258"/>
      <c r="S59" s="188"/>
      <c r="T59" s="188"/>
    </row>
    <row r="62" spans="1:23">
      <c r="R62" s="263"/>
    </row>
    <row r="63" spans="1:23">
      <c r="R63" s="258"/>
    </row>
    <row r="64" spans="1:23">
      <c r="R64" s="258"/>
    </row>
    <row r="65" spans="1:18">
      <c r="R65" s="258"/>
    </row>
    <row r="67" spans="1:18">
      <c r="A67" s="221"/>
    </row>
    <row r="68" spans="1:18">
      <c r="A68" s="221"/>
      <c r="C68" s="221"/>
      <c r="G68" s="263"/>
      <c r="I68" s="263"/>
      <c r="J68" s="263"/>
      <c r="L68" s="263"/>
      <c r="N68" s="263"/>
      <c r="P68" s="263"/>
      <c r="R68" s="263"/>
    </row>
    <row r="69" spans="1:18">
      <c r="G69" s="258"/>
      <c r="R69" s="258"/>
    </row>
    <row r="70" spans="1:18">
      <c r="A70" s="221"/>
    </row>
    <row r="71" spans="1:18">
      <c r="A71" s="221"/>
    </row>
    <row r="72" spans="1:18">
      <c r="A72" s="221"/>
    </row>
    <row r="73" spans="1:18">
      <c r="A73" s="221"/>
    </row>
    <row r="75" spans="1:18">
      <c r="A75" s="221"/>
    </row>
    <row r="76" spans="1:18">
      <c r="A76" s="221"/>
    </row>
    <row r="79" spans="1:18">
      <c r="A79" s="221"/>
    </row>
    <row r="80" spans="1:18">
      <c r="C80" s="221"/>
    </row>
    <row r="86" spans="7:18">
      <c r="G86" s="258"/>
      <c r="I86" s="258"/>
      <c r="J86" s="258"/>
      <c r="L86" s="258"/>
      <c r="N86" s="258"/>
      <c r="P86" s="258"/>
      <c r="R86" s="258"/>
    </row>
    <row r="87" spans="7:18">
      <c r="G87" s="258"/>
      <c r="I87" s="258"/>
      <c r="J87" s="258"/>
      <c r="L87" s="258"/>
      <c r="N87" s="258"/>
      <c r="P87" s="258"/>
      <c r="R87" s="258"/>
    </row>
    <row r="88" spans="7:18">
      <c r="G88" s="258"/>
      <c r="I88" s="258"/>
      <c r="J88" s="258"/>
      <c r="L88" s="258"/>
      <c r="N88" s="258"/>
      <c r="P88" s="258"/>
      <c r="R88" s="258"/>
    </row>
    <row r="89" spans="7:18">
      <c r="G89" s="258"/>
      <c r="I89" s="258"/>
      <c r="J89" s="258"/>
      <c r="L89" s="258"/>
      <c r="N89" s="258"/>
      <c r="P89" s="258"/>
      <c r="R89" s="258"/>
    </row>
    <row r="90" spans="7:18">
      <c r="G90" s="258"/>
      <c r="I90" s="258"/>
      <c r="J90" s="258"/>
      <c r="L90" s="258"/>
      <c r="N90" s="258"/>
      <c r="P90" s="258"/>
      <c r="R90" s="258"/>
    </row>
    <row r="91" spans="7:18">
      <c r="G91" s="258"/>
      <c r="I91" s="258"/>
      <c r="J91" s="258"/>
      <c r="L91" s="258"/>
      <c r="N91" s="258"/>
      <c r="P91" s="258"/>
      <c r="R91" s="258"/>
    </row>
    <row r="92" spans="7:18">
      <c r="G92" s="258"/>
      <c r="I92" s="258"/>
      <c r="J92" s="258"/>
      <c r="L92" s="258"/>
      <c r="N92" s="258"/>
      <c r="P92" s="258"/>
      <c r="R92" s="258"/>
    </row>
    <row r="93" spans="7:18">
      <c r="G93" s="258"/>
      <c r="I93" s="258"/>
      <c r="J93" s="258"/>
      <c r="L93" s="258"/>
      <c r="N93" s="258"/>
      <c r="P93" s="258"/>
      <c r="R93" s="258"/>
    </row>
    <row r="94" spans="7:18">
      <c r="G94" s="258"/>
      <c r="I94" s="258"/>
      <c r="J94" s="258"/>
      <c r="L94" s="258"/>
      <c r="N94" s="258"/>
      <c r="P94" s="258"/>
      <c r="R94" s="258"/>
    </row>
    <row r="95" spans="7:18">
      <c r="G95" s="258"/>
      <c r="I95" s="258"/>
      <c r="J95" s="258"/>
      <c r="L95" s="258"/>
      <c r="N95" s="258"/>
      <c r="P95" s="258"/>
      <c r="R95" s="258"/>
    </row>
  </sheetData>
  <mergeCells count="5">
    <mergeCell ref="A5:O5"/>
    <mergeCell ref="A1:O1"/>
    <mergeCell ref="A2:O2"/>
    <mergeCell ref="A3:O3"/>
    <mergeCell ref="A4:O4"/>
  </mergeCells>
  <phoneticPr fontId="22" type="noConversion"/>
  <printOptions horizontalCentered="1"/>
  <pageMargins left="0.38" right="0.5" top="0.75" bottom="0.5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H195"/>
  <sheetViews>
    <sheetView view="pageBreakPreview" zoomScale="60" zoomScaleNormal="80" workbookViewId="0">
      <pane ySplit="11" topLeftCell="A151" activePane="bottomLeft" state="frozen"/>
      <selection activeCell="B6" sqref="B6"/>
      <selection pane="bottomLeft" activeCell="G163" sqref="G163"/>
    </sheetView>
  </sheetViews>
  <sheetFormatPr defaultColWidth="8.44140625" defaultRowHeight="15.75" customHeight="1"/>
  <cols>
    <col min="1" max="1" width="4.77734375" style="62" customWidth="1"/>
    <col min="2" max="2" width="11.88671875" style="62" customWidth="1"/>
    <col min="3" max="3" width="49.109375" style="62" customWidth="1"/>
    <col min="4" max="4" width="14" style="62" customWidth="1"/>
    <col min="5" max="5" width="7.21875" style="62" customWidth="1"/>
    <col min="6" max="6" width="11.44140625" style="62" bestFit="1" customWidth="1"/>
    <col min="7" max="7" width="10" style="62" bestFit="1" customWidth="1"/>
    <col min="8" max="8" width="10.21875" style="62" customWidth="1"/>
    <col min="9" max="16384" width="8.44140625" style="62"/>
  </cols>
  <sheetData>
    <row r="1" spans="1:7" ht="15.75" customHeight="1">
      <c r="A1" s="1176" t="str">
        <f>'Table of Contents'!A1:C1</f>
        <v>Atmos Energy Corporation, Kentucky/Mid-States Division</v>
      </c>
      <c r="B1" s="1176"/>
      <c r="C1" s="1176"/>
      <c r="D1" s="1176"/>
    </row>
    <row r="2" spans="1:7" ht="15.75" customHeight="1">
      <c r="A2" s="1176" t="str">
        <f>'Table of Contents'!A2:C2</f>
        <v>Kentucky Jurisdiction Case No. 2017-00349</v>
      </c>
      <c r="B2" s="1176"/>
      <c r="C2" s="1176"/>
      <c r="D2" s="1176"/>
    </row>
    <row r="3" spans="1:7" ht="15.75" customHeight="1">
      <c r="A3" s="1176" t="s">
        <v>1148</v>
      </c>
      <c r="B3" s="1176"/>
      <c r="C3" s="1176"/>
      <c r="D3" s="1176"/>
    </row>
    <row r="4" spans="1:7" ht="15.75" customHeight="1">
      <c r="A4" s="1176" t="str">
        <f>'Table of Contents'!A3:C3</f>
        <v>Base Period: Twelve Months Ended December 31, 2017</v>
      </c>
      <c r="B4" s="1176"/>
      <c r="C4" s="1176"/>
      <c r="D4" s="1176"/>
    </row>
    <row r="5" spans="1:7" ht="15.75" customHeight="1">
      <c r="A5" s="65"/>
      <c r="B5" s="65"/>
      <c r="C5" s="201"/>
      <c r="D5" s="201"/>
    </row>
    <row r="6" spans="1:7" ht="15.75" customHeight="1">
      <c r="A6" s="66" t="s">
        <v>55</v>
      </c>
      <c r="D6" s="498" t="s">
        <v>1455</v>
      </c>
    </row>
    <row r="7" spans="1:7" ht="15.75" customHeight="1">
      <c r="A7" s="4" t="s">
        <v>621</v>
      </c>
      <c r="D7" s="499" t="s">
        <v>719</v>
      </c>
    </row>
    <row r="8" spans="1:7" ht="15.75" customHeight="1">
      <c r="A8" s="240" t="s">
        <v>369</v>
      </c>
      <c r="B8" s="241"/>
      <c r="C8" s="241"/>
      <c r="D8" s="500" t="str">
        <f>C.1!J9</f>
        <v>Witness: Waller, Martin</v>
      </c>
    </row>
    <row r="9" spans="1:7" ht="15.75" customHeight="1">
      <c r="D9" s="276"/>
    </row>
    <row r="10" spans="1:7" ht="15.75" customHeight="1">
      <c r="A10" s="277" t="s">
        <v>94</v>
      </c>
      <c r="B10" s="276" t="s">
        <v>342</v>
      </c>
      <c r="C10" s="277" t="s">
        <v>342</v>
      </c>
      <c r="D10" s="276" t="s">
        <v>994</v>
      </c>
    </row>
    <row r="11" spans="1:7" ht="15.75" customHeight="1">
      <c r="A11" s="278" t="s">
        <v>100</v>
      </c>
      <c r="B11" s="279" t="s">
        <v>1324</v>
      </c>
      <c r="C11" s="278" t="s">
        <v>218</v>
      </c>
      <c r="D11" s="279" t="s">
        <v>318</v>
      </c>
    </row>
    <row r="12" spans="1:7" ht="15.75" customHeight="1">
      <c r="D12" s="276" t="s">
        <v>1101</v>
      </c>
    </row>
    <row r="13" spans="1:7" ht="15.75" customHeight="1">
      <c r="A13" s="276">
        <v>1</v>
      </c>
      <c r="B13" s="280"/>
      <c r="C13" s="281" t="s">
        <v>66</v>
      </c>
    </row>
    <row r="14" spans="1:7" ht="15.75" customHeight="1">
      <c r="A14" s="276">
        <f>A13+1</f>
        <v>2</v>
      </c>
      <c r="B14" s="280"/>
      <c r="C14" s="281" t="s">
        <v>136</v>
      </c>
      <c r="D14" s="96"/>
    </row>
    <row r="15" spans="1:7" ht="15.75" customHeight="1">
      <c r="A15" s="276">
        <f t="shared" ref="A15:A84" si="0">A14+1</f>
        <v>3</v>
      </c>
      <c r="B15" s="531">
        <v>4800</v>
      </c>
      <c r="C15" s="282" t="s">
        <v>131</v>
      </c>
      <c r="D15" s="341">
        <f>-'C.2.2 B 09'!P17</f>
        <v>92003987.593029201</v>
      </c>
      <c r="F15" s="410"/>
      <c r="G15" s="410"/>
    </row>
    <row r="16" spans="1:7" ht="15.75" customHeight="1">
      <c r="A16" s="276">
        <f t="shared" si="0"/>
        <v>4</v>
      </c>
      <c r="B16" s="710">
        <v>4805</v>
      </c>
      <c r="C16" s="711" t="s">
        <v>1330</v>
      </c>
      <c r="D16" s="354">
        <f>-'C.2.2 B 09'!P18</f>
        <v>-4036098.25</v>
      </c>
      <c r="F16" s="410"/>
      <c r="G16" s="410"/>
    </row>
    <row r="17" spans="1:8" ht="15.75" customHeight="1">
      <c r="A17" s="276">
        <f t="shared" si="0"/>
        <v>5</v>
      </c>
      <c r="B17" s="710">
        <v>4811</v>
      </c>
      <c r="C17" s="711" t="s">
        <v>132</v>
      </c>
      <c r="D17" s="354">
        <f>-'C.2.2 B 09'!P19</f>
        <v>38443047.651499577</v>
      </c>
      <c r="F17" s="410"/>
      <c r="G17" s="410"/>
    </row>
    <row r="18" spans="1:8" ht="15.75" customHeight="1">
      <c r="A18" s="276">
        <f t="shared" si="0"/>
        <v>6</v>
      </c>
      <c r="B18" s="710">
        <v>4812</v>
      </c>
      <c r="C18" s="711" t="s">
        <v>133</v>
      </c>
      <c r="D18" s="354">
        <f>-'C.2.2 B 09'!P20</f>
        <v>6816385.5647433177</v>
      </c>
      <c r="F18" s="410"/>
      <c r="G18" s="410"/>
    </row>
    <row r="19" spans="1:8" ht="15.75" customHeight="1">
      <c r="A19" s="276">
        <f t="shared" si="0"/>
        <v>7</v>
      </c>
      <c r="B19" s="710">
        <v>4815</v>
      </c>
      <c r="C19" s="711" t="s">
        <v>1331</v>
      </c>
      <c r="D19" s="354">
        <f>-'C.2.2 B 09'!P21</f>
        <v>-1524310.75</v>
      </c>
      <c r="F19" s="410"/>
      <c r="G19" s="410"/>
    </row>
    <row r="20" spans="1:8" ht="15.75" customHeight="1">
      <c r="A20" s="276">
        <f t="shared" si="0"/>
        <v>8</v>
      </c>
      <c r="B20" s="710">
        <v>4816</v>
      </c>
      <c r="C20" s="711" t="s">
        <v>1370</v>
      </c>
      <c r="D20" s="354">
        <f>-'C.2.2 B 09'!P22</f>
        <v>-99394.930000000051</v>
      </c>
      <c r="F20" s="410"/>
      <c r="G20" s="410"/>
    </row>
    <row r="21" spans="1:8" ht="15.75" customHeight="1">
      <c r="A21" s="276">
        <f t="shared" si="0"/>
        <v>9</v>
      </c>
      <c r="B21" s="710">
        <v>4820</v>
      </c>
      <c r="C21" s="711" t="s">
        <v>785</v>
      </c>
      <c r="D21" s="354">
        <f>-'C.2.2 B 09'!P23</f>
        <v>6397243.3093471676</v>
      </c>
      <c r="F21" s="410"/>
      <c r="G21" s="410"/>
    </row>
    <row r="22" spans="1:8" ht="15.75" customHeight="1">
      <c r="A22" s="276">
        <f t="shared" si="0"/>
        <v>10</v>
      </c>
      <c r="B22" s="710">
        <v>4825</v>
      </c>
      <c r="C22" s="711" t="s">
        <v>1332</v>
      </c>
      <c r="D22" s="355">
        <f>-'C.2.2 B 09'!P24</f>
        <v>-329425</v>
      </c>
      <c r="F22" s="410"/>
      <c r="G22" s="410"/>
    </row>
    <row r="23" spans="1:8" ht="15.75" customHeight="1">
      <c r="A23" s="276">
        <f t="shared" si="0"/>
        <v>11</v>
      </c>
      <c r="B23" s="276"/>
      <c r="C23" s="277" t="s">
        <v>1165</v>
      </c>
      <c r="D23" s="341">
        <f>SUM(D15:D22)</f>
        <v>137671435.18861926</v>
      </c>
    </row>
    <row r="24" spans="1:8" ht="15.75" customHeight="1">
      <c r="A24" s="276">
        <f t="shared" si="0"/>
        <v>12</v>
      </c>
      <c r="B24" s="276"/>
      <c r="D24" s="96"/>
    </row>
    <row r="25" spans="1:8" ht="15.75" customHeight="1">
      <c r="A25" s="276">
        <f t="shared" si="0"/>
        <v>13</v>
      </c>
      <c r="B25" s="532"/>
      <c r="C25" s="281" t="s">
        <v>65</v>
      </c>
      <c r="D25" s="458"/>
    </row>
    <row r="26" spans="1:8" ht="15.75" customHeight="1">
      <c r="A26" s="276">
        <f t="shared" si="0"/>
        <v>14</v>
      </c>
      <c r="B26" s="531">
        <v>4870</v>
      </c>
      <c r="C26" s="282" t="s">
        <v>1021</v>
      </c>
      <c r="D26" s="341">
        <f>-'C.2.2 B 09'!P25</f>
        <v>1231451.7485199214</v>
      </c>
    </row>
    <row r="27" spans="1:8" ht="15.75" customHeight="1">
      <c r="A27" s="276">
        <f t="shared" si="0"/>
        <v>15</v>
      </c>
      <c r="B27" s="531">
        <v>4880</v>
      </c>
      <c r="C27" s="282" t="s">
        <v>1022</v>
      </c>
      <c r="D27" s="354">
        <f>-'C.2.2 B 09'!P26</f>
        <v>805992</v>
      </c>
    </row>
    <row r="28" spans="1:8" ht="15.75" customHeight="1">
      <c r="A28" s="276">
        <f t="shared" si="0"/>
        <v>16</v>
      </c>
      <c r="B28" s="533">
        <v>4893</v>
      </c>
      <c r="C28" s="285" t="s">
        <v>64</v>
      </c>
      <c r="D28" s="354">
        <f>-'C.2.2 B 09'!P27</f>
        <v>15830893.886251401</v>
      </c>
      <c r="F28" s="600"/>
    </row>
    <row r="29" spans="1:8" ht="15.75" customHeight="1">
      <c r="A29" s="276">
        <f t="shared" si="0"/>
        <v>17</v>
      </c>
      <c r="B29" s="531">
        <v>4950</v>
      </c>
      <c r="C29" s="282" t="s">
        <v>668</v>
      </c>
      <c r="D29" s="354">
        <f>-'C.2.2 B 09'!P28</f>
        <v>1173474.0575652353</v>
      </c>
      <c r="F29" s="96"/>
      <c r="G29" s="96"/>
      <c r="H29" s="600"/>
    </row>
    <row r="30" spans="1:8" ht="15.75" customHeight="1">
      <c r="A30" s="276">
        <f t="shared" si="0"/>
        <v>18</v>
      </c>
      <c r="B30" s="532"/>
      <c r="C30" s="277" t="s">
        <v>1166</v>
      </c>
      <c r="D30" s="732">
        <f>SUM(D26:D29)</f>
        <v>19041811.692336556</v>
      </c>
    </row>
    <row r="31" spans="1:8" ht="15.75" customHeight="1">
      <c r="A31" s="276">
        <f t="shared" si="0"/>
        <v>19</v>
      </c>
      <c r="B31" s="532"/>
      <c r="D31" s="458"/>
      <c r="F31" s="734"/>
      <c r="G31" s="96"/>
    </row>
    <row r="32" spans="1:8" ht="15.75" customHeight="1">
      <c r="A32" s="276">
        <f t="shared" si="0"/>
        <v>20</v>
      </c>
      <c r="B32" s="276"/>
      <c r="C32" s="277" t="s">
        <v>67</v>
      </c>
      <c r="D32" s="341">
        <f>D23+D30</f>
        <v>156713246.88095582</v>
      </c>
      <c r="E32" s="286"/>
      <c r="F32" s="96"/>
      <c r="G32" s="96"/>
      <c r="H32" s="600"/>
    </row>
    <row r="33" spans="1:7" ht="15.75" customHeight="1">
      <c r="A33" s="276">
        <f t="shared" si="0"/>
        <v>21</v>
      </c>
      <c r="B33" s="532"/>
      <c r="D33" s="458"/>
      <c r="F33" s="96"/>
      <c r="G33" s="96"/>
    </row>
    <row r="34" spans="1:7" ht="15.75" customHeight="1">
      <c r="A34" s="276">
        <f t="shared" si="0"/>
        <v>22</v>
      </c>
      <c r="B34" s="532"/>
      <c r="C34" s="281" t="s">
        <v>306</v>
      </c>
      <c r="D34" s="458"/>
    </row>
    <row r="35" spans="1:7" ht="15.75" customHeight="1">
      <c r="A35" s="276">
        <f t="shared" si="0"/>
        <v>23</v>
      </c>
      <c r="B35" s="532"/>
      <c r="C35" s="287" t="s">
        <v>667</v>
      </c>
      <c r="D35" s="399"/>
    </row>
    <row r="36" spans="1:7" ht="15.75" customHeight="1">
      <c r="A36" s="276">
        <f t="shared" si="0"/>
        <v>24</v>
      </c>
      <c r="B36" s="534">
        <v>7560</v>
      </c>
      <c r="C36" s="282" t="s">
        <v>330</v>
      </c>
      <c r="D36" s="459">
        <f>'C.2.2 B 09'!P29</f>
        <v>0</v>
      </c>
    </row>
    <row r="37" spans="1:7" ht="15.75" customHeight="1">
      <c r="A37" s="276">
        <f t="shared" si="0"/>
        <v>25</v>
      </c>
      <c r="B37" s="534">
        <v>7590</v>
      </c>
      <c r="C37" s="282" t="s">
        <v>1369</v>
      </c>
      <c r="D37" s="355">
        <f>'C.2.2 B 09'!P30</f>
        <v>0</v>
      </c>
    </row>
    <row r="38" spans="1:7" ht="15.75" customHeight="1">
      <c r="A38" s="276">
        <f t="shared" si="0"/>
        <v>26</v>
      </c>
      <c r="B38" s="532"/>
      <c r="C38" s="288" t="s">
        <v>441</v>
      </c>
      <c r="D38" s="341">
        <f>SUM(D36:D37)</f>
        <v>0</v>
      </c>
    </row>
    <row r="39" spans="1:7" ht="15.75" customHeight="1">
      <c r="A39" s="276">
        <f t="shared" si="0"/>
        <v>27</v>
      </c>
      <c r="B39" s="532"/>
      <c r="C39" s="288"/>
      <c r="D39" s="341"/>
    </row>
    <row r="40" spans="1:7" ht="15.75" customHeight="1">
      <c r="A40" s="276">
        <f t="shared" si="0"/>
        <v>28</v>
      </c>
      <c r="B40" s="532"/>
      <c r="C40" s="287" t="s">
        <v>1149</v>
      </c>
      <c r="D40" s="354"/>
    </row>
    <row r="41" spans="1:7" ht="15.75" customHeight="1">
      <c r="A41" s="276">
        <f t="shared" si="0"/>
        <v>29</v>
      </c>
      <c r="B41" s="534">
        <v>7610</v>
      </c>
      <c r="C41" s="282" t="s">
        <v>1150</v>
      </c>
      <c r="D41" s="494">
        <v>0</v>
      </c>
    </row>
    <row r="42" spans="1:7" ht="15.75" customHeight="1">
      <c r="A42" s="276">
        <f t="shared" si="0"/>
        <v>30</v>
      </c>
      <c r="B42" s="532"/>
      <c r="C42" s="66"/>
      <c r="D42" s="341">
        <f>SUM(D41)</f>
        <v>0</v>
      </c>
    </row>
    <row r="43" spans="1:7" ht="15.75" customHeight="1">
      <c r="A43" s="276">
        <f t="shared" si="0"/>
        <v>31</v>
      </c>
      <c r="B43" s="532"/>
      <c r="C43" s="287" t="s">
        <v>1033</v>
      </c>
      <c r="D43" s="399"/>
    </row>
    <row r="44" spans="1:7" ht="15.75" customHeight="1">
      <c r="A44" s="276">
        <f t="shared" si="0"/>
        <v>32</v>
      </c>
      <c r="B44" s="534">
        <v>8140</v>
      </c>
      <c r="C44" s="282" t="s">
        <v>677</v>
      </c>
      <c r="D44" s="495">
        <f>'C.2.2 B 09'!P46</f>
        <v>0</v>
      </c>
    </row>
    <row r="45" spans="1:7" ht="15.75" customHeight="1">
      <c r="A45" s="276">
        <f t="shared" si="0"/>
        <v>33</v>
      </c>
      <c r="B45" s="534">
        <v>8150</v>
      </c>
      <c r="C45" s="282" t="s">
        <v>298</v>
      </c>
      <c r="D45" s="459">
        <v>0</v>
      </c>
    </row>
    <row r="46" spans="1:7" ht="15.75" customHeight="1">
      <c r="A46" s="276">
        <f t="shared" si="0"/>
        <v>34</v>
      </c>
      <c r="B46" s="534">
        <v>8160</v>
      </c>
      <c r="C46" s="282" t="s">
        <v>512</v>
      </c>
      <c r="D46" s="459">
        <f>'C.2.2 B 09'!P47</f>
        <v>128970.30463018743</v>
      </c>
    </row>
    <row r="47" spans="1:7" ht="15.75" customHeight="1">
      <c r="A47" s="276">
        <f t="shared" si="0"/>
        <v>35</v>
      </c>
      <c r="B47" s="534">
        <v>8170</v>
      </c>
      <c r="C47" s="282" t="s">
        <v>513</v>
      </c>
      <c r="D47" s="459">
        <f>'C.2.2 B 09'!P48</f>
        <v>35012.455108996946</v>
      </c>
    </row>
    <row r="48" spans="1:7" ht="15.75" customHeight="1">
      <c r="A48" s="276">
        <f t="shared" si="0"/>
        <v>36</v>
      </c>
      <c r="B48" s="534">
        <v>8180</v>
      </c>
      <c r="C48" s="282" t="s">
        <v>145</v>
      </c>
      <c r="D48" s="459">
        <f>'C.2.2 B 09'!P49</f>
        <v>34837.861808389884</v>
      </c>
    </row>
    <row r="49" spans="1:4" ht="15.75" customHeight="1">
      <c r="A49" s="276">
        <f t="shared" si="0"/>
        <v>37</v>
      </c>
      <c r="B49" s="535">
        <v>8190</v>
      </c>
      <c r="C49" s="289" t="s">
        <v>146</v>
      </c>
      <c r="D49" s="459">
        <f>'C.2.2 B 09'!P50</f>
        <v>1122.6154937582521</v>
      </c>
    </row>
    <row r="50" spans="1:4" ht="15.75" customHeight="1">
      <c r="A50" s="276">
        <f t="shared" si="0"/>
        <v>38</v>
      </c>
      <c r="B50" s="535">
        <v>8200</v>
      </c>
      <c r="C50" s="289" t="s">
        <v>480</v>
      </c>
      <c r="D50" s="459">
        <f>'C.2.2 B 09'!P51</f>
        <v>3666.7845814151633</v>
      </c>
    </row>
    <row r="51" spans="1:4" ht="15.75" customHeight="1">
      <c r="A51" s="276">
        <f t="shared" si="0"/>
        <v>39</v>
      </c>
      <c r="B51" s="535">
        <v>8210</v>
      </c>
      <c r="C51" s="289" t="s">
        <v>481</v>
      </c>
      <c r="D51" s="459">
        <f>'C.2.2 B 09'!P52</f>
        <v>25634.811314407776</v>
      </c>
    </row>
    <row r="52" spans="1:4" ht="15.75" customHeight="1">
      <c r="A52" s="276">
        <f t="shared" si="0"/>
        <v>40</v>
      </c>
      <c r="B52" s="535">
        <v>8240</v>
      </c>
      <c r="C52" s="289" t="s">
        <v>590</v>
      </c>
      <c r="D52" s="459">
        <f>'C.2.2 B 09'!P53</f>
        <v>0</v>
      </c>
    </row>
    <row r="53" spans="1:4" ht="15.75" customHeight="1">
      <c r="A53" s="276">
        <f t="shared" si="0"/>
        <v>41</v>
      </c>
      <c r="B53" s="535">
        <v>8250</v>
      </c>
      <c r="C53" s="289" t="s">
        <v>643</v>
      </c>
      <c r="D53" s="355">
        <f>'C.2.2 B 09'!P54</f>
        <v>13498.232385991532</v>
      </c>
    </row>
    <row r="54" spans="1:4" ht="15.75" customHeight="1">
      <c r="A54" s="276">
        <f t="shared" si="0"/>
        <v>42</v>
      </c>
      <c r="B54" s="532"/>
      <c r="C54" s="288" t="s">
        <v>1034</v>
      </c>
      <c r="D54" s="341">
        <f>SUM(D44:D53)</f>
        <v>242743.06532314696</v>
      </c>
    </row>
    <row r="55" spans="1:4" ht="15.75" customHeight="1">
      <c r="A55" s="276">
        <f t="shared" si="0"/>
        <v>43</v>
      </c>
      <c r="B55" s="532"/>
      <c r="C55" s="66"/>
      <c r="D55" s="354"/>
    </row>
    <row r="56" spans="1:4" ht="15.75" customHeight="1">
      <c r="A56" s="276">
        <f t="shared" si="0"/>
        <v>44</v>
      </c>
      <c r="B56" s="532"/>
      <c r="C56" s="287" t="s">
        <v>1020</v>
      </c>
      <c r="D56" s="354"/>
    </row>
    <row r="57" spans="1:4" ht="15.75" customHeight="1">
      <c r="A57" s="276">
        <f t="shared" si="0"/>
        <v>45</v>
      </c>
      <c r="B57" s="535">
        <v>8310</v>
      </c>
      <c r="C57" s="289" t="s">
        <v>644</v>
      </c>
      <c r="D57" s="495">
        <f>'C.2.2 B 09'!P55</f>
        <v>15144.962592184031</v>
      </c>
    </row>
    <row r="58" spans="1:4" ht="15.75" customHeight="1">
      <c r="A58" s="276">
        <f t="shared" si="0"/>
        <v>46</v>
      </c>
      <c r="B58" s="535">
        <v>8320</v>
      </c>
      <c r="C58" s="289" t="s">
        <v>645</v>
      </c>
      <c r="D58" s="459">
        <v>0</v>
      </c>
    </row>
    <row r="59" spans="1:4" ht="15.75" customHeight="1">
      <c r="A59" s="276">
        <f t="shared" si="0"/>
        <v>47</v>
      </c>
      <c r="B59" s="535">
        <v>8340</v>
      </c>
      <c r="C59" s="289" t="s">
        <v>646</v>
      </c>
      <c r="D59" s="459">
        <f>'C.2.2 B 09'!P56</f>
        <v>11247.78480437396</v>
      </c>
    </row>
    <row r="60" spans="1:4" ht="15.75" customHeight="1">
      <c r="A60" s="276">
        <f t="shared" si="0"/>
        <v>48</v>
      </c>
      <c r="B60" s="535">
        <v>8350</v>
      </c>
      <c r="C60" s="289" t="s">
        <v>647</v>
      </c>
      <c r="D60" s="459">
        <f>'C.2.2 B 09'!P57</f>
        <v>0</v>
      </c>
    </row>
    <row r="61" spans="1:4" ht="15.75" customHeight="1">
      <c r="A61" s="276">
        <f t="shared" si="0"/>
        <v>49</v>
      </c>
      <c r="B61" s="535">
        <v>8360</v>
      </c>
      <c r="C61" s="289" t="s">
        <v>1049</v>
      </c>
      <c r="D61" s="459">
        <f>'C.2.2 B 09'!P58</f>
        <v>0</v>
      </c>
    </row>
    <row r="62" spans="1:4" ht="15.75" customHeight="1">
      <c r="A62" s="276">
        <f t="shared" si="0"/>
        <v>50</v>
      </c>
      <c r="B62" s="535">
        <v>8370</v>
      </c>
      <c r="C62" s="289" t="s">
        <v>1361</v>
      </c>
      <c r="D62" s="459">
        <f>'C.2.2 B 09'!P59</f>
        <v>0</v>
      </c>
    </row>
    <row r="63" spans="1:4" ht="15.75" customHeight="1">
      <c r="A63" s="276">
        <f t="shared" si="0"/>
        <v>51</v>
      </c>
      <c r="B63" s="536" t="s">
        <v>299</v>
      </c>
      <c r="C63" s="289" t="s">
        <v>452</v>
      </c>
      <c r="D63" s="459">
        <f>'C.2.2 B 09'!P60</f>
        <v>133472.94446389066</v>
      </c>
    </row>
    <row r="64" spans="1:4" ht="15.75" customHeight="1">
      <c r="A64" s="276">
        <f t="shared" si="0"/>
        <v>52</v>
      </c>
      <c r="B64" s="532"/>
      <c r="C64" s="288" t="s">
        <v>1035</v>
      </c>
      <c r="D64" s="732">
        <f>SUM(D57:D63)</f>
        <v>159865.69186044866</v>
      </c>
    </row>
    <row r="65" spans="1:7" ht="15.75" customHeight="1">
      <c r="A65" s="276">
        <f t="shared" si="0"/>
        <v>53</v>
      </c>
      <c r="B65" s="532"/>
      <c r="C65" s="66"/>
      <c r="D65" s="354"/>
    </row>
    <row r="66" spans="1:7" ht="15.75" customHeight="1">
      <c r="A66" s="276">
        <f t="shared" si="0"/>
        <v>54</v>
      </c>
      <c r="B66" s="532"/>
      <c r="C66" s="287" t="s">
        <v>1036</v>
      </c>
      <c r="D66" s="354"/>
    </row>
    <row r="67" spans="1:7" ht="15.75" customHeight="1">
      <c r="A67" s="276">
        <f t="shared" si="0"/>
        <v>55</v>
      </c>
      <c r="B67" s="535">
        <v>8500</v>
      </c>
      <c r="C67" s="289" t="s">
        <v>677</v>
      </c>
      <c r="D67" s="495">
        <v>0</v>
      </c>
    </row>
    <row r="68" spans="1:7" ht="15.75" customHeight="1">
      <c r="A68" s="276">
        <f t="shared" si="0"/>
        <v>56</v>
      </c>
      <c r="B68" s="535">
        <v>8520</v>
      </c>
      <c r="C68" s="289" t="s">
        <v>1362</v>
      </c>
      <c r="D68" s="459">
        <f>'C.2.2 B 09'!P61</f>
        <v>0</v>
      </c>
      <c r="G68" s="802"/>
    </row>
    <row r="69" spans="1:7" ht="15.75" customHeight="1">
      <c r="A69" s="276">
        <f t="shared" si="0"/>
        <v>57</v>
      </c>
      <c r="B69" s="535">
        <v>8550</v>
      </c>
      <c r="C69" s="289" t="s">
        <v>1419</v>
      </c>
      <c r="D69" s="459">
        <f>'C.2.2 B 09'!P62</f>
        <v>332.03626380790166</v>
      </c>
      <c r="G69" s="802"/>
    </row>
    <row r="70" spans="1:7" ht="15.75" customHeight="1">
      <c r="A70" s="276">
        <f t="shared" si="0"/>
        <v>58</v>
      </c>
      <c r="B70" s="535">
        <v>8560</v>
      </c>
      <c r="C70" s="289" t="s">
        <v>648</v>
      </c>
      <c r="D70" s="459">
        <f>'C.2.2 B 09'!P63</f>
        <v>252639.51159502778</v>
      </c>
    </row>
    <row r="71" spans="1:7" ht="15.75" customHeight="1">
      <c r="A71" s="276">
        <f t="shared" si="0"/>
        <v>59</v>
      </c>
      <c r="B71" s="535">
        <v>8570</v>
      </c>
      <c r="C71" s="289" t="s">
        <v>649</v>
      </c>
      <c r="D71" s="459">
        <f>'C.2.2 B 09'!P64</f>
        <v>11617.869592657094</v>
      </c>
    </row>
    <row r="72" spans="1:7" ht="15.75" customHeight="1">
      <c r="A72" s="276">
        <f t="shared" si="0"/>
        <v>60</v>
      </c>
      <c r="B72" s="535">
        <v>8590</v>
      </c>
      <c r="C72" s="289" t="s">
        <v>652</v>
      </c>
      <c r="D72" s="459">
        <v>0</v>
      </c>
    </row>
    <row r="73" spans="1:7" ht="15.75" customHeight="1">
      <c r="A73" s="276">
        <f t="shared" si="0"/>
        <v>61</v>
      </c>
      <c r="B73" s="535">
        <v>8600</v>
      </c>
      <c r="C73" s="289" t="s">
        <v>776</v>
      </c>
      <c r="D73" s="355">
        <v>0</v>
      </c>
    </row>
    <row r="74" spans="1:7" ht="15.75" customHeight="1">
      <c r="A74" s="276">
        <f t="shared" si="0"/>
        <v>62</v>
      </c>
      <c r="B74" s="532"/>
      <c r="C74" s="288" t="s">
        <v>1012</v>
      </c>
      <c r="D74" s="341">
        <f>SUM(D67:D73)</f>
        <v>264589.4174514928</v>
      </c>
    </row>
    <row r="75" spans="1:7" ht="15.75" customHeight="1">
      <c r="A75" s="276">
        <f t="shared" si="0"/>
        <v>63</v>
      </c>
      <c r="B75" s="532"/>
      <c r="C75" s="66"/>
      <c r="D75" s="354"/>
    </row>
    <row r="76" spans="1:7" ht="15.75" customHeight="1">
      <c r="A76" s="276">
        <f t="shared" si="0"/>
        <v>64</v>
      </c>
      <c r="B76" s="532"/>
      <c r="C76" s="287" t="s">
        <v>1013</v>
      </c>
      <c r="D76" s="354"/>
    </row>
    <row r="77" spans="1:7" ht="15.75" customHeight="1">
      <c r="A77" s="276">
        <f t="shared" si="0"/>
        <v>65</v>
      </c>
      <c r="B77" s="535">
        <v>8620</v>
      </c>
      <c r="C77" s="289" t="s">
        <v>977</v>
      </c>
      <c r="D77" s="495">
        <v>0</v>
      </c>
    </row>
    <row r="78" spans="1:7" ht="15.75" customHeight="1">
      <c r="A78" s="276">
        <f t="shared" si="0"/>
        <v>66</v>
      </c>
      <c r="B78" s="535">
        <v>8630</v>
      </c>
      <c r="C78" s="289" t="s">
        <v>511</v>
      </c>
      <c r="D78" s="459">
        <f>'C.2.2 B 09'!P65</f>
        <v>2900.0863154740337</v>
      </c>
    </row>
    <row r="79" spans="1:7" ht="15.75" customHeight="1">
      <c r="A79" s="276">
        <f t="shared" si="0"/>
        <v>67</v>
      </c>
      <c r="B79" s="535">
        <v>8640</v>
      </c>
      <c r="C79" s="289" t="s">
        <v>597</v>
      </c>
      <c r="D79" s="459">
        <f>'C.2.2 B 09'!P66</f>
        <v>0</v>
      </c>
    </row>
    <row r="80" spans="1:7" ht="15.75" customHeight="1">
      <c r="A80" s="276">
        <f t="shared" si="0"/>
        <v>68</v>
      </c>
      <c r="B80" s="535">
        <v>8650</v>
      </c>
      <c r="C80" s="289" t="s">
        <v>650</v>
      </c>
      <c r="D80" s="459">
        <f>'C.2.2 B 09'!P67</f>
        <v>395.6378654704647</v>
      </c>
    </row>
    <row r="81" spans="1:5" ht="15.75" customHeight="1">
      <c r="A81" s="276">
        <f t="shared" si="0"/>
        <v>69</v>
      </c>
      <c r="B81" s="535">
        <v>8670</v>
      </c>
      <c r="C81" s="289" t="s">
        <v>651</v>
      </c>
      <c r="D81" s="355">
        <v>0</v>
      </c>
    </row>
    <row r="82" spans="1:5" ht="15.75" customHeight="1">
      <c r="A82" s="276">
        <f t="shared" si="0"/>
        <v>70</v>
      </c>
      <c r="B82" s="532"/>
      <c r="C82" s="288" t="s">
        <v>1014</v>
      </c>
      <c r="D82" s="341">
        <f>SUM(D77:D81)</f>
        <v>3295.7241809444986</v>
      </c>
    </row>
    <row r="83" spans="1:5" ht="15.75" customHeight="1">
      <c r="A83" s="276">
        <f t="shared" si="0"/>
        <v>71</v>
      </c>
      <c r="B83" s="532"/>
      <c r="C83" s="66"/>
      <c r="D83" s="354"/>
    </row>
    <row r="84" spans="1:5" ht="15.75" customHeight="1">
      <c r="A84" s="276">
        <f t="shared" si="0"/>
        <v>72</v>
      </c>
      <c r="B84" s="532"/>
      <c r="C84" s="287" t="s">
        <v>331</v>
      </c>
      <c r="D84" s="458"/>
    </row>
    <row r="85" spans="1:5" ht="15.75" customHeight="1">
      <c r="A85" s="276">
        <f t="shared" ref="A85:A148" si="1">A84+1</f>
        <v>73</v>
      </c>
      <c r="B85" s="531">
        <v>8001</v>
      </c>
      <c r="C85" s="282" t="s">
        <v>874</v>
      </c>
      <c r="D85" s="495">
        <f>'C.2.2 B 09'!P31</f>
        <v>0</v>
      </c>
      <c r="E85" s="313"/>
    </row>
    <row r="86" spans="1:5" ht="15.75" customHeight="1">
      <c r="A86" s="276">
        <f t="shared" si="1"/>
        <v>74</v>
      </c>
      <c r="B86" s="531">
        <v>8010</v>
      </c>
      <c r="C86" s="92" t="s">
        <v>1222</v>
      </c>
      <c r="D86" s="459">
        <f>'C.2.2 B 09'!P32</f>
        <v>73968.876695950108</v>
      </c>
      <c r="E86" s="313"/>
    </row>
    <row r="87" spans="1:5" ht="15.75" customHeight="1">
      <c r="A87" s="276">
        <f t="shared" si="1"/>
        <v>75</v>
      </c>
      <c r="B87" s="531">
        <v>8040</v>
      </c>
      <c r="C87" s="277" t="s">
        <v>307</v>
      </c>
      <c r="D87" s="459">
        <f>'C.2.2 B 09'!P33</f>
        <v>51863463.289276235</v>
      </c>
      <c r="E87" s="313"/>
    </row>
    <row r="88" spans="1:5" ht="15.75" customHeight="1">
      <c r="A88" s="276">
        <f t="shared" si="1"/>
        <v>76</v>
      </c>
      <c r="B88" s="531">
        <v>8045</v>
      </c>
      <c r="C88" s="277" t="s">
        <v>1147</v>
      </c>
      <c r="D88" s="459">
        <v>0</v>
      </c>
      <c r="E88" s="313"/>
    </row>
    <row r="89" spans="1:5" ht="15.75" customHeight="1">
      <c r="A89" s="276">
        <f t="shared" si="1"/>
        <v>77</v>
      </c>
      <c r="B89" s="531">
        <v>8050</v>
      </c>
      <c r="C89" s="282" t="s">
        <v>916</v>
      </c>
      <c r="D89" s="459">
        <f>'C.2.2 B 09'!P34</f>
        <v>-16802.690165322019</v>
      </c>
      <c r="E89" s="313"/>
    </row>
    <row r="90" spans="1:5" ht="15.75" customHeight="1">
      <c r="A90" s="276">
        <f t="shared" si="1"/>
        <v>78</v>
      </c>
      <c r="B90" s="531">
        <v>8051</v>
      </c>
      <c r="C90" s="277" t="s">
        <v>818</v>
      </c>
      <c r="D90" s="459">
        <f>'C.2.2 B 09'!P35</f>
        <v>36547883.56070222</v>
      </c>
      <c r="E90" s="313"/>
    </row>
    <row r="91" spans="1:5" ht="15.75" customHeight="1">
      <c r="A91" s="276">
        <f t="shared" si="1"/>
        <v>79</v>
      </c>
      <c r="B91" s="531">
        <v>8052</v>
      </c>
      <c r="C91" s="277" t="s">
        <v>426</v>
      </c>
      <c r="D91" s="459">
        <f>'C.2.2 B 09'!P36</f>
        <v>19322135.571964119</v>
      </c>
      <c r="E91" s="313"/>
    </row>
    <row r="92" spans="1:5" ht="15.75" customHeight="1">
      <c r="A92" s="276">
        <f t="shared" si="1"/>
        <v>80</v>
      </c>
      <c r="B92" s="531">
        <v>8053</v>
      </c>
      <c r="C92" s="277" t="s">
        <v>842</v>
      </c>
      <c r="D92" s="459">
        <f>'C.2.2 B 09'!P37</f>
        <v>4914402.3401601929</v>
      </c>
      <c r="E92" s="313"/>
    </row>
    <row r="93" spans="1:5" ht="15.75" customHeight="1">
      <c r="A93" s="276">
        <f t="shared" si="1"/>
        <v>81</v>
      </c>
      <c r="B93" s="531">
        <v>8054</v>
      </c>
      <c r="C93" s="277" t="s">
        <v>843</v>
      </c>
      <c r="D93" s="459">
        <f>'C.2.2 B 09'!P38</f>
        <v>3720082.4440469779</v>
      </c>
      <c r="E93" s="313"/>
    </row>
    <row r="94" spans="1:5" ht="15.75" customHeight="1">
      <c r="A94" s="276">
        <f t="shared" si="1"/>
        <v>82</v>
      </c>
      <c r="B94" s="531">
        <v>8057</v>
      </c>
      <c r="C94" s="277" t="s">
        <v>282</v>
      </c>
      <c r="D94" s="459">
        <v>0</v>
      </c>
      <c r="E94" s="313"/>
    </row>
    <row r="95" spans="1:5" ht="15.75" customHeight="1">
      <c r="A95" s="276">
        <f t="shared" si="1"/>
        <v>83</v>
      </c>
      <c r="B95" s="531">
        <v>8058</v>
      </c>
      <c r="C95" s="277" t="s">
        <v>283</v>
      </c>
      <c r="D95" s="459">
        <f>'C.2.2 B 09'!P39</f>
        <v>1061715.060666963</v>
      </c>
      <c r="E95" s="313"/>
    </row>
    <row r="96" spans="1:5" ht="15.75" customHeight="1">
      <c r="A96" s="276">
        <f t="shared" si="1"/>
        <v>84</v>
      </c>
      <c r="B96" s="531">
        <v>8059</v>
      </c>
      <c r="C96" s="277" t="s">
        <v>284</v>
      </c>
      <c r="D96" s="459">
        <f>'C.2.2 B 09'!P40</f>
        <v>-74730667.771736294</v>
      </c>
      <c r="E96" s="313"/>
    </row>
    <row r="97" spans="1:6" ht="15.75" customHeight="1">
      <c r="A97" s="276">
        <f t="shared" si="1"/>
        <v>85</v>
      </c>
      <c r="B97" s="531">
        <v>8060</v>
      </c>
      <c r="C97" s="277" t="s">
        <v>1015</v>
      </c>
      <c r="D97" s="459">
        <f>'C.2.2 B 09'!P41</f>
        <v>1872117.4936615911</v>
      </c>
      <c r="E97" s="313"/>
    </row>
    <row r="98" spans="1:6" ht="15.75" customHeight="1">
      <c r="A98" s="276">
        <f t="shared" si="1"/>
        <v>86</v>
      </c>
      <c r="B98" s="531">
        <v>8081</v>
      </c>
      <c r="C98" s="277" t="s">
        <v>285</v>
      </c>
      <c r="D98" s="459">
        <f>'C.2.2 B 09'!P42</f>
        <v>10862929.794191871</v>
      </c>
      <c r="E98" s="313"/>
    </row>
    <row r="99" spans="1:6" ht="15.75" customHeight="1">
      <c r="A99" s="276">
        <f t="shared" si="1"/>
        <v>87</v>
      </c>
      <c r="B99" s="531">
        <v>8082</v>
      </c>
      <c r="C99" s="277" t="s">
        <v>68</v>
      </c>
      <c r="D99" s="459">
        <f>'C.2.2 B 09'!P43</f>
        <v>-17187952.161440887</v>
      </c>
      <c r="E99" s="313"/>
    </row>
    <row r="100" spans="1:6" ht="15.75" customHeight="1">
      <c r="A100" s="276">
        <f t="shared" si="1"/>
        <v>88</v>
      </c>
      <c r="B100" s="531">
        <v>8110</v>
      </c>
      <c r="C100" s="277" t="s">
        <v>1223</v>
      </c>
      <c r="D100" s="459">
        <v>0</v>
      </c>
      <c r="E100" s="313"/>
    </row>
    <row r="101" spans="1:6" ht="15.75" customHeight="1">
      <c r="A101" s="276">
        <f t="shared" si="1"/>
        <v>89</v>
      </c>
      <c r="B101" s="531">
        <v>8120</v>
      </c>
      <c r="C101" s="277" t="s">
        <v>1031</v>
      </c>
      <c r="D101" s="459">
        <f>'C.2.2 B 09'!P44</f>
        <v>-20204.596324208855</v>
      </c>
      <c r="E101" s="313"/>
    </row>
    <row r="102" spans="1:6" ht="15.75" customHeight="1">
      <c r="A102" s="276">
        <f t="shared" si="1"/>
        <v>90</v>
      </c>
      <c r="B102" s="531">
        <v>8130</v>
      </c>
      <c r="C102" s="277" t="s">
        <v>1031</v>
      </c>
      <c r="D102" s="459">
        <v>0</v>
      </c>
      <c r="E102" s="313"/>
    </row>
    <row r="103" spans="1:6" ht="15.75" customHeight="1">
      <c r="A103" s="276">
        <f t="shared" si="1"/>
        <v>91</v>
      </c>
      <c r="B103" s="531">
        <v>8580</v>
      </c>
      <c r="C103" s="277" t="s">
        <v>1221</v>
      </c>
      <c r="D103" s="355">
        <f>'C.2.2 B 09'!P45</f>
        <v>27262943.169516858</v>
      </c>
      <c r="E103" s="313"/>
      <c r="F103" s="594"/>
    </row>
    <row r="104" spans="1:6" ht="15.75" customHeight="1">
      <c r="A104" s="276">
        <f t="shared" si="1"/>
        <v>92</v>
      </c>
      <c r="B104" s="532"/>
      <c r="C104" s="290" t="s">
        <v>1032</v>
      </c>
      <c r="D104" s="341">
        <f>SUM(D85:D103)</f>
        <v>65546014.381216273</v>
      </c>
      <c r="F104" s="86"/>
    </row>
    <row r="105" spans="1:6" ht="15.75" customHeight="1">
      <c r="A105" s="276">
        <f t="shared" si="1"/>
        <v>93</v>
      </c>
      <c r="B105" s="532"/>
      <c r="D105" s="399"/>
    </row>
    <row r="106" spans="1:6" ht="15.75" customHeight="1">
      <c r="A106" s="276">
        <f t="shared" si="1"/>
        <v>94</v>
      </c>
      <c r="B106" s="532"/>
      <c r="C106" s="287" t="s">
        <v>1059</v>
      </c>
      <c r="D106" s="399"/>
    </row>
    <row r="107" spans="1:6" ht="15.75" customHeight="1">
      <c r="A107" s="276">
        <f t="shared" si="1"/>
        <v>95</v>
      </c>
      <c r="B107" s="531">
        <v>8700</v>
      </c>
      <c r="C107" s="282" t="s">
        <v>653</v>
      </c>
      <c r="D107" s="495">
        <f>'C.2.2 B 09'!P68</f>
        <v>1193064.7758118485</v>
      </c>
    </row>
    <row r="108" spans="1:6" ht="15.75" customHeight="1">
      <c r="A108" s="276">
        <f t="shared" si="1"/>
        <v>96</v>
      </c>
      <c r="B108" s="531">
        <v>8710</v>
      </c>
      <c r="C108" s="282" t="s">
        <v>654</v>
      </c>
      <c r="D108" s="459">
        <f>'C.2.2 B 09'!P69</f>
        <v>1103.2196448664054</v>
      </c>
    </row>
    <row r="109" spans="1:6" ht="15.75" customHeight="1">
      <c r="A109" s="276">
        <f t="shared" si="1"/>
        <v>97</v>
      </c>
      <c r="B109" s="531">
        <v>8711</v>
      </c>
      <c r="C109" s="277" t="s">
        <v>348</v>
      </c>
      <c r="D109" s="459">
        <f>'C.2.2 B 09'!P70</f>
        <v>2544.7323411015291</v>
      </c>
    </row>
    <row r="110" spans="1:6" ht="15.75" customHeight="1">
      <c r="A110" s="276">
        <f t="shared" si="1"/>
        <v>98</v>
      </c>
      <c r="B110" s="531">
        <v>8720</v>
      </c>
      <c r="C110" s="282" t="s">
        <v>969</v>
      </c>
      <c r="D110" s="459">
        <f>'C.2.2 B 09'!P71</f>
        <v>0</v>
      </c>
    </row>
    <row r="111" spans="1:6" ht="15.75" customHeight="1">
      <c r="A111" s="276">
        <f t="shared" si="1"/>
        <v>99</v>
      </c>
      <c r="B111" s="531">
        <v>8740</v>
      </c>
      <c r="C111" s="282" t="s">
        <v>970</v>
      </c>
      <c r="D111" s="459">
        <f>'C.2.2 B 09'!P72</f>
        <v>3300058.753444274</v>
      </c>
    </row>
    <row r="112" spans="1:6" ht="15.75" customHeight="1">
      <c r="A112" s="276">
        <f t="shared" si="1"/>
        <v>100</v>
      </c>
      <c r="B112" s="531">
        <v>8750</v>
      </c>
      <c r="C112" s="282" t="s">
        <v>974</v>
      </c>
      <c r="D112" s="459">
        <f>'C.2.2 B 09'!P73</f>
        <v>478055.06217812601</v>
      </c>
    </row>
    <row r="113" spans="1:4" ht="15.75" customHeight="1">
      <c r="A113" s="276">
        <f t="shared" si="1"/>
        <v>101</v>
      </c>
      <c r="B113" s="531">
        <v>8760</v>
      </c>
      <c r="C113" s="282" t="s">
        <v>975</v>
      </c>
      <c r="D113" s="459">
        <f>'C.2.2 B 09'!P74</f>
        <v>30153.919069219461</v>
      </c>
    </row>
    <row r="114" spans="1:4" ht="15.75" customHeight="1">
      <c r="A114" s="276">
        <f t="shared" si="1"/>
        <v>102</v>
      </c>
      <c r="B114" s="531">
        <v>8770</v>
      </c>
      <c r="C114" s="282" t="s">
        <v>976</v>
      </c>
      <c r="D114" s="459">
        <f>'C.2.2 B 09'!P75</f>
        <v>22074.208092721281</v>
      </c>
    </row>
    <row r="115" spans="1:4" ht="15.75" customHeight="1">
      <c r="A115" s="276">
        <f t="shared" si="1"/>
        <v>103</v>
      </c>
      <c r="B115" s="531">
        <v>8780</v>
      </c>
      <c r="C115" s="282" t="s">
        <v>971</v>
      </c>
      <c r="D115" s="459">
        <f>'C.2.2 B 09'!P76</f>
        <v>934416.13374619116</v>
      </c>
    </row>
    <row r="116" spans="1:4" ht="15.75" customHeight="1">
      <c r="A116" s="276">
        <f t="shared" si="1"/>
        <v>104</v>
      </c>
      <c r="B116" s="531">
        <v>8790</v>
      </c>
      <c r="C116" s="282" t="s">
        <v>972</v>
      </c>
      <c r="D116" s="459">
        <f>'C.2.2 B 09'!P77</f>
        <v>4013.7773096211868</v>
      </c>
    </row>
    <row r="117" spans="1:4" ht="15.75" customHeight="1">
      <c r="A117" s="276">
        <f t="shared" si="1"/>
        <v>105</v>
      </c>
      <c r="B117" s="531">
        <v>8800</v>
      </c>
      <c r="C117" s="282" t="s">
        <v>973</v>
      </c>
      <c r="D117" s="459">
        <f>'C.2.2 B 09'!P78</f>
        <v>149633.49444794879</v>
      </c>
    </row>
    <row r="118" spans="1:4" ht="15.75" customHeight="1">
      <c r="A118" s="276">
        <f t="shared" si="1"/>
        <v>106</v>
      </c>
      <c r="B118" s="531">
        <v>8810</v>
      </c>
      <c r="C118" s="282" t="s">
        <v>776</v>
      </c>
      <c r="D118" s="355">
        <f>'C.2.2 B 09'!P79</f>
        <v>383107.51066346146</v>
      </c>
    </row>
    <row r="119" spans="1:4" ht="15.75" customHeight="1">
      <c r="A119" s="276">
        <f t="shared" si="1"/>
        <v>107</v>
      </c>
      <c r="B119" s="532"/>
      <c r="C119" s="288" t="s">
        <v>665</v>
      </c>
      <c r="D119" s="341">
        <f>SUM(D107:D118)</f>
        <v>6498225.5867493786</v>
      </c>
    </row>
    <row r="120" spans="1:4" ht="15.75" customHeight="1">
      <c r="A120" s="276">
        <f t="shared" si="1"/>
        <v>108</v>
      </c>
      <c r="B120" s="532"/>
      <c r="C120" s="66"/>
      <c r="D120" s="354"/>
    </row>
    <row r="121" spans="1:4" ht="15.75" customHeight="1">
      <c r="A121" s="276">
        <f t="shared" si="1"/>
        <v>109</v>
      </c>
      <c r="B121" s="276"/>
      <c r="C121" s="287" t="s">
        <v>666</v>
      </c>
      <c r="D121" s="458"/>
    </row>
    <row r="122" spans="1:4" ht="15.75" customHeight="1">
      <c r="A122" s="276">
        <f t="shared" si="1"/>
        <v>110</v>
      </c>
      <c r="B122" s="531">
        <v>8850</v>
      </c>
      <c r="C122" s="282" t="s">
        <v>653</v>
      </c>
      <c r="D122" s="495">
        <f>'C.2.2 B 09'!P80</f>
        <v>1623.0670662596563</v>
      </c>
    </row>
    <row r="123" spans="1:4" ht="15.75" customHeight="1">
      <c r="A123" s="276">
        <f t="shared" si="1"/>
        <v>111</v>
      </c>
      <c r="B123" s="531">
        <v>8860</v>
      </c>
      <c r="C123" s="282" t="s">
        <v>977</v>
      </c>
      <c r="D123" s="459">
        <f>'C.2.2 B 09'!P81</f>
        <v>299.69783559778364</v>
      </c>
    </row>
    <row r="124" spans="1:4" ht="15.75" customHeight="1">
      <c r="A124" s="276">
        <f t="shared" si="1"/>
        <v>112</v>
      </c>
      <c r="B124" s="531">
        <v>8870</v>
      </c>
      <c r="C124" s="282" t="s">
        <v>511</v>
      </c>
      <c r="D124" s="459">
        <f>'C.2.2 B 09'!P82</f>
        <v>29454.642555986084</v>
      </c>
    </row>
    <row r="125" spans="1:4" ht="15.75" customHeight="1">
      <c r="A125" s="276">
        <f t="shared" si="1"/>
        <v>113</v>
      </c>
      <c r="B125" s="531">
        <v>8890</v>
      </c>
      <c r="C125" s="282" t="s">
        <v>974</v>
      </c>
      <c r="D125" s="459">
        <f>'C.2.2 B 09'!P83</f>
        <v>36.114656480308867</v>
      </c>
    </row>
    <row r="126" spans="1:4" ht="15.75" customHeight="1">
      <c r="A126" s="276">
        <f t="shared" si="1"/>
        <v>114</v>
      </c>
      <c r="B126" s="531">
        <v>8900</v>
      </c>
      <c r="C126" s="282" t="s">
        <v>975</v>
      </c>
      <c r="D126" s="459">
        <f>'C.2.2 B 09'!P84</f>
        <v>8796.2837416703478</v>
      </c>
    </row>
    <row r="127" spans="1:4" ht="15.75" customHeight="1">
      <c r="A127" s="276">
        <f t="shared" si="1"/>
        <v>115</v>
      </c>
      <c r="B127" s="531">
        <v>8910</v>
      </c>
      <c r="C127" s="282" t="s">
        <v>976</v>
      </c>
      <c r="D127" s="459">
        <f>'C.2.2 B 09'!P85</f>
        <v>4280.7808136643916</v>
      </c>
    </row>
    <row r="128" spans="1:4" ht="15.75" customHeight="1">
      <c r="A128" s="276">
        <f t="shared" si="1"/>
        <v>116</v>
      </c>
      <c r="B128" s="531">
        <v>8920</v>
      </c>
      <c r="C128" s="282" t="s">
        <v>1061</v>
      </c>
      <c r="D128" s="459">
        <f>'C.2.2 B 09'!P86</f>
        <v>101.95075333814162</v>
      </c>
    </row>
    <row r="129" spans="1:5" ht="15.75" customHeight="1">
      <c r="A129" s="276">
        <f t="shared" si="1"/>
        <v>117</v>
      </c>
      <c r="B129" s="531">
        <v>8930</v>
      </c>
      <c r="C129" s="282" t="s">
        <v>978</v>
      </c>
      <c r="D129" s="459">
        <f>'C.2.2 B 09'!P87</f>
        <v>89917.213566702529</v>
      </c>
    </row>
    <row r="130" spans="1:5" ht="15.75" customHeight="1">
      <c r="A130" s="276">
        <f t="shared" si="1"/>
        <v>118</v>
      </c>
      <c r="B130" s="531">
        <v>8940</v>
      </c>
      <c r="C130" s="282" t="s">
        <v>651</v>
      </c>
      <c r="D130" s="459">
        <f>'C.2.2 B 09'!P88</f>
        <v>11082.624415208618</v>
      </c>
    </row>
    <row r="131" spans="1:5" ht="15.75" customHeight="1">
      <c r="A131" s="276">
        <f t="shared" si="1"/>
        <v>119</v>
      </c>
      <c r="B131" s="531">
        <v>8950</v>
      </c>
      <c r="C131" s="282" t="s">
        <v>297</v>
      </c>
      <c r="D131" s="355">
        <v>0</v>
      </c>
    </row>
    <row r="132" spans="1:5" ht="15.75" customHeight="1">
      <c r="A132" s="276">
        <f t="shared" si="1"/>
        <v>120</v>
      </c>
      <c r="B132" s="532"/>
      <c r="C132" s="288" t="s">
        <v>427</v>
      </c>
      <c r="D132" s="341">
        <f>SUM(D122:D131)</f>
        <v>145592.37540490786</v>
      </c>
    </row>
    <row r="133" spans="1:5" ht="15.75" customHeight="1">
      <c r="A133" s="276">
        <f t="shared" si="1"/>
        <v>121</v>
      </c>
      <c r="B133" s="532"/>
      <c r="C133" s="288"/>
      <c r="D133" s="354"/>
    </row>
    <row r="134" spans="1:5" ht="15.75" customHeight="1">
      <c r="A134" s="276">
        <f t="shared" si="1"/>
        <v>122</v>
      </c>
      <c r="B134" s="276"/>
      <c r="C134" s="287" t="s">
        <v>428</v>
      </c>
      <c r="D134" s="458"/>
    </row>
    <row r="135" spans="1:5" ht="15.75" customHeight="1">
      <c r="A135" s="276">
        <f t="shared" si="1"/>
        <v>123</v>
      </c>
      <c r="B135" s="531">
        <v>9010</v>
      </c>
      <c r="C135" s="282" t="s">
        <v>483</v>
      </c>
      <c r="D135" s="495">
        <f>'C.2.2 B 09'!P89</f>
        <v>406.0930132024418</v>
      </c>
    </row>
    <row r="136" spans="1:5" ht="15.75" customHeight="1">
      <c r="A136" s="276">
        <f t="shared" si="1"/>
        <v>124</v>
      </c>
      <c r="B136" s="531">
        <v>9020</v>
      </c>
      <c r="C136" s="282" t="s">
        <v>672</v>
      </c>
      <c r="D136" s="459">
        <f>'C.2.2 B 09'!P90</f>
        <v>1186801.9868062921</v>
      </c>
    </row>
    <row r="137" spans="1:5" ht="15.75" customHeight="1">
      <c r="A137" s="276">
        <f t="shared" si="1"/>
        <v>125</v>
      </c>
      <c r="B137" s="531">
        <v>9030</v>
      </c>
      <c r="C137" s="282" t="s">
        <v>979</v>
      </c>
      <c r="D137" s="459">
        <f>'C.2.2 B 09'!P91</f>
        <v>1660971.6767347548</v>
      </c>
    </row>
    <row r="138" spans="1:5" ht="15.75" customHeight="1">
      <c r="A138" s="276">
        <f t="shared" si="1"/>
        <v>126</v>
      </c>
      <c r="B138" s="531">
        <v>9040</v>
      </c>
      <c r="C138" s="282" t="s">
        <v>673</v>
      </c>
      <c r="D138" s="355">
        <f>'C.2.2 B 09'!P92</f>
        <v>369911.19170000002</v>
      </c>
      <c r="E138" s="580"/>
    </row>
    <row r="139" spans="1:5" ht="15.75" customHeight="1">
      <c r="A139" s="276">
        <f t="shared" si="1"/>
        <v>127</v>
      </c>
      <c r="B139" s="276"/>
      <c r="C139" s="288" t="s">
        <v>549</v>
      </c>
      <c r="D139" s="341">
        <f>SUM(D135:D138)</f>
        <v>3218090.9482542495</v>
      </c>
    </row>
    <row r="140" spans="1:5" ht="15.75" customHeight="1">
      <c r="A140" s="276">
        <f t="shared" si="1"/>
        <v>128</v>
      </c>
      <c r="B140" s="532"/>
      <c r="C140" s="288"/>
      <c r="D140" s="354"/>
    </row>
    <row r="141" spans="1:5" ht="15.75" customHeight="1">
      <c r="A141" s="276">
        <f t="shared" si="1"/>
        <v>129</v>
      </c>
      <c r="B141" s="532"/>
      <c r="C141" s="287" t="s">
        <v>550</v>
      </c>
      <c r="D141" s="399"/>
    </row>
    <row r="142" spans="1:5" ht="15.75" customHeight="1">
      <c r="A142" s="276">
        <f t="shared" si="1"/>
        <v>130</v>
      </c>
      <c r="B142" s="531">
        <v>9070</v>
      </c>
      <c r="C142" s="282" t="s">
        <v>483</v>
      </c>
      <c r="D142" s="495">
        <v>0</v>
      </c>
    </row>
    <row r="143" spans="1:5" ht="15.75" customHeight="1">
      <c r="A143" s="276">
        <f t="shared" si="1"/>
        <v>131</v>
      </c>
      <c r="B143" s="531">
        <v>9080</v>
      </c>
      <c r="C143" s="282" t="s">
        <v>671</v>
      </c>
      <c r="D143" s="459">
        <v>0</v>
      </c>
    </row>
    <row r="144" spans="1:5" ht="15.75" customHeight="1">
      <c r="A144" s="276">
        <f t="shared" si="1"/>
        <v>132</v>
      </c>
      <c r="B144" s="531">
        <v>9090</v>
      </c>
      <c r="C144" s="282" t="s">
        <v>670</v>
      </c>
      <c r="D144" s="459">
        <f>'C.2.2 B 09'!P93</f>
        <v>134412.29365729415</v>
      </c>
    </row>
    <row r="145" spans="1:4" ht="15.75" customHeight="1">
      <c r="A145" s="276">
        <f t="shared" si="1"/>
        <v>133</v>
      </c>
      <c r="B145" s="531">
        <v>9100</v>
      </c>
      <c r="C145" s="282" t="s">
        <v>457</v>
      </c>
      <c r="D145" s="355">
        <f>'C.2.2 B 09'!P94</f>
        <v>0</v>
      </c>
    </row>
    <row r="146" spans="1:4" ht="15.75" customHeight="1">
      <c r="A146" s="276">
        <f t="shared" si="1"/>
        <v>134</v>
      </c>
      <c r="B146" s="276"/>
      <c r="C146" s="288" t="s">
        <v>862</v>
      </c>
      <c r="D146" s="341">
        <f>SUM(D142:D145)</f>
        <v>134412.29365729415</v>
      </c>
    </row>
    <row r="147" spans="1:4" ht="15.75" customHeight="1">
      <c r="A147" s="276">
        <f t="shared" si="1"/>
        <v>135</v>
      </c>
      <c r="B147" s="276"/>
      <c r="C147" s="280"/>
      <c r="D147" s="458"/>
    </row>
    <row r="148" spans="1:4" ht="15.75" customHeight="1">
      <c r="A148" s="276">
        <f t="shared" si="1"/>
        <v>136</v>
      </c>
      <c r="B148" s="276"/>
      <c r="C148" s="287" t="s">
        <v>499</v>
      </c>
      <c r="D148" s="458"/>
    </row>
    <row r="149" spans="1:4" ht="15.75" customHeight="1">
      <c r="A149" s="276">
        <f t="shared" ref="A149:A181" si="2">A148+1</f>
        <v>137</v>
      </c>
      <c r="B149" s="531">
        <v>9110</v>
      </c>
      <c r="C149" s="282" t="s">
        <v>483</v>
      </c>
      <c r="D149" s="495">
        <f>'C.2.2 B 09'!P95</f>
        <v>255129.29012212393</v>
      </c>
    </row>
    <row r="150" spans="1:4" ht="15.75" customHeight="1">
      <c r="A150" s="276">
        <f t="shared" si="2"/>
        <v>138</v>
      </c>
      <c r="B150" s="531">
        <v>9120</v>
      </c>
      <c r="C150" s="282" t="s">
        <v>777</v>
      </c>
      <c r="D150" s="459">
        <f>'C.2.2 B 09'!P96</f>
        <v>117086.30179510081</v>
      </c>
    </row>
    <row r="151" spans="1:4" ht="15.75" customHeight="1">
      <c r="A151" s="276">
        <f t="shared" si="2"/>
        <v>139</v>
      </c>
      <c r="B151" s="531">
        <v>9130</v>
      </c>
      <c r="C151" s="282" t="s">
        <v>859</v>
      </c>
      <c r="D151" s="459">
        <f>'C.2.2 B 09'!P97</f>
        <v>38737.06849407807</v>
      </c>
    </row>
    <row r="152" spans="1:4" ht="15.75" customHeight="1">
      <c r="A152" s="276">
        <f t="shared" si="2"/>
        <v>140</v>
      </c>
      <c r="B152" s="531">
        <v>9160</v>
      </c>
      <c r="C152" s="282" t="s">
        <v>844</v>
      </c>
      <c r="D152" s="355">
        <v>0</v>
      </c>
    </row>
    <row r="153" spans="1:4" ht="15.75" customHeight="1">
      <c r="A153" s="276">
        <f t="shared" si="2"/>
        <v>141</v>
      </c>
      <c r="B153" s="276"/>
      <c r="C153" s="288" t="s">
        <v>1124</v>
      </c>
      <c r="D153" s="341">
        <f>SUM(D149:D152)</f>
        <v>410952.66041130282</v>
      </c>
    </row>
    <row r="154" spans="1:4" ht="15.75" customHeight="1">
      <c r="A154" s="276">
        <f t="shared" si="2"/>
        <v>142</v>
      </c>
      <c r="B154" s="532"/>
      <c r="D154" s="458"/>
    </row>
    <row r="155" spans="1:4" ht="15.75" customHeight="1">
      <c r="A155" s="276">
        <f t="shared" si="2"/>
        <v>143</v>
      </c>
      <c r="B155" s="276"/>
      <c r="C155" s="287" t="s">
        <v>1125</v>
      </c>
      <c r="D155" s="458"/>
    </row>
    <row r="156" spans="1:4" ht="15.75" customHeight="1">
      <c r="A156" s="276">
        <f t="shared" si="2"/>
        <v>144</v>
      </c>
      <c r="B156" s="531">
        <v>9200</v>
      </c>
      <c r="C156" s="282" t="s">
        <v>768</v>
      </c>
      <c r="D156" s="495">
        <f>'C.2.2 B 09'!P98</f>
        <v>141985.19929653441</v>
      </c>
    </row>
    <row r="157" spans="1:4" ht="15.75" customHeight="1">
      <c r="A157" s="276">
        <f t="shared" si="2"/>
        <v>145</v>
      </c>
      <c r="B157" s="531">
        <v>9210</v>
      </c>
      <c r="C157" s="282" t="s">
        <v>769</v>
      </c>
      <c r="D157" s="459">
        <f>'C.2.2 B 09'!P99</f>
        <v>1379.9935257030206</v>
      </c>
    </row>
    <row r="158" spans="1:4" ht="15.75" customHeight="1">
      <c r="A158" s="276">
        <f t="shared" si="2"/>
        <v>146</v>
      </c>
      <c r="B158" s="531">
        <v>9220</v>
      </c>
      <c r="C158" s="282" t="s">
        <v>770</v>
      </c>
      <c r="D158" s="459">
        <f>'C.2.2 B 09'!P100</f>
        <v>13282577.856594393</v>
      </c>
    </row>
    <row r="159" spans="1:4" ht="15.75" customHeight="1">
      <c r="A159" s="276">
        <f t="shared" si="2"/>
        <v>147</v>
      </c>
      <c r="B159" s="531">
        <v>9230</v>
      </c>
      <c r="C159" s="282" t="s">
        <v>771</v>
      </c>
      <c r="D159" s="459">
        <f>'C.2.2 B 09'!P101</f>
        <v>64810.557379835765</v>
      </c>
    </row>
    <row r="160" spans="1:4" ht="15.75" customHeight="1">
      <c r="A160" s="276">
        <f t="shared" si="2"/>
        <v>148</v>
      </c>
      <c r="B160" s="531">
        <v>9240</v>
      </c>
      <c r="C160" s="282" t="s">
        <v>313</v>
      </c>
      <c r="D160" s="459">
        <f>'C.2.2 B 09'!P102</f>
        <v>88982.39662252953</v>
      </c>
    </row>
    <row r="161" spans="1:7" ht="15.75" customHeight="1">
      <c r="A161" s="276">
        <f t="shared" si="2"/>
        <v>149</v>
      </c>
      <c r="B161" s="531">
        <v>9250</v>
      </c>
      <c r="C161" s="282" t="s">
        <v>772</v>
      </c>
      <c r="D161" s="459">
        <f>'C.2.2 B 09'!P103</f>
        <v>18680.978177223515</v>
      </c>
    </row>
    <row r="162" spans="1:7" ht="15.75" customHeight="1">
      <c r="A162" s="276">
        <f t="shared" si="2"/>
        <v>150</v>
      </c>
      <c r="B162" s="531">
        <v>9260</v>
      </c>
      <c r="C162" s="282" t="s">
        <v>774</v>
      </c>
      <c r="D162" s="459">
        <f>'C.2.2 B 09'!P104</f>
        <v>1947365.4299807029</v>
      </c>
    </row>
    <row r="163" spans="1:7" ht="15.75" customHeight="1">
      <c r="A163" s="276">
        <f t="shared" si="2"/>
        <v>151</v>
      </c>
      <c r="B163" s="531">
        <v>9270</v>
      </c>
      <c r="C163" s="282" t="s">
        <v>314</v>
      </c>
      <c r="D163" s="459">
        <f>'C.2.2 B 09'!P105</f>
        <v>6390.3648239198037</v>
      </c>
    </row>
    <row r="164" spans="1:7" ht="15.75" customHeight="1">
      <c r="A164" s="276">
        <f t="shared" si="2"/>
        <v>152</v>
      </c>
      <c r="B164" s="531">
        <v>9280</v>
      </c>
      <c r="C164" s="282" t="s">
        <v>775</v>
      </c>
      <c r="D164" s="459">
        <f>'C.2.2 B 09'!P106</f>
        <v>0</v>
      </c>
    </row>
    <row r="165" spans="1:7" ht="15.75" customHeight="1">
      <c r="A165" s="276">
        <f t="shared" si="2"/>
        <v>153</v>
      </c>
      <c r="B165" s="537">
        <v>930.2</v>
      </c>
      <c r="C165" s="282" t="s">
        <v>315</v>
      </c>
      <c r="D165" s="459">
        <f>'C.2.2 B 09'!P107</f>
        <v>74161.595295544976</v>
      </c>
    </row>
    <row r="166" spans="1:7" ht="15.75" customHeight="1">
      <c r="A166" s="276">
        <f t="shared" si="2"/>
        <v>154</v>
      </c>
      <c r="B166" s="531">
        <v>9310</v>
      </c>
      <c r="C166" s="282" t="s">
        <v>185</v>
      </c>
      <c r="D166" s="494">
        <f>'C.2.2 B 09'!P108</f>
        <v>14287.303404838631</v>
      </c>
    </row>
    <row r="167" spans="1:7" ht="15.75" customHeight="1">
      <c r="A167" s="276">
        <f t="shared" si="2"/>
        <v>155</v>
      </c>
      <c r="B167" s="276"/>
      <c r="C167" s="288" t="s">
        <v>767</v>
      </c>
      <c r="D167" s="341">
        <f>SUM(D156:D166)</f>
        <v>15640621.675101224</v>
      </c>
    </row>
    <row r="168" spans="1:7" ht="15.75" customHeight="1">
      <c r="A168" s="276">
        <f t="shared" si="2"/>
        <v>156</v>
      </c>
      <c r="B168" s="276"/>
      <c r="C168" s="280"/>
      <c r="D168" s="458"/>
    </row>
    <row r="169" spans="1:7" ht="15.75" customHeight="1">
      <c r="A169" s="276">
        <f t="shared" si="2"/>
        <v>157</v>
      </c>
      <c r="B169" s="276"/>
      <c r="C169" s="287" t="s">
        <v>778</v>
      </c>
      <c r="D169" s="458"/>
    </row>
    <row r="170" spans="1:7" ht="15.75" customHeight="1">
      <c r="A170" s="276">
        <f t="shared" si="2"/>
        <v>158</v>
      </c>
      <c r="B170" s="531">
        <v>9320</v>
      </c>
      <c r="C170" s="282" t="s">
        <v>865</v>
      </c>
      <c r="D170" s="494">
        <f>'C.2.2 B 09'!P109</f>
        <v>0</v>
      </c>
    </row>
    <row r="171" spans="1:7" ht="15.75" customHeight="1">
      <c r="A171" s="276">
        <f t="shared" si="2"/>
        <v>159</v>
      </c>
      <c r="B171" s="276"/>
      <c r="C171" s="288" t="s">
        <v>739</v>
      </c>
      <c r="D171" s="496">
        <f>SUM(D170:D170)</f>
        <v>0</v>
      </c>
    </row>
    <row r="172" spans="1:7" ht="15.75" customHeight="1">
      <c r="A172" s="276">
        <f t="shared" si="2"/>
        <v>160</v>
      </c>
      <c r="B172" s="532"/>
      <c r="D172" s="399"/>
    </row>
    <row r="173" spans="1:7" ht="15.75" customHeight="1">
      <c r="A173" s="276">
        <f t="shared" si="2"/>
        <v>161</v>
      </c>
      <c r="B173" s="276"/>
      <c r="C173" s="281" t="s">
        <v>333</v>
      </c>
      <c r="D173" s="497">
        <f>+D38+D42+D54+D64+D74+D82+D104+D119+D132+D139+D146+D153+D167+D171</f>
        <v>92264403.81961064</v>
      </c>
      <c r="G173" s="96"/>
    </row>
    <row r="174" spans="1:7" ht="15.75" customHeight="1">
      <c r="A174" s="276">
        <f t="shared" si="2"/>
        <v>162</v>
      </c>
      <c r="B174" s="532"/>
      <c r="D174" s="399"/>
    </row>
    <row r="175" spans="1:7" ht="15.75" customHeight="1">
      <c r="A175" s="276">
        <f t="shared" si="2"/>
        <v>163</v>
      </c>
      <c r="B175" s="276">
        <v>403</v>
      </c>
      <c r="C175" s="277" t="s">
        <v>675</v>
      </c>
      <c r="D175" s="496">
        <f>SUM('C.2.2 B 09'!P14)</f>
        <v>18849734.532483872</v>
      </c>
    </row>
    <row r="176" spans="1:7" ht="15.75" customHeight="1">
      <c r="A176" s="276">
        <f t="shared" si="2"/>
        <v>164</v>
      </c>
      <c r="B176" s="531">
        <v>4081</v>
      </c>
      <c r="C176" s="277" t="s">
        <v>676</v>
      </c>
      <c r="D176" s="459">
        <f>'C.2.2 B 09'!P16</f>
        <v>4827152.1770496229</v>
      </c>
    </row>
    <row r="177" spans="1:7" ht="15.75" customHeight="1">
      <c r="A177" s="276">
        <f t="shared" si="2"/>
        <v>165</v>
      </c>
      <c r="B177" s="531" t="s">
        <v>740</v>
      </c>
      <c r="C177" s="277" t="s">
        <v>674</v>
      </c>
      <c r="D177" s="355">
        <f>+E!E23</f>
        <v>12654026.412252365</v>
      </c>
      <c r="F177" s="600"/>
      <c r="G177" s="600"/>
    </row>
    <row r="178" spans="1:7" ht="15.75" customHeight="1">
      <c r="A178" s="276">
        <f t="shared" si="2"/>
        <v>166</v>
      </c>
      <c r="B178" s="532"/>
      <c r="D178" s="399"/>
    </row>
    <row r="179" spans="1:7" ht="15.75" customHeight="1">
      <c r="A179" s="276">
        <f t="shared" si="2"/>
        <v>167</v>
      </c>
      <c r="B179" s="283"/>
      <c r="C179" s="277" t="s">
        <v>337</v>
      </c>
      <c r="D179" s="494">
        <f>+D173+SUM(D175:D177)</f>
        <v>128595316.9413965</v>
      </c>
    </row>
    <row r="180" spans="1:7" ht="15.75" customHeight="1">
      <c r="A180" s="276">
        <f t="shared" si="2"/>
        <v>168</v>
      </c>
      <c r="B180" s="284"/>
      <c r="D180" s="399"/>
    </row>
    <row r="181" spans="1:7" ht="15.75" customHeight="1" thickBot="1">
      <c r="A181" s="276">
        <f t="shared" si="2"/>
        <v>169</v>
      </c>
      <c r="B181" s="283"/>
      <c r="C181" s="277" t="s">
        <v>338</v>
      </c>
      <c r="D181" s="678">
        <f>D32-D179</f>
        <v>28117929.939559311</v>
      </c>
    </row>
    <row r="182" spans="1:7" ht="15.75" customHeight="1" thickTop="1">
      <c r="B182" s="291"/>
    </row>
    <row r="183" spans="1:7" ht="15.75" customHeight="1">
      <c r="A183" s="280"/>
      <c r="B183" s="291"/>
    </row>
    <row r="184" spans="1:7" ht="15.75" customHeight="1">
      <c r="B184" s="291"/>
    </row>
    <row r="185" spans="1:7" ht="15.75" customHeight="1">
      <c r="B185" s="291"/>
    </row>
    <row r="186" spans="1:7" ht="15.75" customHeight="1">
      <c r="B186" s="291"/>
    </row>
    <row r="187" spans="1:7" ht="15.75" customHeight="1">
      <c r="B187" s="291"/>
    </row>
    <row r="188" spans="1:7" ht="15.75" customHeight="1">
      <c r="B188" s="291"/>
    </row>
    <row r="189" spans="1:7" ht="15.75" customHeight="1">
      <c r="B189" s="291"/>
    </row>
    <row r="190" spans="1:7" ht="15.75" customHeight="1">
      <c r="B190" s="291"/>
    </row>
    <row r="191" spans="1:7" ht="15.75" customHeight="1">
      <c r="B191" s="284"/>
    </row>
    <row r="192" spans="1:7" ht="15.75" customHeight="1">
      <c r="B192" s="284"/>
    </row>
    <row r="193" spans="2:2" ht="15.75" customHeight="1">
      <c r="B193" s="284"/>
    </row>
    <row r="194" spans="2:2" ht="15.75" customHeight="1">
      <c r="B194" s="284"/>
    </row>
    <row r="195" spans="2:2" ht="15.75" customHeight="1">
      <c r="B195" s="284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4" right="0.67" top="0.62" bottom="1.04" header="0.5" footer="0.5"/>
  <pageSetup scale="93" fitToHeight="15" orientation="portrait" verticalDpi="300" r:id="rId1"/>
  <headerFooter alignWithMargins="0">
    <oddFooter>&amp;RSchedule &amp;A
Page &amp;P of &amp;N</oddFooter>
  </headerFooter>
  <rowBreaks count="1" manualBreakCount="1">
    <brk id="119" max="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J188"/>
  <sheetViews>
    <sheetView view="pageBreakPreview" zoomScale="70" zoomScaleNormal="80" zoomScaleSheetLayoutView="70" workbookViewId="0">
      <pane ySplit="11" topLeftCell="A144" activePane="bottomLeft" state="frozen"/>
      <selection activeCell="B6" sqref="B6"/>
      <selection pane="bottomLeft" activeCell="D171" sqref="D171"/>
    </sheetView>
  </sheetViews>
  <sheetFormatPr defaultColWidth="8.44140625" defaultRowHeight="15"/>
  <cols>
    <col min="1" max="1" width="4.77734375" style="40" customWidth="1"/>
    <col min="2" max="2" width="11.88671875" style="40" customWidth="1"/>
    <col min="3" max="3" width="45.77734375" style="40" customWidth="1"/>
    <col min="4" max="4" width="13.109375" style="40" customWidth="1"/>
    <col min="5" max="5" width="3.77734375" style="40" customWidth="1"/>
    <col min="6" max="6" width="14" style="40" customWidth="1"/>
    <col min="7" max="7" width="11.109375" style="40" customWidth="1"/>
    <col min="8" max="8" width="10.88671875" style="40" customWidth="1"/>
    <col min="9" max="16384" width="8.44140625" style="40"/>
  </cols>
  <sheetData>
    <row r="1" spans="1:8" s="1" customFormat="1">
      <c r="A1" s="1177" t="str">
        <f>'Table of Contents'!A1:C1</f>
        <v>Atmos Energy Corporation, Kentucky/Mid-States Division</v>
      </c>
      <c r="B1" s="1177"/>
      <c r="C1" s="1177"/>
      <c r="D1" s="1177"/>
      <c r="E1" s="598"/>
    </row>
    <row r="2" spans="1:8" s="1" customFormat="1">
      <c r="A2" s="1177" t="str">
        <f>'Table of Contents'!A2:C2</f>
        <v>Kentucky Jurisdiction Case No. 2017-00349</v>
      </c>
      <c r="B2" s="1177"/>
      <c r="C2" s="1177"/>
      <c r="D2" s="1177"/>
      <c r="E2" s="598"/>
    </row>
    <row r="3" spans="1:8" s="1" customFormat="1">
      <c r="A3" s="1177" t="s">
        <v>286</v>
      </c>
      <c r="B3" s="1177"/>
      <c r="C3" s="1177"/>
      <c r="D3" s="1177"/>
      <c r="E3" s="598"/>
    </row>
    <row r="4" spans="1:8">
      <c r="A4" s="1177" t="str">
        <f>'Table of Contents'!A4:C4</f>
        <v>Forecasted Test Period: Twelve Months Ended March 31, 2019</v>
      </c>
      <c r="B4" s="1177"/>
      <c r="C4" s="1177"/>
      <c r="D4" s="1177"/>
      <c r="E4" s="598"/>
    </row>
    <row r="5" spans="1:8">
      <c r="A5" s="187"/>
      <c r="B5" s="187"/>
      <c r="C5" s="30"/>
      <c r="D5" s="30"/>
      <c r="E5" s="30"/>
    </row>
    <row r="6" spans="1:8">
      <c r="A6" s="181" t="s">
        <v>1073</v>
      </c>
      <c r="D6" s="498" t="s">
        <v>1455</v>
      </c>
      <c r="E6" s="498"/>
    </row>
    <row r="7" spans="1:8">
      <c r="A7" s="4" t="str">
        <f>'C.2.1 B'!A7</f>
        <v>Type of Filing:___X____Original________Updated ________Revised</v>
      </c>
      <c r="D7" s="499" t="s">
        <v>718</v>
      </c>
      <c r="E7" s="499"/>
    </row>
    <row r="8" spans="1:8">
      <c r="A8" s="203" t="s">
        <v>369</v>
      </c>
      <c r="B8" s="191"/>
      <c r="C8" s="191"/>
      <c r="D8" s="501" t="str">
        <f>C.1!J9</f>
        <v>Witness: Waller, Martin</v>
      </c>
      <c r="E8" s="601"/>
    </row>
    <row r="9" spans="1:8">
      <c r="D9" s="206"/>
      <c r="E9" s="206"/>
    </row>
    <row r="10" spans="1:8">
      <c r="A10" s="205" t="s">
        <v>94</v>
      </c>
      <c r="B10" s="206" t="s">
        <v>342</v>
      </c>
      <c r="C10" s="205" t="s">
        <v>342</v>
      </c>
      <c r="D10" s="206" t="s">
        <v>994</v>
      </c>
      <c r="E10" s="206"/>
    </row>
    <row r="11" spans="1:8">
      <c r="A11" s="207" t="s">
        <v>100</v>
      </c>
      <c r="B11" s="255" t="s">
        <v>1324</v>
      </c>
      <c r="C11" s="207" t="s">
        <v>218</v>
      </c>
      <c r="D11" s="255" t="s">
        <v>318</v>
      </c>
      <c r="E11" s="602"/>
    </row>
    <row r="12" spans="1:8">
      <c r="D12" s="206" t="s">
        <v>1101</v>
      </c>
      <c r="E12" s="206"/>
    </row>
    <row r="13" spans="1:8">
      <c r="A13" s="206">
        <v>1</v>
      </c>
      <c r="B13" s="221"/>
      <c r="C13" s="41" t="s">
        <v>66</v>
      </c>
    </row>
    <row r="14" spans="1:8">
      <c r="A14" s="206">
        <f>A13+1</f>
        <v>2</v>
      </c>
      <c r="B14" s="206"/>
      <c r="C14" s="41" t="s">
        <v>136</v>
      </c>
      <c r="G14" s="192"/>
      <c r="H14" s="581"/>
    </row>
    <row r="15" spans="1:8">
      <c r="A15" s="206">
        <f t="shared" ref="A15:A81" si="0">A14+1</f>
        <v>3</v>
      </c>
      <c r="B15" s="538">
        <v>4800</v>
      </c>
      <c r="C15" s="292" t="s">
        <v>131</v>
      </c>
      <c r="D15" s="502">
        <f>-'C.2.2-F 09'!P17</f>
        <v>98377919.415192276</v>
      </c>
      <c r="E15" s="502"/>
      <c r="G15" s="192"/>
      <c r="H15" s="192"/>
    </row>
    <row r="16" spans="1:8">
      <c r="A16" s="206">
        <f t="shared" si="0"/>
        <v>4</v>
      </c>
      <c r="B16" s="538">
        <v>4811</v>
      </c>
      <c r="C16" s="292" t="s">
        <v>132</v>
      </c>
      <c r="D16" s="365">
        <f>-'C.2.2-F 09'!P19</f>
        <v>40637063.73720403</v>
      </c>
      <c r="E16" s="365"/>
      <c r="G16" s="192"/>
      <c r="H16" s="192"/>
    </row>
    <row r="17" spans="1:8">
      <c r="A17" s="206">
        <f t="shared" si="0"/>
        <v>5</v>
      </c>
      <c r="B17" s="538">
        <v>4812</v>
      </c>
      <c r="C17" s="292" t="s">
        <v>133</v>
      </c>
      <c r="D17" s="365">
        <f>-'C.2.2-F 09'!P20</f>
        <v>5286755.3393530753</v>
      </c>
      <c r="E17" s="365"/>
      <c r="F17" s="594"/>
      <c r="G17" s="723"/>
      <c r="H17" s="192"/>
    </row>
    <row r="18" spans="1:8">
      <c r="A18" s="206">
        <f t="shared" si="0"/>
        <v>6</v>
      </c>
      <c r="B18" s="538">
        <v>4820</v>
      </c>
      <c r="C18" s="292" t="s">
        <v>785</v>
      </c>
      <c r="D18" s="311">
        <f>-'C.2.2-F 09'!P23</f>
        <v>6847372.3870250378</v>
      </c>
      <c r="E18" s="365"/>
      <c r="F18" s="594"/>
      <c r="G18" s="723"/>
      <c r="H18" s="192"/>
    </row>
    <row r="19" spans="1:8">
      <c r="A19" s="206">
        <f t="shared" si="0"/>
        <v>7</v>
      </c>
      <c r="B19" s="206"/>
      <c r="C19" s="205" t="s">
        <v>1165</v>
      </c>
      <c r="D19" s="307">
        <f>SUM(D15:D18)</f>
        <v>151149110.87877443</v>
      </c>
      <c r="E19" s="307"/>
      <c r="F19" s="594"/>
      <c r="G19" s="723"/>
      <c r="H19" s="192"/>
    </row>
    <row r="20" spans="1:8">
      <c r="A20" s="206">
        <f t="shared" si="0"/>
        <v>8</v>
      </c>
      <c r="B20" s="78"/>
      <c r="D20" s="196"/>
      <c r="E20" s="196"/>
      <c r="F20" s="594"/>
      <c r="G20" s="723"/>
      <c r="H20" s="192"/>
    </row>
    <row r="21" spans="1:8">
      <c r="A21" s="206">
        <f t="shared" si="0"/>
        <v>9</v>
      </c>
      <c r="B21" s="78"/>
      <c r="C21" s="41" t="s">
        <v>65</v>
      </c>
      <c r="D21" s="260"/>
      <c r="E21" s="260"/>
      <c r="F21" s="594"/>
      <c r="G21" s="723"/>
      <c r="H21" s="192"/>
    </row>
    <row r="22" spans="1:8">
      <c r="A22" s="206">
        <f t="shared" si="0"/>
        <v>10</v>
      </c>
      <c r="B22" s="538">
        <v>4870</v>
      </c>
      <c r="C22" s="292" t="s">
        <v>1021</v>
      </c>
      <c r="D22" s="502">
        <f>-'C.2.2-F 09'!P25</f>
        <v>1297964.1796976668</v>
      </c>
      <c r="E22" s="502"/>
      <c r="F22" s="594"/>
      <c r="G22" s="723"/>
      <c r="H22" s="192"/>
    </row>
    <row r="23" spans="1:8">
      <c r="A23" s="206">
        <f t="shared" si="0"/>
        <v>11</v>
      </c>
      <c r="B23" s="538">
        <v>4880</v>
      </c>
      <c r="C23" s="292" t="s">
        <v>1022</v>
      </c>
      <c r="D23" s="365">
        <f>-'C.2.2-F 09'!P26</f>
        <v>806054</v>
      </c>
      <c r="E23" s="365"/>
      <c r="F23" s="594"/>
      <c r="G23" s="723"/>
      <c r="H23" s="192"/>
    </row>
    <row r="24" spans="1:8">
      <c r="A24" s="206">
        <f t="shared" si="0"/>
        <v>12</v>
      </c>
      <c r="B24" s="539" t="s">
        <v>1224</v>
      </c>
      <c r="C24" s="294" t="s">
        <v>64</v>
      </c>
      <c r="D24" s="365">
        <f>-'C.2.2-F 09'!P27</f>
        <v>15202087.192665644</v>
      </c>
      <c r="E24" s="365"/>
      <c r="F24" s="594"/>
      <c r="G24" s="594"/>
      <c r="H24" s="192"/>
    </row>
    <row r="25" spans="1:8">
      <c r="A25" s="206">
        <f t="shared" si="0"/>
        <v>13</v>
      </c>
      <c r="B25" s="538">
        <v>4950</v>
      </c>
      <c r="C25" s="292" t="s">
        <v>668</v>
      </c>
      <c r="D25" s="365">
        <f>-'C.2.2-F 09'!P28</f>
        <v>2274059.6602829527</v>
      </c>
      <c r="E25" s="365"/>
      <c r="F25" s="594"/>
      <c r="G25" s="594"/>
      <c r="H25" s="192"/>
    </row>
    <row r="26" spans="1:8">
      <c r="A26" s="206">
        <f t="shared" si="0"/>
        <v>14</v>
      </c>
      <c r="B26" s="78"/>
      <c r="C26" s="205" t="s">
        <v>1166</v>
      </c>
      <c r="D26" s="677">
        <f>SUM(D22:D25)</f>
        <v>19580165.032646261</v>
      </c>
      <c r="E26" s="307"/>
      <c r="F26" s="594"/>
      <c r="G26" s="723"/>
      <c r="H26" s="192"/>
    </row>
    <row r="27" spans="1:8">
      <c r="A27" s="206">
        <f t="shared" si="0"/>
        <v>15</v>
      </c>
      <c r="B27" s="78"/>
      <c r="D27" s="260"/>
      <c r="E27" s="260"/>
      <c r="F27" s="594"/>
      <c r="G27" s="594"/>
      <c r="H27" s="192"/>
    </row>
    <row r="28" spans="1:8">
      <c r="A28" s="206">
        <f t="shared" si="0"/>
        <v>16</v>
      </c>
      <c r="B28" s="206"/>
      <c r="C28" s="205" t="s">
        <v>67</v>
      </c>
      <c r="D28" s="306">
        <f>D26+D19</f>
        <v>170729275.9114207</v>
      </c>
      <c r="E28" s="306"/>
      <c r="F28" s="594"/>
      <c r="G28" s="723"/>
      <c r="H28" s="192"/>
    </row>
    <row r="29" spans="1:8">
      <c r="A29" s="206">
        <f t="shared" si="0"/>
        <v>17</v>
      </c>
      <c r="B29" s="78"/>
      <c r="D29" s="260"/>
      <c r="E29" s="260"/>
    </row>
    <row r="30" spans="1:8">
      <c r="A30" s="206">
        <f t="shared" si="0"/>
        <v>18</v>
      </c>
      <c r="B30" s="78"/>
      <c r="C30" s="41" t="s">
        <v>306</v>
      </c>
      <c r="D30" s="260"/>
      <c r="E30" s="260"/>
    </row>
    <row r="31" spans="1:8">
      <c r="A31" s="206">
        <f t="shared" si="0"/>
        <v>19</v>
      </c>
      <c r="B31" s="78"/>
      <c r="C31" s="295" t="s">
        <v>667</v>
      </c>
      <c r="D31" s="196"/>
      <c r="E31" s="196"/>
    </row>
    <row r="32" spans="1:8">
      <c r="A32" s="206">
        <f t="shared" si="0"/>
        <v>20</v>
      </c>
      <c r="B32" s="540">
        <v>7560</v>
      </c>
      <c r="C32" s="292" t="s">
        <v>330</v>
      </c>
      <c r="D32" s="365">
        <f>'C.2.2-F 09'!P29</f>
        <v>0</v>
      </c>
      <c r="E32" s="365"/>
    </row>
    <row r="33" spans="1:10">
      <c r="A33" s="206">
        <f t="shared" si="0"/>
        <v>21</v>
      </c>
      <c r="B33" s="534">
        <v>7590</v>
      </c>
      <c r="C33" s="282" t="s">
        <v>1369</v>
      </c>
      <c r="D33" s="594">
        <f>'C.2.2-F 09'!P30</f>
        <v>0</v>
      </c>
      <c r="E33" s="365"/>
    </row>
    <row r="34" spans="1:10">
      <c r="A34" s="206">
        <f t="shared" si="0"/>
        <v>22</v>
      </c>
      <c r="B34" s="78"/>
      <c r="C34" s="262" t="s">
        <v>441</v>
      </c>
      <c r="D34" s="677">
        <f>SUM(D32:D33)</f>
        <v>0</v>
      </c>
      <c r="E34" s="307"/>
      <c r="F34" s="594"/>
      <c r="G34" s="723"/>
    </row>
    <row r="35" spans="1:10">
      <c r="A35" s="206">
        <f t="shared" si="0"/>
        <v>23</v>
      </c>
      <c r="B35" s="78"/>
      <c r="C35" s="181"/>
      <c r="D35" s="310"/>
      <c r="E35" s="310"/>
    </row>
    <row r="36" spans="1:10">
      <c r="A36" s="206">
        <f t="shared" si="0"/>
        <v>24</v>
      </c>
      <c r="B36" s="78"/>
      <c r="C36" s="295" t="s">
        <v>1149</v>
      </c>
      <c r="D36" s="310"/>
      <c r="E36" s="310"/>
    </row>
    <row r="37" spans="1:10">
      <c r="A37" s="206">
        <f t="shared" si="0"/>
        <v>25</v>
      </c>
      <c r="B37" s="540">
        <v>7610</v>
      </c>
      <c r="C37" s="292" t="s">
        <v>1151</v>
      </c>
      <c r="D37" s="503">
        <v>0</v>
      </c>
      <c r="E37" s="502"/>
    </row>
    <row r="38" spans="1:10">
      <c r="A38" s="206">
        <f t="shared" si="0"/>
        <v>26</v>
      </c>
      <c r="B38" s="78"/>
      <c r="C38" s="181"/>
      <c r="D38" s="307">
        <f>SUM(D37)</f>
        <v>0</v>
      </c>
      <c r="E38" s="307"/>
    </row>
    <row r="39" spans="1:10">
      <c r="A39" s="206">
        <f t="shared" si="0"/>
        <v>27</v>
      </c>
      <c r="B39" s="78"/>
      <c r="C39" s="295" t="s">
        <v>1033</v>
      </c>
      <c r="D39" s="196"/>
      <c r="E39" s="196"/>
    </row>
    <row r="40" spans="1:10">
      <c r="A40" s="206">
        <f t="shared" si="0"/>
        <v>28</v>
      </c>
      <c r="B40" s="540">
        <v>8140</v>
      </c>
      <c r="C40" s="292" t="s">
        <v>677</v>
      </c>
      <c r="D40" s="502">
        <f>'C.2.2-F 09'!P46</f>
        <v>0</v>
      </c>
      <c r="E40" s="502"/>
      <c r="J40" s="703"/>
    </row>
    <row r="41" spans="1:10">
      <c r="A41" s="206">
        <f t="shared" si="0"/>
        <v>29</v>
      </c>
      <c r="B41" s="540">
        <v>8150</v>
      </c>
      <c r="C41" s="292" t="s">
        <v>298</v>
      </c>
      <c r="D41" s="365">
        <v>0</v>
      </c>
      <c r="E41" s="195"/>
    </row>
    <row r="42" spans="1:10">
      <c r="A42" s="206">
        <f t="shared" si="0"/>
        <v>30</v>
      </c>
      <c r="B42" s="540">
        <v>8160</v>
      </c>
      <c r="C42" s="292" t="s">
        <v>512</v>
      </c>
      <c r="D42" s="365">
        <f>'C.2.2-F 09'!P47</f>
        <v>135949.79443939595</v>
      </c>
      <c r="E42" s="195"/>
      <c r="J42" s="703"/>
    </row>
    <row r="43" spans="1:10">
      <c r="A43" s="206">
        <f t="shared" si="0"/>
        <v>31</v>
      </c>
      <c r="B43" s="540">
        <v>8170</v>
      </c>
      <c r="C43" s="292" t="s">
        <v>513</v>
      </c>
      <c r="D43" s="365">
        <f>'C.2.2-F 09'!P48</f>
        <v>35014.298425527413</v>
      </c>
      <c r="E43" s="195"/>
      <c r="J43" s="703"/>
    </row>
    <row r="44" spans="1:10">
      <c r="A44" s="206">
        <f t="shared" si="0"/>
        <v>32</v>
      </c>
      <c r="B44" s="540">
        <v>8180</v>
      </c>
      <c r="C44" s="292" t="s">
        <v>145</v>
      </c>
      <c r="D44" s="365">
        <f>'C.2.2-F 09'!P49</f>
        <v>35632.558627513739</v>
      </c>
      <c r="E44" s="195"/>
      <c r="J44" s="703"/>
    </row>
    <row r="45" spans="1:10">
      <c r="A45" s="206">
        <f t="shared" si="0"/>
        <v>33</v>
      </c>
      <c r="B45" s="541">
        <v>8190</v>
      </c>
      <c r="C45" s="246" t="s">
        <v>146</v>
      </c>
      <c r="D45" s="365">
        <f>'C.2.2-F 09'!P50</f>
        <v>1003.4600275190052</v>
      </c>
      <c r="E45" s="195"/>
      <c r="J45" s="703"/>
    </row>
    <row r="46" spans="1:10">
      <c r="A46" s="206">
        <f t="shared" si="0"/>
        <v>34</v>
      </c>
      <c r="B46" s="541">
        <v>8200</v>
      </c>
      <c r="C46" s="246" t="s">
        <v>480</v>
      </c>
      <c r="D46" s="365">
        <f>'C.2.2-F 09'!P51</f>
        <v>3485.0764657941422</v>
      </c>
      <c r="E46" s="195"/>
      <c r="J46" s="703"/>
    </row>
    <row r="47" spans="1:10">
      <c r="A47" s="206">
        <f t="shared" si="0"/>
        <v>35</v>
      </c>
      <c r="B47" s="541">
        <v>8210</v>
      </c>
      <c r="C47" s="246" t="s">
        <v>481</v>
      </c>
      <c r="D47" s="365">
        <f>'C.2.2-F 09'!P52</f>
        <v>25974.027536825721</v>
      </c>
      <c r="E47" s="195"/>
      <c r="J47" s="703"/>
    </row>
    <row r="48" spans="1:10">
      <c r="A48" s="206">
        <f t="shared" si="0"/>
        <v>36</v>
      </c>
      <c r="B48" s="541">
        <v>8240</v>
      </c>
      <c r="C48" s="246" t="s">
        <v>590</v>
      </c>
      <c r="D48" s="365">
        <f>'C.2.2-F 09'!P53</f>
        <v>0</v>
      </c>
      <c r="E48" s="195"/>
      <c r="J48" s="703"/>
    </row>
    <row r="49" spans="1:10">
      <c r="A49" s="206">
        <f t="shared" si="0"/>
        <v>37</v>
      </c>
      <c r="B49" s="541">
        <v>8250</v>
      </c>
      <c r="C49" s="246" t="s">
        <v>643</v>
      </c>
      <c r="D49" s="365">
        <f>'C.2.2-F 09'!P54</f>
        <v>9388.0767464601686</v>
      </c>
      <c r="E49" s="195"/>
      <c r="J49" s="703"/>
    </row>
    <row r="50" spans="1:10">
      <c r="A50" s="206">
        <f t="shared" si="0"/>
        <v>38</v>
      </c>
      <c r="B50" s="78"/>
      <c r="C50" s="262" t="s">
        <v>1034</v>
      </c>
      <c r="D50" s="677">
        <f>SUM(D40:D49)</f>
        <v>246447.29226903612</v>
      </c>
      <c r="E50" s="307"/>
      <c r="F50" s="594"/>
      <c r="G50" s="723"/>
    </row>
    <row r="51" spans="1:10">
      <c r="A51" s="206">
        <f t="shared" si="0"/>
        <v>39</v>
      </c>
      <c r="B51" s="78"/>
      <c r="C51" s="181"/>
      <c r="D51" s="224"/>
      <c r="E51" s="224"/>
    </row>
    <row r="52" spans="1:10">
      <c r="A52" s="206">
        <f t="shared" si="0"/>
        <v>40</v>
      </c>
      <c r="B52" s="78"/>
      <c r="C52" s="295" t="s">
        <v>1020</v>
      </c>
      <c r="D52" s="224"/>
      <c r="E52" s="224"/>
    </row>
    <row r="53" spans="1:10">
      <c r="A53" s="206">
        <f t="shared" si="0"/>
        <v>41</v>
      </c>
      <c r="B53" s="541">
        <v>8310</v>
      </c>
      <c r="C53" s="246" t="s">
        <v>644</v>
      </c>
      <c r="D53" s="502">
        <f>'C.2.2-F 09'!P55</f>
        <v>16248.299941812395</v>
      </c>
      <c r="E53" s="502"/>
      <c r="J53" s="703"/>
    </row>
    <row r="54" spans="1:10">
      <c r="A54" s="206">
        <f t="shared" si="0"/>
        <v>42</v>
      </c>
      <c r="B54" s="541">
        <v>8320</v>
      </c>
      <c r="C54" s="246" t="s">
        <v>645</v>
      </c>
      <c r="D54" s="365">
        <v>0</v>
      </c>
      <c r="E54" s="195"/>
    </row>
    <row r="55" spans="1:10">
      <c r="A55" s="206">
        <f t="shared" si="0"/>
        <v>43</v>
      </c>
      <c r="B55" s="541">
        <v>8340</v>
      </c>
      <c r="C55" s="246" t="s">
        <v>646</v>
      </c>
      <c r="D55" s="365">
        <f>'C.2.2-F 09'!P56</f>
        <v>11889.055414355553</v>
      </c>
      <c r="E55" s="195"/>
      <c r="J55" s="703"/>
    </row>
    <row r="56" spans="1:10">
      <c r="A56" s="206">
        <f t="shared" si="0"/>
        <v>44</v>
      </c>
      <c r="B56" s="541">
        <v>8350</v>
      </c>
      <c r="C56" s="246" t="s">
        <v>647</v>
      </c>
      <c r="D56" s="365">
        <f>'C.2.2-F 09'!P57</f>
        <v>0</v>
      </c>
      <c r="E56" s="195"/>
      <c r="J56" s="703"/>
    </row>
    <row r="57" spans="1:10">
      <c r="A57" s="206">
        <f t="shared" si="0"/>
        <v>45</v>
      </c>
      <c r="B57" s="541">
        <v>8360</v>
      </c>
      <c r="C57" s="246" t="s">
        <v>1049</v>
      </c>
      <c r="D57" s="365">
        <f>'C.2.2-F 09'!P58</f>
        <v>0</v>
      </c>
      <c r="E57" s="195"/>
      <c r="J57" s="703"/>
    </row>
    <row r="58" spans="1:10">
      <c r="A58" s="206">
        <f t="shared" si="0"/>
        <v>46</v>
      </c>
      <c r="B58" s="541">
        <v>8370</v>
      </c>
      <c r="C58" s="246" t="s">
        <v>1361</v>
      </c>
      <c r="D58" s="365">
        <f>'C.2.2-F 09'!P59</f>
        <v>0</v>
      </c>
      <c r="E58" s="195"/>
      <c r="J58" s="703"/>
    </row>
    <row r="59" spans="1:10">
      <c r="A59" s="206">
        <f t="shared" si="0"/>
        <v>47</v>
      </c>
      <c r="B59" s="542" t="s">
        <v>451</v>
      </c>
      <c r="C59" s="246" t="s">
        <v>452</v>
      </c>
      <c r="D59" s="365">
        <f>'C.2.2-F 09'!P60</f>
        <v>130396.67801244168</v>
      </c>
      <c r="E59" s="195"/>
    </row>
    <row r="60" spans="1:10">
      <c r="A60" s="206">
        <f t="shared" si="0"/>
        <v>48</v>
      </c>
      <c r="B60" s="78"/>
      <c r="C60" s="262" t="s">
        <v>1035</v>
      </c>
      <c r="D60" s="677">
        <f>SUM(D53:D59)</f>
        <v>158534.03336860964</v>
      </c>
      <c r="E60" s="502"/>
      <c r="F60" s="594"/>
      <c r="G60" s="723"/>
    </row>
    <row r="61" spans="1:10">
      <c r="A61" s="206">
        <f t="shared" si="0"/>
        <v>49</v>
      </c>
      <c r="B61" s="78"/>
      <c r="C61" s="181"/>
      <c r="D61" s="224"/>
      <c r="E61" s="224"/>
    </row>
    <row r="62" spans="1:10">
      <c r="A62" s="206">
        <f t="shared" si="0"/>
        <v>50</v>
      </c>
      <c r="B62" s="78"/>
      <c r="C62" s="295" t="s">
        <v>1036</v>
      </c>
      <c r="D62" s="224"/>
      <c r="E62" s="224"/>
    </row>
    <row r="63" spans="1:10">
      <c r="A63" s="206">
        <f t="shared" si="0"/>
        <v>51</v>
      </c>
      <c r="B63" s="541">
        <v>8500</v>
      </c>
      <c r="C63" s="246" t="s">
        <v>677</v>
      </c>
      <c r="D63" s="502">
        <v>0</v>
      </c>
      <c r="E63" s="502"/>
      <c r="J63" s="703"/>
    </row>
    <row r="64" spans="1:10">
      <c r="A64" s="206">
        <f t="shared" si="0"/>
        <v>52</v>
      </c>
      <c r="B64" s="541">
        <v>8520</v>
      </c>
      <c r="C64" s="289" t="s">
        <v>1362</v>
      </c>
      <c r="D64" s="365">
        <f>'C.2.2-F 09'!P61</f>
        <v>0</v>
      </c>
      <c r="E64" s="502"/>
      <c r="J64" s="703"/>
    </row>
    <row r="65" spans="1:10">
      <c r="A65" s="206">
        <f t="shared" si="0"/>
        <v>53</v>
      </c>
      <c r="B65" s="541">
        <v>8550</v>
      </c>
      <c r="C65" s="289" t="s">
        <v>1420</v>
      </c>
      <c r="D65" s="365">
        <f>'C.2.2-F 09'!P62</f>
        <v>296.79362192174943</v>
      </c>
      <c r="E65" s="502"/>
      <c r="J65" s="703"/>
    </row>
    <row r="66" spans="1:10">
      <c r="A66" s="206">
        <f t="shared" si="0"/>
        <v>54</v>
      </c>
      <c r="B66" s="541">
        <v>8560</v>
      </c>
      <c r="C66" s="246" t="s">
        <v>648</v>
      </c>
      <c r="D66" s="365">
        <f>'C.2.2-F 09'!P63</f>
        <v>255790.29231455276</v>
      </c>
      <c r="E66" s="195"/>
      <c r="J66" s="703"/>
    </row>
    <row r="67" spans="1:10">
      <c r="A67" s="206">
        <f t="shared" si="0"/>
        <v>55</v>
      </c>
      <c r="B67" s="541">
        <v>8570</v>
      </c>
      <c r="C67" s="246" t="s">
        <v>649</v>
      </c>
      <c r="D67" s="365">
        <f>'C.2.2-F 09'!P64</f>
        <v>11082.066441278794</v>
      </c>
      <c r="E67" s="195"/>
      <c r="J67" s="703"/>
    </row>
    <row r="68" spans="1:10">
      <c r="A68" s="206">
        <f t="shared" si="0"/>
        <v>56</v>
      </c>
      <c r="B68" s="541">
        <v>8590</v>
      </c>
      <c r="C68" s="246" t="s">
        <v>652</v>
      </c>
      <c r="D68" s="195">
        <v>0</v>
      </c>
      <c r="E68" s="195"/>
    </row>
    <row r="69" spans="1:10">
      <c r="A69" s="206">
        <f t="shared" si="0"/>
        <v>57</v>
      </c>
      <c r="B69" s="541">
        <v>8600</v>
      </c>
      <c r="C69" s="246" t="s">
        <v>776</v>
      </c>
      <c r="D69" s="232">
        <v>0</v>
      </c>
      <c r="E69" s="195"/>
    </row>
    <row r="70" spans="1:10">
      <c r="A70" s="206">
        <f t="shared" si="0"/>
        <v>58</v>
      </c>
      <c r="B70" s="78"/>
      <c r="C70" s="262" t="s">
        <v>1012</v>
      </c>
      <c r="D70" s="307">
        <f>SUM(D63:D69)</f>
        <v>267169.15237775329</v>
      </c>
      <c r="E70" s="307"/>
      <c r="F70" s="594"/>
      <c r="G70" s="723"/>
    </row>
    <row r="71" spans="1:10">
      <c r="A71" s="206">
        <f t="shared" si="0"/>
        <v>59</v>
      </c>
      <c r="B71" s="78"/>
      <c r="C71" s="181"/>
      <c r="D71" s="224"/>
      <c r="E71" s="224"/>
    </row>
    <row r="72" spans="1:10">
      <c r="A72" s="206">
        <f t="shared" si="0"/>
        <v>60</v>
      </c>
      <c r="B72" s="78"/>
      <c r="C72" s="295" t="s">
        <v>1013</v>
      </c>
      <c r="D72" s="224"/>
      <c r="E72" s="224"/>
    </row>
    <row r="73" spans="1:10">
      <c r="A73" s="206">
        <f t="shared" si="0"/>
        <v>61</v>
      </c>
      <c r="B73" s="541">
        <v>8620</v>
      </c>
      <c r="C73" s="246" t="s">
        <v>977</v>
      </c>
      <c r="D73" s="502">
        <v>0</v>
      </c>
      <c r="E73" s="502"/>
    </row>
    <row r="74" spans="1:10">
      <c r="A74" s="206">
        <f t="shared" si="0"/>
        <v>62</v>
      </c>
      <c r="B74" s="541">
        <v>8630</v>
      </c>
      <c r="C74" s="246" t="s">
        <v>511</v>
      </c>
      <c r="D74" s="365">
        <f>'C.2.2-F 09'!P65</f>
        <v>3091.2713752093377</v>
      </c>
      <c r="E74" s="195"/>
      <c r="J74" s="703"/>
    </row>
    <row r="75" spans="1:10">
      <c r="A75" s="206">
        <f t="shared" si="0"/>
        <v>63</v>
      </c>
      <c r="B75" s="541">
        <v>8640</v>
      </c>
      <c r="C75" s="246" t="s">
        <v>597</v>
      </c>
      <c r="D75" s="365">
        <f>'C.2.2-F 09'!P66</f>
        <v>0</v>
      </c>
      <c r="E75" s="195"/>
    </row>
    <row r="76" spans="1:10">
      <c r="A76" s="206">
        <f t="shared" si="0"/>
        <v>64</v>
      </c>
      <c r="B76" s="541">
        <v>8650</v>
      </c>
      <c r="C76" s="246" t="s">
        <v>650</v>
      </c>
      <c r="D76" s="365">
        <f>'C.2.2-F 09'!P67</f>
        <v>412.44765735378132</v>
      </c>
      <c r="E76" s="195"/>
      <c r="J76" s="703"/>
    </row>
    <row r="77" spans="1:10">
      <c r="A77" s="206">
        <f t="shared" si="0"/>
        <v>65</v>
      </c>
      <c r="B77" s="541">
        <v>8670</v>
      </c>
      <c r="C77" s="246" t="s">
        <v>651</v>
      </c>
      <c r="D77" s="365">
        <v>0</v>
      </c>
      <c r="E77" s="195"/>
      <c r="J77" s="703"/>
    </row>
    <row r="78" spans="1:10">
      <c r="A78" s="206">
        <f t="shared" si="0"/>
        <v>66</v>
      </c>
      <c r="B78" s="78"/>
      <c r="C78" s="262" t="s">
        <v>1014</v>
      </c>
      <c r="D78" s="677">
        <f>SUM(D73:D77)</f>
        <v>3503.7190325631191</v>
      </c>
      <c r="E78" s="307"/>
      <c r="F78" s="594"/>
      <c r="G78" s="723"/>
    </row>
    <row r="79" spans="1:10">
      <c r="A79" s="206">
        <f t="shared" si="0"/>
        <v>67</v>
      </c>
      <c r="B79" s="78"/>
      <c r="C79" s="181"/>
      <c r="D79" s="224"/>
      <c r="E79" s="224"/>
    </row>
    <row r="80" spans="1:10">
      <c r="A80" s="206">
        <f t="shared" si="0"/>
        <v>68</v>
      </c>
      <c r="B80" s="78"/>
      <c r="C80" s="295" t="s">
        <v>331</v>
      </c>
      <c r="D80" s="260"/>
      <c r="E80" s="260"/>
    </row>
    <row r="81" spans="1:6">
      <c r="A81" s="206">
        <f t="shared" si="0"/>
        <v>69</v>
      </c>
      <c r="B81" s="531">
        <v>8001</v>
      </c>
      <c r="C81" s="282" t="s">
        <v>874</v>
      </c>
      <c r="D81" s="502">
        <f>'C.2.2-F 09'!P31</f>
        <v>0</v>
      </c>
      <c r="E81" s="502"/>
    </row>
    <row r="82" spans="1:6">
      <c r="A82" s="206">
        <f t="shared" ref="A82:A145" si="1">A81+1</f>
        <v>70</v>
      </c>
      <c r="B82" s="531">
        <v>8010</v>
      </c>
      <c r="C82" s="92" t="s">
        <v>1222</v>
      </c>
      <c r="D82" s="195">
        <f>'C.2.2-F 09'!P32</f>
        <v>81272.137245381979</v>
      </c>
      <c r="E82" s="502"/>
    </row>
    <row r="83" spans="1:6">
      <c r="A83" s="206">
        <f t="shared" si="1"/>
        <v>71</v>
      </c>
      <c r="B83" s="538">
        <v>8040</v>
      </c>
      <c r="C83" s="205" t="s">
        <v>307</v>
      </c>
      <c r="D83" s="195">
        <f>'C.2.2-F 09'!P33</f>
        <v>56991987.583865479</v>
      </c>
      <c r="E83" s="195"/>
      <c r="F83" s="195"/>
    </row>
    <row r="84" spans="1:6">
      <c r="A84" s="206">
        <f t="shared" si="1"/>
        <v>72</v>
      </c>
      <c r="B84" s="538">
        <v>8045</v>
      </c>
      <c r="C84" s="205" t="s">
        <v>1147</v>
      </c>
      <c r="D84" s="195">
        <v>0</v>
      </c>
      <c r="E84" s="195"/>
      <c r="F84" s="195"/>
    </row>
    <row r="85" spans="1:6">
      <c r="A85" s="206">
        <f t="shared" si="1"/>
        <v>73</v>
      </c>
      <c r="B85" s="531">
        <v>8050</v>
      </c>
      <c r="C85" s="282" t="s">
        <v>916</v>
      </c>
      <c r="D85" s="195">
        <f>'C.2.2-F 09'!P34</f>
        <v>-17551.962109324333</v>
      </c>
      <c r="E85" s="195"/>
      <c r="F85" s="195"/>
    </row>
    <row r="86" spans="1:6">
      <c r="A86" s="206">
        <f t="shared" si="1"/>
        <v>74</v>
      </c>
      <c r="B86" s="538">
        <v>8051</v>
      </c>
      <c r="C86" s="205" t="s">
        <v>818</v>
      </c>
      <c r="D86" s="195">
        <f>'C.2.2-F 09'!P35</f>
        <v>45436441.511870168</v>
      </c>
      <c r="E86" s="195"/>
      <c r="F86" s="195"/>
    </row>
    <row r="87" spans="1:6">
      <c r="A87" s="206">
        <f t="shared" si="1"/>
        <v>75</v>
      </c>
      <c r="B87" s="538">
        <v>8052</v>
      </c>
      <c r="C87" s="205" t="s">
        <v>426</v>
      </c>
      <c r="D87" s="195">
        <f>'C.2.2-F 09'!P36</f>
        <v>23451444.652359258</v>
      </c>
      <c r="E87" s="195"/>
      <c r="F87" s="195"/>
    </row>
    <row r="88" spans="1:6">
      <c r="A88" s="206">
        <f t="shared" si="1"/>
        <v>76</v>
      </c>
      <c r="B88" s="538">
        <v>8053</v>
      </c>
      <c r="C88" s="205" t="s">
        <v>842</v>
      </c>
      <c r="D88" s="195">
        <f>'C.2.2-F 09'!P37</f>
        <v>6473398.3703446072</v>
      </c>
      <c r="E88" s="195"/>
      <c r="F88" s="195"/>
    </row>
    <row r="89" spans="1:6">
      <c r="A89" s="206">
        <f t="shared" si="1"/>
        <v>77</v>
      </c>
      <c r="B89" s="538">
        <v>8054</v>
      </c>
      <c r="C89" s="205" t="s">
        <v>843</v>
      </c>
      <c r="D89" s="195">
        <f>'C.2.2-F 09'!P38</f>
        <v>4552017.5884690257</v>
      </c>
      <c r="E89" s="195"/>
      <c r="F89" s="195"/>
    </row>
    <row r="90" spans="1:6">
      <c r="A90" s="206">
        <f t="shared" si="1"/>
        <v>78</v>
      </c>
      <c r="B90" s="538">
        <v>8057</v>
      </c>
      <c r="C90" s="205" t="s">
        <v>282</v>
      </c>
      <c r="D90" s="195">
        <v>0</v>
      </c>
      <c r="E90" s="195"/>
      <c r="F90" s="195"/>
    </row>
    <row r="91" spans="1:6">
      <c r="A91" s="206">
        <f t="shared" si="1"/>
        <v>79</v>
      </c>
      <c r="B91" s="538">
        <v>8058</v>
      </c>
      <c r="C91" s="205" t="s">
        <v>283</v>
      </c>
      <c r="D91" s="195">
        <f>'C.2.2-F 09'!P39</f>
        <v>-1182255.0598540921</v>
      </c>
      <c r="E91" s="195"/>
      <c r="F91" s="195"/>
    </row>
    <row r="92" spans="1:6">
      <c r="A92" s="206">
        <f t="shared" si="1"/>
        <v>80</v>
      </c>
      <c r="B92" s="538">
        <v>8059</v>
      </c>
      <c r="C92" s="205" t="s">
        <v>284</v>
      </c>
      <c r="D92" s="195">
        <f>'C.2.2-F 09'!P40</f>
        <v>-92651830.938525483</v>
      </c>
      <c r="E92" s="195"/>
      <c r="F92" s="195"/>
    </row>
    <row r="93" spans="1:6">
      <c r="A93" s="206">
        <f t="shared" si="1"/>
        <v>81</v>
      </c>
      <c r="B93" s="538">
        <v>8060</v>
      </c>
      <c r="C93" s="205" t="s">
        <v>1015</v>
      </c>
      <c r="D93" s="195">
        <f>'C.2.2-F 09'!P41</f>
        <v>6250360.1010106523</v>
      </c>
      <c r="E93" s="195"/>
      <c r="F93" s="195"/>
    </row>
    <row r="94" spans="1:6">
      <c r="A94" s="206">
        <f t="shared" si="1"/>
        <v>82</v>
      </c>
      <c r="B94" s="538">
        <v>8081</v>
      </c>
      <c r="C94" s="205" t="s">
        <v>285</v>
      </c>
      <c r="D94" s="195">
        <f>'C.2.2-F 09'!P42</f>
        <v>15070639.332660321</v>
      </c>
      <c r="E94" s="195"/>
      <c r="F94" s="195"/>
    </row>
    <row r="95" spans="1:6">
      <c r="A95" s="206">
        <f t="shared" si="1"/>
        <v>83</v>
      </c>
      <c r="B95" s="538">
        <v>8082</v>
      </c>
      <c r="C95" s="205" t="s">
        <v>68</v>
      </c>
      <c r="D95" s="195">
        <f>'C.2.2-F 09'!P43</f>
        <v>-17546750.989506993</v>
      </c>
      <c r="E95" s="195"/>
      <c r="F95" s="195"/>
    </row>
    <row r="96" spans="1:6">
      <c r="A96" s="206">
        <f t="shared" si="1"/>
        <v>84</v>
      </c>
      <c r="B96" s="531">
        <v>8110</v>
      </c>
      <c r="C96" s="277" t="s">
        <v>1223</v>
      </c>
      <c r="D96" s="195">
        <v>0</v>
      </c>
      <c r="E96" s="195"/>
      <c r="F96" s="195"/>
    </row>
    <row r="97" spans="1:10">
      <c r="A97" s="206">
        <f t="shared" si="1"/>
        <v>85</v>
      </c>
      <c r="B97" s="538">
        <v>8120</v>
      </c>
      <c r="C97" s="205" t="s">
        <v>1031</v>
      </c>
      <c r="D97" s="195">
        <f>'C.2.2-F 09'!P44</f>
        <v>-21929.820379914829</v>
      </c>
      <c r="E97" s="195"/>
      <c r="F97" s="195"/>
    </row>
    <row r="98" spans="1:10">
      <c r="A98" s="206">
        <f t="shared" si="1"/>
        <v>86</v>
      </c>
      <c r="B98" s="538">
        <v>8130</v>
      </c>
      <c r="C98" s="205" t="s">
        <v>70</v>
      </c>
      <c r="D98" s="195">
        <v>0</v>
      </c>
      <c r="E98" s="195"/>
      <c r="F98" s="195"/>
    </row>
    <row r="99" spans="1:10">
      <c r="A99" s="206">
        <f t="shared" si="1"/>
        <v>87</v>
      </c>
      <c r="B99" s="531">
        <v>8580</v>
      </c>
      <c r="C99" s="277" t="s">
        <v>1221</v>
      </c>
      <c r="D99" s="195">
        <f>'C.2.2-F 09'!P45</f>
        <v>31821874.735359967</v>
      </c>
      <c r="E99" s="195"/>
    </row>
    <row r="100" spans="1:10">
      <c r="A100" s="206">
        <f t="shared" si="1"/>
        <v>88</v>
      </c>
      <c r="B100" s="78"/>
      <c r="C100" s="676" t="s">
        <v>1032</v>
      </c>
      <c r="D100" s="677">
        <f>SUM(D81:D99)</f>
        <v>78709117.242809042</v>
      </c>
      <c r="E100" s="307"/>
      <c r="F100" s="594"/>
      <c r="G100" s="723"/>
    </row>
    <row r="101" spans="1:10">
      <c r="A101" s="206">
        <f t="shared" si="1"/>
        <v>89</v>
      </c>
      <c r="B101" s="78"/>
      <c r="D101" s="196"/>
      <c r="E101" s="196"/>
    </row>
    <row r="102" spans="1:10">
      <c r="A102" s="206">
        <f t="shared" si="1"/>
        <v>90</v>
      </c>
      <c r="B102" s="78"/>
      <c r="C102" s="295" t="s">
        <v>1059</v>
      </c>
      <c r="D102" s="196"/>
      <c r="E102" s="196"/>
    </row>
    <row r="103" spans="1:10">
      <c r="A103" s="206">
        <f t="shared" si="1"/>
        <v>91</v>
      </c>
      <c r="B103" s="538">
        <v>8700</v>
      </c>
      <c r="C103" s="292" t="s">
        <v>653</v>
      </c>
      <c r="D103" s="502">
        <f>'C.2.2-F 09'!P68</f>
        <v>1207940.061616773</v>
      </c>
      <c r="E103" s="502"/>
      <c r="J103" s="703"/>
    </row>
    <row r="104" spans="1:10">
      <c r="A104" s="206">
        <f t="shared" si="1"/>
        <v>92</v>
      </c>
      <c r="B104" s="538">
        <v>8710</v>
      </c>
      <c r="C104" s="292" t="s">
        <v>654</v>
      </c>
      <c r="D104" s="195">
        <f>'C.2.2-F 09'!P69</f>
        <v>986.12287230336733</v>
      </c>
      <c r="E104" s="195"/>
      <c r="J104" s="703"/>
    </row>
    <row r="105" spans="1:10">
      <c r="A105" s="206">
        <f t="shared" si="1"/>
        <v>93</v>
      </c>
      <c r="B105" s="538">
        <v>8711</v>
      </c>
      <c r="C105" s="205" t="s">
        <v>348</v>
      </c>
      <c r="D105" s="195">
        <f>'C.2.2-F 09'!P70</f>
        <v>2669.6805949620798</v>
      </c>
      <c r="E105" s="195"/>
      <c r="J105" s="703"/>
    </row>
    <row r="106" spans="1:10">
      <c r="A106" s="206">
        <f t="shared" si="1"/>
        <v>94</v>
      </c>
      <c r="B106" s="538">
        <v>8720</v>
      </c>
      <c r="C106" s="292" t="s">
        <v>969</v>
      </c>
      <c r="D106" s="195">
        <f>'C.2.2-F 09'!P71</f>
        <v>0</v>
      </c>
      <c r="E106" s="195"/>
    </row>
    <row r="107" spans="1:10">
      <c r="A107" s="206">
        <f t="shared" si="1"/>
        <v>95</v>
      </c>
      <c r="B107" s="538">
        <v>8740</v>
      </c>
      <c r="C107" s="292" t="s">
        <v>970</v>
      </c>
      <c r="D107" s="195">
        <f>'C.2.2-F 09'!P72</f>
        <v>3444977.8442807291</v>
      </c>
      <c r="E107" s="195"/>
      <c r="J107" s="703"/>
    </row>
    <row r="108" spans="1:10">
      <c r="A108" s="206">
        <f t="shared" si="1"/>
        <v>96</v>
      </c>
      <c r="B108" s="538">
        <v>8750</v>
      </c>
      <c r="C108" s="292" t="s">
        <v>974</v>
      </c>
      <c r="D108" s="195">
        <f>'C.2.2-F 09'!P73</f>
        <v>484493.92707599961</v>
      </c>
      <c r="E108" s="195"/>
      <c r="J108" s="703"/>
    </row>
    <row r="109" spans="1:10">
      <c r="A109" s="206">
        <f t="shared" si="1"/>
        <v>97</v>
      </c>
      <c r="B109" s="538">
        <v>8760</v>
      </c>
      <c r="C109" s="292" t="s">
        <v>975</v>
      </c>
      <c r="D109" s="195">
        <f>'C.2.2-F 09'!P74</f>
        <v>30793.343437887364</v>
      </c>
      <c r="E109" s="195"/>
      <c r="J109" s="703"/>
    </row>
    <row r="110" spans="1:10">
      <c r="A110" s="206">
        <f t="shared" si="1"/>
        <v>98</v>
      </c>
      <c r="B110" s="538">
        <v>8770</v>
      </c>
      <c r="C110" s="292" t="s">
        <v>976</v>
      </c>
      <c r="D110" s="195">
        <f>'C.2.2-F 09'!P75</f>
        <v>22312.907654589118</v>
      </c>
      <c r="E110" s="195"/>
      <c r="J110" s="703"/>
    </row>
    <row r="111" spans="1:10">
      <c r="A111" s="206">
        <f t="shared" si="1"/>
        <v>99</v>
      </c>
      <c r="B111" s="538">
        <v>8780</v>
      </c>
      <c r="C111" s="292" t="s">
        <v>971</v>
      </c>
      <c r="D111" s="195">
        <f>'C.2.2-F 09'!P76</f>
        <v>940679.24685626116</v>
      </c>
      <c r="E111" s="195"/>
      <c r="J111" s="703"/>
    </row>
    <row r="112" spans="1:10">
      <c r="A112" s="206">
        <f t="shared" si="1"/>
        <v>100</v>
      </c>
      <c r="B112" s="538">
        <v>8790</v>
      </c>
      <c r="C112" s="292" t="s">
        <v>972</v>
      </c>
      <c r="D112" s="195">
        <f>'C.2.2-F 09'!P77</f>
        <v>4184.3139723859586</v>
      </c>
      <c r="E112" s="195"/>
      <c r="J112" s="703"/>
    </row>
    <row r="113" spans="1:10">
      <c r="A113" s="206">
        <f t="shared" si="1"/>
        <v>101</v>
      </c>
      <c r="B113" s="538">
        <v>8800</v>
      </c>
      <c r="C113" s="292" t="s">
        <v>973</v>
      </c>
      <c r="D113" s="195">
        <f>'C.2.2-F 09'!P78</f>
        <v>145790.61195528042</v>
      </c>
      <c r="E113" s="195"/>
      <c r="J113" s="703"/>
    </row>
    <row r="114" spans="1:10">
      <c r="A114" s="206">
        <f t="shared" si="1"/>
        <v>102</v>
      </c>
      <c r="B114" s="538">
        <v>8810</v>
      </c>
      <c r="C114" s="292" t="s">
        <v>776</v>
      </c>
      <c r="D114" s="195">
        <f>'C.2.2-F 09'!P79</f>
        <v>344254.54247830564</v>
      </c>
      <c r="E114" s="195"/>
      <c r="J114" s="703"/>
    </row>
    <row r="115" spans="1:10">
      <c r="A115" s="206">
        <f t="shared" si="1"/>
        <v>103</v>
      </c>
      <c r="B115" s="78"/>
      <c r="C115" s="262" t="s">
        <v>665</v>
      </c>
      <c r="D115" s="677">
        <f>SUM(D103:D114)</f>
        <v>6629082.602795477</v>
      </c>
      <c r="E115" s="307"/>
      <c r="F115" s="594"/>
      <c r="G115" s="723"/>
    </row>
    <row r="116" spans="1:10">
      <c r="A116" s="206">
        <f t="shared" si="1"/>
        <v>104</v>
      </c>
      <c r="B116" s="78"/>
      <c r="D116" s="196"/>
      <c r="E116" s="196"/>
    </row>
    <row r="117" spans="1:10">
      <c r="A117" s="206">
        <f t="shared" si="1"/>
        <v>105</v>
      </c>
      <c r="B117" s="206"/>
      <c r="C117" s="295" t="s">
        <v>666</v>
      </c>
      <c r="D117" s="260"/>
      <c r="E117" s="260"/>
    </row>
    <row r="118" spans="1:10">
      <c r="A118" s="206">
        <f t="shared" si="1"/>
        <v>106</v>
      </c>
      <c r="B118" s="538">
        <v>8850</v>
      </c>
      <c r="C118" s="292" t="s">
        <v>653</v>
      </c>
      <c r="D118" s="502">
        <f>'C.2.2-F 09'!P80</f>
        <v>1398.5321008175843</v>
      </c>
      <c r="E118" s="502"/>
      <c r="H118" s="703"/>
      <c r="J118" s="703"/>
    </row>
    <row r="119" spans="1:10">
      <c r="A119" s="206">
        <f t="shared" si="1"/>
        <v>107</v>
      </c>
      <c r="B119" s="538">
        <v>8860</v>
      </c>
      <c r="C119" s="292" t="s">
        <v>977</v>
      </c>
      <c r="D119" s="195">
        <f>'C.2.2-F 09'!P81</f>
        <v>308.86009704748483</v>
      </c>
      <c r="E119" s="195"/>
      <c r="H119" s="703"/>
      <c r="J119" s="703"/>
    </row>
    <row r="120" spans="1:10">
      <c r="A120" s="206">
        <f t="shared" si="1"/>
        <v>108</v>
      </c>
      <c r="B120" s="538">
        <v>8870</v>
      </c>
      <c r="C120" s="292" t="s">
        <v>511</v>
      </c>
      <c r="D120" s="195">
        <f>'C.2.2-F 09'!P82</f>
        <v>30023.101548851871</v>
      </c>
      <c r="E120" s="195"/>
      <c r="H120" s="703"/>
      <c r="J120" s="703"/>
    </row>
    <row r="121" spans="1:10">
      <c r="A121" s="206">
        <f t="shared" si="1"/>
        <v>109</v>
      </c>
      <c r="B121" s="538">
        <v>8890</v>
      </c>
      <c r="C121" s="292" t="s">
        <v>974</v>
      </c>
      <c r="D121" s="195">
        <f>'C.2.2-F 09'!P83</f>
        <v>37.649089638392894</v>
      </c>
      <c r="E121" s="195"/>
      <c r="H121" s="703"/>
      <c r="J121" s="703"/>
    </row>
    <row r="122" spans="1:10">
      <c r="A122" s="206">
        <f t="shared" si="1"/>
        <v>110</v>
      </c>
      <c r="B122" s="538">
        <v>8900</v>
      </c>
      <c r="C122" s="292" t="s">
        <v>975</v>
      </c>
      <c r="D122" s="195">
        <f>'C.2.2-F 09'!P84</f>
        <v>9170.0186946386402</v>
      </c>
      <c r="E122" s="195"/>
      <c r="H122" s="703"/>
      <c r="J122" s="703"/>
    </row>
    <row r="123" spans="1:10">
      <c r="A123" s="206">
        <f t="shared" si="1"/>
        <v>111</v>
      </c>
      <c r="B123" s="538">
        <v>8910</v>
      </c>
      <c r="C123" s="292" t="s">
        <v>976</v>
      </c>
      <c r="D123" s="195">
        <f>'C.2.2-F 09'!P85</f>
        <v>4224.8530064507568</v>
      </c>
      <c r="E123" s="195"/>
      <c r="H123" s="703"/>
      <c r="J123" s="703"/>
    </row>
    <row r="124" spans="1:10">
      <c r="A124" s="206">
        <f t="shared" si="1"/>
        <v>112</v>
      </c>
      <c r="B124" s="538">
        <v>8920</v>
      </c>
      <c r="C124" s="292" t="s">
        <v>1061</v>
      </c>
      <c r="D124" s="195">
        <f>'C.2.2-F 09'!P86</f>
        <v>106.28241897364295</v>
      </c>
      <c r="E124" s="195"/>
      <c r="H124" s="703"/>
      <c r="J124" s="703"/>
    </row>
    <row r="125" spans="1:10">
      <c r="A125" s="206">
        <f t="shared" si="1"/>
        <v>113</v>
      </c>
      <c r="B125" s="538">
        <v>8930</v>
      </c>
      <c r="C125" s="292" t="s">
        <v>978</v>
      </c>
      <c r="D125" s="195">
        <f>'C.2.2-F 09'!P87</f>
        <v>90412.683935747889</v>
      </c>
      <c r="E125" s="195"/>
      <c r="H125" s="703"/>
      <c r="J125" s="703"/>
    </row>
    <row r="126" spans="1:10">
      <c r="A126" s="206">
        <f t="shared" si="1"/>
        <v>114</v>
      </c>
      <c r="B126" s="538">
        <v>8940</v>
      </c>
      <c r="C126" s="292" t="s">
        <v>651</v>
      </c>
      <c r="D126" s="195">
        <f>'C.2.2-F 09'!P88</f>
        <v>10779.038586833656</v>
      </c>
      <c r="E126" s="195"/>
      <c r="H126" s="703"/>
      <c r="J126" s="703"/>
    </row>
    <row r="127" spans="1:10">
      <c r="A127" s="206">
        <f t="shared" si="1"/>
        <v>115</v>
      </c>
      <c r="B127" s="543" t="s">
        <v>788</v>
      </c>
      <c r="C127" s="292" t="s">
        <v>297</v>
      </c>
      <c r="D127" s="232">
        <v>0</v>
      </c>
      <c r="E127" s="195"/>
      <c r="H127" s="703"/>
    </row>
    <row r="128" spans="1:10">
      <c r="A128" s="206">
        <f t="shared" si="1"/>
        <v>116</v>
      </c>
      <c r="B128" s="78"/>
      <c r="C128" s="262" t="s">
        <v>427</v>
      </c>
      <c r="D128" s="307">
        <f>SUM(D118:D127)</f>
        <v>146461.01947899992</v>
      </c>
      <c r="E128" s="307"/>
      <c r="F128" s="594"/>
      <c r="G128" s="723"/>
    </row>
    <row r="129" spans="1:10">
      <c r="A129" s="206">
        <f t="shared" si="1"/>
        <v>117</v>
      </c>
      <c r="B129" s="78"/>
      <c r="C129" s="262"/>
      <c r="D129" s="224"/>
      <c r="E129" s="224"/>
    </row>
    <row r="130" spans="1:10">
      <c r="A130" s="206">
        <f t="shared" si="1"/>
        <v>118</v>
      </c>
      <c r="B130" s="206"/>
      <c r="C130" s="295" t="s">
        <v>428</v>
      </c>
      <c r="D130" s="260"/>
      <c r="E130" s="260"/>
    </row>
    <row r="131" spans="1:10">
      <c r="A131" s="206">
        <f t="shared" si="1"/>
        <v>119</v>
      </c>
      <c r="B131" s="538">
        <v>9010</v>
      </c>
      <c r="C131" s="292" t="s">
        <v>483</v>
      </c>
      <c r="D131" s="502">
        <f>'C.2.2-F 09'!P89</f>
        <v>421.11141508071182</v>
      </c>
      <c r="E131" s="502"/>
      <c r="H131" s="703"/>
      <c r="J131" s="703"/>
    </row>
    <row r="132" spans="1:10">
      <c r="A132" s="206">
        <f t="shared" si="1"/>
        <v>120</v>
      </c>
      <c r="B132" s="538">
        <v>9020</v>
      </c>
      <c r="C132" s="292" t="s">
        <v>672</v>
      </c>
      <c r="D132" s="195">
        <f>'C.2.2-F 09'!P90</f>
        <v>1251833.2497718523</v>
      </c>
      <c r="E132" s="195"/>
      <c r="H132" s="703"/>
      <c r="J132" s="703"/>
    </row>
    <row r="133" spans="1:10">
      <c r="A133" s="206">
        <f t="shared" si="1"/>
        <v>121</v>
      </c>
      <c r="B133" s="538">
        <v>9030</v>
      </c>
      <c r="C133" s="292" t="s">
        <v>979</v>
      </c>
      <c r="D133" s="195">
        <f>'C.2.2-F 09'!P91</f>
        <v>1762399.2143104097</v>
      </c>
      <c r="E133" s="195"/>
      <c r="H133" s="703"/>
      <c r="J133" s="703"/>
    </row>
    <row r="134" spans="1:10">
      <c r="A134" s="206">
        <f t="shared" si="1"/>
        <v>122</v>
      </c>
      <c r="B134" s="538">
        <v>9040</v>
      </c>
      <c r="C134" s="292" t="s">
        <v>673</v>
      </c>
      <c r="D134" s="195">
        <f>'C.2.2-F 09'!P92</f>
        <v>362112.25893361459</v>
      </c>
      <c r="E134" s="195"/>
      <c r="H134" s="703"/>
      <c r="J134" s="703"/>
    </row>
    <row r="135" spans="1:10">
      <c r="A135" s="206">
        <f t="shared" si="1"/>
        <v>123</v>
      </c>
      <c r="B135" s="206"/>
      <c r="C135" s="262" t="s">
        <v>549</v>
      </c>
      <c r="D135" s="677">
        <f>SUM(D131:D134)</f>
        <v>3376765.8344309572</v>
      </c>
      <c r="E135" s="307"/>
      <c r="F135" s="594"/>
      <c r="G135" s="723"/>
      <c r="H135" s="703"/>
    </row>
    <row r="136" spans="1:10">
      <c r="A136" s="206">
        <f t="shared" si="1"/>
        <v>124</v>
      </c>
      <c r="B136" s="78"/>
      <c r="D136" s="196"/>
      <c r="E136" s="196"/>
    </row>
    <row r="137" spans="1:10">
      <c r="A137" s="206">
        <f t="shared" si="1"/>
        <v>125</v>
      </c>
      <c r="B137" s="78"/>
      <c r="C137" s="295" t="s">
        <v>550</v>
      </c>
      <c r="D137" s="196"/>
      <c r="E137" s="196"/>
    </row>
    <row r="138" spans="1:10">
      <c r="A138" s="206">
        <f t="shared" si="1"/>
        <v>126</v>
      </c>
      <c r="B138" s="538">
        <v>9070</v>
      </c>
      <c r="C138" s="292" t="s">
        <v>483</v>
      </c>
      <c r="D138" s="502">
        <v>0</v>
      </c>
      <c r="E138" s="502"/>
      <c r="H138" s="703"/>
      <c r="J138" s="703"/>
    </row>
    <row r="139" spans="1:10">
      <c r="A139" s="206">
        <f t="shared" si="1"/>
        <v>127</v>
      </c>
      <c r="B139" s="538">
        <v>9080</v>
      </c>
      <c r="C139" s="292" t="s">
        <v>671</v>
      </c>
      <c r="D139" s="195">
        <v>0</v>
      </c>
      <c r="E139" s="195"/>
      <c r="H139" s="703"/>
      <c r="J139" s="703"/>
    </row>
    <row r="140" spans="1:10">
      <c r="A140" s="206">
        <f t="shared" si="1"/>
        <v>128</v>
      </c>
      <c r="B140" s="538">
        <v>9090</v>
      </c>
      <c r="C140" s="292" t="s">
        <v>670</v>
      </c>
      <c r="D140" s="195">
        <f>'C.2.2-F 09'!P93</f>
        <v>133613.60616766004</v>
      </c>
      <c r="E140" s="195"/>
      <c r="H140" s="703"/>
      <c r="J140" s="703"/>
    </row>
    <row r="141" spans="1:10">
      <c r="A141" s="206">
        <f t="shared" si="1"/>
        <v>129</v>
      </c>
      <c r="B141" s="538">
        <v>9100</v>
      </c>
      <c r="C141" s="292" t="s">
        <v>457</v>
      </c>
      <c r="D141" s="195">
        <f>'C.2.2-F 09'!P94</f>
        <v>0</v>
      </c>
      <c r="E141" s="195"/>
      <c r="H141" s="703"/>
      <c r="J141" s="703"/>
    </row>
    <row r="142" spans="1:10">
      <c r="A142" s="206">
        <f t="shared" si="1"/>
        <v>130</v>
      </c>
      <c r="B142" s="206"/>
      <c r="C142" s="262" t="s">
        <v>862</v>
      </c>
      <c r="D142" s="677">
        <f>SUM(D138:D141)</f>
        <v>133613.60616766004</v>
      </c>
      <c r="E142" s="307"/>
      <c r="F142" s="594"/>
      <c r="G142" s="723"/>
    </row>
    <row r="143" spans="1:10">
      <c r="A143" s="206">
        <f t="shared" si="1"/>
        <v>131</v>
      </c>
      <c r="B143" s="206"/>
      <c r="C143" s="262"/>
      <c r="D143" s="224"/>
      <c r="E143" s="224"/>
    </row>
    <row r="144" spans="1:10">
      <c r="A144" s="206">
        <f t="shared" si="1"/>
        <v>132</v>
      </c>
      <c r="B144" s="206"/>
      <c r="C144" s="295" t="s">
        <v>499</v>
      </c>
      <c r="D144" s="260"/>
      <c r="E144" s="260"/>
    </row>
    <row r="145" spans="1:10">
      <c r="A145" s="206">
        <f t="shared" si="1"/>
        <v>133</v>
      </c>
      <c r="B145" s="538">
        <v>9110</v>
      </c>
      <c r="C145" s="292" t="s">
        <v>483</v>
      </c>
      <c r="D145" s="502">
        <f>'C.2.2-F 09'!P95</f>
        <v>266961.66291167575</v>
      </c>
      <c r="E145" s="502"/>
      <c r="H145" s="703"/>
      <c r="J145" s="703"/>
    </row>
    <row r="146" spans="1:10">
      <c r="A146" s="206">
        <f t="shared" ref="A146:A177" si="2">A145+1</f>
        <v>134</v>
      </c>
      <c r="B146" s="538">
        <v>9120</v>
      </c>
      <c r="C146" s="292" t="s">
        <v>777</v>
      </c>
      <c r="D146" s="195">
        <f>'C.2.2-F 09'!P96</f>
        <v>131289.94335798768</v>
      </c>
      <c r="E146" s="195"/>
      <c r="H146" s="703"/>
      <c r="J146" s="703"/>
    </row>
    <row r="147" spans="1:10">
      <c r="A147" s="206">
        <f t="shared" si="2"/>
        <v>135</v>
      </c>
      <c r="B147" s="538">
        <v>9130</v>
      </c>
      <c r="C147" s="292" t="s">
        <v>859</v>
      </c>
      <c r="D147" s="195">
        <f>'C.2.2-F 09'!P97</f>
        <v>45483.023228428916</v>
      </c>
      <c r="E147" s="195"/>
      <c r="H147" s="703"/>
      <c r="J147" s="703"/>
    </row>
    <row r="148" spans="1:10">
      <c r="A148" s="206">
        <f t="shared" si="2"/>
        <v>136</v>
      </c>
      <c r="B148" s="538">
        <v>9160</v>
      </c>
      <c r="C148" s="292" t="s">
        <v>844</v>
      </c>
      <c r="D148" s="195">
        <v>0</v>
      </c>
      <c r="E148" s="195"/>
      <c r="H148" s="703"/>
      <c r="J148" s="703"/>
    </row>
    <row r="149" spans="1:10">
      <c r="A149" s="206">
        <f t="shared" si="2"/>
        <v>137</v>
      </c>
      <c r="B149" s="206"/>
      <c r="C149" s="262" t="s">
        <v>1124</v>
      </c>
      <c r="D149" s="677">
        <f>SUM(D145:D148)</f>
        <v>443734.62949809234</v>
      </c>
      <c r="E149" s="307"/>
      <c r="F149" s="594"/>
      <c r="G149" s="723"/>
    </row>
    <row r="150" spans="1:10">
      <c r="A150" s="206">
        <f t="shared" si="2"/>
        <v>138</v>
      </c>
      <c r="B150" s="78"/>
      <c r="D150" s="260"/>
      <c r="E150" s="260"/>
    </row>
    <row r="151" spans="1:10">
      <c r="A151" s="206">
        <f t="shared" si="2"/>
        <v>139</v>
      </c>
      <c r="B151" s="206"/>
      <c r="C151" s="295" t="s">
        <v>1125</v>
      </c>
      <c r="D151" s="260"/>
      <c r="E151" s="260"/>
      <c r="H151" s="703"/>
    </row>
    <row r="152" spans="1:10">
      <c r="A152" s="206">
        <f t="shared" si="2"/>
        <v>140</v>
      </c>
      <c r="B152" s="538">
        <v>9200</v>
      </c>
      <c r="C152" s="292" t="s">
        <v>768</v>
      </c>
      <c r="D152" s="307">
        <f>'C.2.2-F 09'!P98</f>
        <v>142767.57962510464</v>
      </c>
      <c r="E152" s="502"/>
      <c r="H152" s="703"/>
      <c r="J152" s="703"/>
    </row>
    <row r="153" spans="1:10">
      <c r="A153" s="206">
        <f t="shared" si="2"/>
        <v>141</v>
      </c>
      <c r="B153" s="538">
        <v>9210</v>
      </c>
      <c r="C153" s="292" t="s">
        <v>769</v>
      </c>
      <c r="D153" s="195">
        <f>'C.2.2-F 09'!P99</f>
        <v>3248.5906297654274</v>
      </c>
      <c r="E153" s="195"/>
      <c r="H153" s="703"/>
      <c r="J153" s="703"/>
    </row>
    <row r="154" spans="1:10">
      <c r="A154" s="206">
        <f t="shared" si="2"/>
        <v>142</v>
      </c>
      <c r="B154" s="538">
        <v>9220</v>
      </c>
      <c r="C154" s="292" t="s">
        <v>770</v>
      </c>
      <c r="D154" s="195">
        <f>'C.2.2-F 09'!P100</f>
        <v>13586874.53939366</v>
      </c>
      <c r="E154" s="195"/>
      <c r="H154" s="703"/>
      <c r="J154" s="703"/>
    </row>
    <row r="155" spans="1:10">
      <c r="A155" s="206">
        <f t="shared" si="2"/>
        <v>143</v>
      </c>
      <c r="B155" s="538">
        <v>9230</v>
      </c>
      <c r="C155" s="292" t="s">
        <v>771</v>
      </c>
      <c r="D155" s="195">
        <f>'C.2.2-F 09'!P101</f>
        <v>69849.535966556228</v>
      </c>
      <c r="E155" s="195"/>
      <c r="H155" s="703"/>
      <c r="J155" s="703"/>
    </row>
    <row r="156" spans="1:10">
      <c r="A156" s="206">
        <f t="shared" si="2"/>
        <v>144</v>
      </c>
      <c r="B156" s="538">
        <v>9240</v>
      </c>
      <c r="C156" s="292" t="s">
        <v>313</v>
      </c>
      <c r="D156" s="195">
        <f>'C.2.2-F 09'!P102</f>
        <v>5559.6807405956506</v>
      </c>
      <c r="E156" s="195"/>
      <c r="H156" s="703"/>
      <c r="J156" s="703"/>
    </row>
    <row r="157" spans="1:10">
      <c r="A157" s="206">
        <f t="shared" si="2"/>
        <v>145</v>
      </c>
      <c r="B157" s="538">
        <v>9250</v>
      </c>
      <c r="C157" s="292" t="s">
        <v>772</v>
      </c>
      <c r="D157" s="195">
        <f>'C.2.2-F 09'!P103</f>
        <v>17941.386899079786</v>
      </c>
      <c r="E157" s="195"/>
      <c r="H157" s="703"/>
      <c r="J157" s="703"/>
    </row>
    <row r="158" spans="1:10">
      <c r="A158" s="206">
        <f t="shared" si="2"/>
        <v>146</v>
      </c>
      <c r="B158" s="538">
        <v>9260</v>
      </c>
      <c r="C158" s="292" t="s">
        <v>774</v>
      </c>
      <c r="D158" s="195">
        <f>'C.2.2-F 09'!P104</f>
        <v>1843199.3610297418</v>
      </c>
      <c r="E158" s="195"/>
      <c r="H158" s="703"/>
      <c r="J158" s="703"/>
    </row>
    <row r="159" spans="1:10">
      <c r="A159" s="206">
        <f t="shared" si="2"/>
        <v>147</v>
      </c>
      <c r="B159" s="538">
        <v>9270</v>
      </c>
      <c r="C159" s="292" t="s">
        <v>314</v>
      </c>
      <c r="D159" s="195">
        <f>'C.2.2-F 09'!P105</f>
        <v>1483.0356442416694</v>
      </c>
      <c r="E159" s="195"/>
      <c r="H159" s="703"/>
      <c r="J159" s="703"/>
    </row>
    <row r="160" spans="1:10">
      <c r="A160" s="206">
        <f t="shared" si="2"/>
        <v>148</v>
      </c>
      <c r="B160" s="538">
        <v>9280</v>
      </c>
      <c r="C160" s="292" t="s">
        <v>775</v>
      </c>
      <c r="D160" s="195">
        <f>'C.2.2-F 09'!P106</f>
        <v>0</v>
      </c>
      <c r="E160" s="195"/>
      <c r="H160" s="703"/>
      <c r="J160" s="703"/>
    </row>
    <row r="161" spans="1:10">
      <c r="A161" s="206">
        <f t="shared" si="2"/>
        <v>149</v>
      </c>
      <c r="B161" s="544">
        <v>930.2</v>
      </c>
      <c r="C161" s="292" t="s">
        <v>315</v>
      </c>
      <c r="D161" s="195">
        <f>'C.2.2-F 09'!P107</f>
        <v>49700.901303923936</v>
      </c>
      <c r="E161" s="195"/>
      <c r="H161" s="703"/>
      <c r="J161" s="703"/>
    </row>
    <row r="162" spans="1:10">
      <c r="A162" s="206">
        <f t="shared" si="2"/>
        <v>150</v>
      </c>
      <c r="B162" s="531">
        <v>9310</v>
      </c>
      <c r="C162" s="282" t="s">
        <v>185</v>
      </c>
      <c r="D162" s="195">
        <f>'C.2.2-F 09'!P108</f>
        <v>12770.835559908166</v>
      </c>
      <c r="E162" s="195"/>
      <c r="H162" s="703"/>
      <c r="J162" s="703"/>
    </row>
    <row r="163" spans="1:10">
      <c r="A163" s="206">
        <f t="shared" si="2"/>
        <v>151</v>
      </c>
      <c r="B163" s="206"/>
      <c r="C163" s="262" t="s">
        <v>767</v>
      </c>
      <c r="D163" s="677">
        <f>SUM(D152:D162)</f>
        <v>15733395.446792578</v>
      </c>
      <c r="E163" s="307"/>
      <c r="F163" s="594"/>
      <c r="G163" s="723"/>
    </row>
    <row r="164" spans="1:10">
      <c r="A164" s="206">
        <f t="shared" si="2"/>
        <v>152</v>
      </c>
      <c r="B164" s="206"/>
      <c r="C164" s="221"/>
      <c r="D164" s="260"/>
      <c r="E164" s="260"/>
      <c r="H164" s="703"/>
    </row>
    <row r="165" spans="1:10">
      <c r="A165" s="206">
        <f t="shared" si="2"/>
        <v>153</v>
      </c>
      <c r="B165" s="206"/>
      <c r="C165" s="295" t="s">
        <v>778</v>
      </c>
      <c r="D165" s="260"/>
      <c r="E165" s="260"/>
      <c r="H165" s="703"/>
    </row>
    <row r="166" spans="1:10">
      <c r="A166" s="206">
        <f t="shared" si="2"/>
        <v>154</v>
      </c>
      <c r="B166" s="538">
        <v>9320</v>
      </c>
      <c r="C166" s="292" t="s">
        <v>779</v>
      </c>
      <c r="D166" s="232">
        <f>'C.2.2-F 09'!P109</f>
        <v>0</v>
      </c>
      <c r="E166" s="195"/>
      <c r="H166" s="703"/>
    </row>
    <row r="167" spans="1:10">
      <c r="A167" s="206">
        <f t="shared" si="2"/>
        <v>155</v>
      </c>
      <c r="B167" s="206"/>
      <c r="C167" s="262" t="s">
        <v>739</v>
      </c>
      <c r="D167" s="504">
        <f>SUM(D166:D166)</f>
        <v>0</v>
      </c>
      <c r="E167" s="504"/>
      <c r="H167" s="703"/>
    </row>
    <row r="168" spans="1:10">
      <c r="A168" s="206">
        <f t="shared" si="2"/>
        <v>156</v>
      </c>
      <c r="B168" s="78"/>
      <c r="D168" s="196"/>
      <c r="E168" s="196"/>
      <c r="H168" s="703"/>
    </row>
    <row r="169" spans="1:10">
      <c r="A169" s="206">
        <f t="shared" si="2"/>
        <v>157</v>
      </c>
      <c r="B169" s="206"/>
      <c r="C169" s="41" t="s">
        <v>333</v>
      </c>
      <c r="D169" s="307">
        <f>+D34+D50+D60+D70+D78+D100+D115+D128+D135+D142+D149+D163+D167</f>
        <v>105847824.57902078</v>
      </c>
      <c r="E169" s="307"/>
      <c r="H169" s="703"/>
      <c r="I169" s="62"/>
    </row>
    <row r="170" spans="1:10">
      <c r="A170" s="206">
        <f t="shared" si="2"/>
        <v>158</v>
      </c>
      <c r="B170" s="78"/>
      <c r="D170" s="196"/>
      <c r="E170" s="196"/>
      <c r="H170" s="703"/>
    </row>
    <row r="171" spans="1:10">
      <c r="A171" s="206">
        <f t="shared" si="2"/>
        <v>159</v>
      </c>
      <c r="B171" s="206" t="s">
        <v>316</v>
      </c>
      <c r="C171" s="205" t="s">
        <v>675</v>
      </c>
      <c r="D171" s="502">
        <f>'C.2.2-F 09'!P14+'C.2.2-F 09'!P15</f>
        <v>21502805.8261499</v>
      </c>
      <c r="E171" s="502"/>
      <c r="F171" s="594"/>
      <c r="G171" s="723"/>
      <c r="H171" s="703"/>
    </row>
    <row r="172" spans="1:10">
      <c r="A172" s="206">
        <f t="shared" si="2"/>
        <v>160</v>
      </c>
      <c r="B172" s="538">
        <v>4081</v>
      </c>
      <c r="C172" s="205" t="s">
        <v>676</v>
      </c>
      <c r="D172" s="195">
        <f>'C.2.2-F 09'!P16</f>
        <v>6550583.127082617</v>
      </c>
      <c r="E172" s="195"/>
      <c r="F172" s="594"/>
      <c r="G172" s="723"/>
      <c r="H172" s="703"/>
    </row>
    <row r="173" spans="1:10">
      <c r="A173" s="206">
        <f t="shared" si="2"/>
        <v>161</v>
      </c>
      <c r="B173" s="538">
        <v>4091</v>
      </c>
      <c r="C173" s="205" t="s">
        <v>674</v>
      </c>
      <c r="D173" s="195">
        <f>'C.2.2-F 09'!P12</f>
        <v>11001436.474629989</v>
      </c>
      <c r="E173" s="195"/>
      <c r="F173" s="594"/>
      <c r="G173" s="723"/>
    </row>
    <row r="174" spans="1:10">
      <c r="A174" s="206">
        <f t="shared" si="2"/>
        <v>162</v>
      </c>
      <c r="B174" s="233"/>
      <c r="D174" s="196"/>
      <c r="E174" s="196"/>
    </row>
    <row r="175" spans="1:10">
      <c r="A175" s="206">
        <f t="shared" si="2"/>
        <v>163</v>
      </c>
      <c r="B175" s="293"/>
      <c r="C175" s="205" t="s">
        <v>332</v>
      </c>
      <c r="D175" s="503">
        <f>+D169+SUM(D171:D173)</f>
        <v>144902650.00688329</v>
      </c>
      <c r="E175" s="502"/>
    </row>
    <row r="176" spans="1:10">
      <c r="A176" s="206">
        <f t="shared" si="2"/>
        <v>164</v>
      </c>
      <c r="B176" s="233"/>
      <c r="D176" s="196"/>
      <c r="E176" s="196"/>
    </row>
    <row r="177" spans="1:5" ht="15.75" thickBot="1">
      <c r="A177" s="206">
        <f t="shared" si="2"/>
        <v>165</v>
      </c>
      <c r="B177" s="293"/>
      <c r="C177" s="205" t="s">
        <v>349</v>
      </c>
      <c r="D177" s="545">
        <f>(D28-D175)</f>
        <v>25826625.90453741</v>
      </c>
      <c r="E177" s="502"/>
    </row>
    <row r="178" spans="1:5" ht="15.75" thickTop="1">
      <c r="A178" s="192"/>
      <c r="B178" s="505"/>
      <c r="C178" s="192"/>
      <c r="D178" s="231"/>
      <c r="E178" s="231"/>
    </row>
    <row r="179" spans="1:5">
      <c r="A179" s="192"/>
      <c r="B179" s="506"/>
      <c r="C179" s="192"/>
      <c r="D179" s="192"/>
      <c r="E179" s="192"/>
    </row>
    <row r="180" spans="1:5">
      <c r="B180" s="297"/>
    </row>
    <row r="181" spans="1:5">
      <c r="B181" s="297"/>
    </row>
    <row r="182" spans="1:5">
      <c r="B182" s="297"/>
    </row>
    <row r="183" spans="1:5">
      <c r="B183" s="297"/>
    </row>
    <row r="184" spans="1:5">
      <c r="B184" s="233"/>
    </row>
    <row r="185" spans="1:5">
      <c r="B185" s="233"/>
    </row>
    <row r="186" spans="1:5">
      <c r="B186" s="233"/>
    </row>
    <row r="187" spans="1:5">
      <c r="B187" s="233"/>
    </row>
    <row r="188" spans="1:5">
      <c r="B188" s="23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81" right="0.7" top="0.71" bottom="0.94" header="0.5" footer="0.25"/>
  <pageSetup scale="73" fitToHeight="10" orientation="portrait" verticalDpi="300" r:id="rId1"/>
  <headerFooter alignWithMargins="0">
    <oddFooter>&amp;RSchedule &amp;A
Page &amp;P of &amp;N</oddFooter>
  </headerFooter>
  <rowBreaks count="1" manualBreakCount="1">
    <brk id="50" max="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Y141"/>
  <sheetViews>
    <sheetView view="pageBreakPreview" zoomScale="60" zoomScaleNormal="70" workbookViewId="0">
      <pane xSplit="3" ySplit="10" topLeftCell="D11" activePane="bottomRight" state="frozen"/>
      <selection activeCell="F55" sqref="F55"/>
      <selection pane="topRight" activeCell="F55" sqref="F55"/>
      <selection pane="bottomLeft" activeCell="F55" sqref="F55"/>
      <selection pane="bottomRight" activeCell="F33" sqref="F33"/>
    </sheetView>
  </sheetViews>
  <sheetFormatPr defaultColWidth="7.109375" defaultRowHeight="15"/>
  <cols>
    <col min="1" max="1" width="4.6640625" customWidth="1"/>
    <col min="2" max="2" width="8.6640625" customWidth="1"/>
    <col min="3" max="3" width="42" customWidth="1"/>
    <col min="4" max="4" width="12.44140625" bestFit="1" customWidth="1"/>
    <col min="5" max="5" width="11.109375" customWidth="1"/>
    <col min="6" max="6" width="12" bestFit="1" customWidth="1"/>
    <col min="7" max="7" width="11.77734375" bestFit="1" customWidth="1"/>
    <col min="8" max="8" width="11.33203125" bestFit="1" customWidth="1"/>
    <col min="9" max="9" width="11.109375" customWidth="1"/>
    <col min="10" max="11" width="11.33203125" bestFit="1" customWidth="1"/>
    <col min="12" max="13" width="12.44140625" bestFit="1" customWidth="1"/>
    <col min="14" max="14" width="11.33203125" bestFit="1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"/>
      <c r="R1" s="1"/>
      <c r="S1" s="1"/>
    </row>
    <row r="2" spans="1:2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"/>
      <c r="R2" s="1"/>
      <c r="S2" s="1"/>
    </row>
    <row r="3" spans="1:21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"/>
      <c r="R3" s="1"/>
      <c r="S3" s="1"/>
    </row>
    <row r="4" spans="1:21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"/>
      <c r="R4" s="40"/>
      <c r="S4" s="40"/>
    </row>
    <row r="5" spans="1:21" ht="15.75">
      <c r="A5" s="859"/>
      <c r="B5" s="859"/>
      <c r="C5" s="859"/>
      <c r="D5" s="231"/>
      <c r="E5" s="80"/>
      <c r="F5" s="868"/>
      <c r="G5" s="859"/>
      <c r="H5" s="859"/>
      <c r="I5" s="859"/>
      <c r="J5" s="80"/>
      <c r="K5" s="868"/>
      <c r="L5" s="859"/>
      <c r="M5" s="859"/>
      <c r="N5" s="859"/>
      <c r="O5" s="859"/>
      <c r="P5" s="859"/>
      <c r="Q5" s="1"/>
      <c r="R5" s="40"/>
      <c r="S5" s="40"/>
    </row>
    <row r="6" spans="1:21" ht="15.75">
      <c r="A6" s="234" t="str">
        <f>'C.2.1 B'!A6</f>
        <v>Data:___X____Base Period________Forecasted Period</v>
      </c>
      <c r="B6" s="196"/>
      <c r="C6" s="196"/>
      <c r="D6" s="231"/>
      <c r="E6" s="231"/>
      <c r="F6" s="868"/>
      <c r="G6" s="231"/>
      <c r="H6" s="231"/>
      <c r="I6" s="231"/>
      <c r="J6" s="231"/>
      <c r="K6" s="80"/>
      <c r="L6" s="196"/>
      <c r="M6" s="196"/>
      <c r="N6" s="196"/>
      <c r="O6" s="859"/>
      <c r="P6" s="507" t="s">
        <v>1456</v>
      </c>
      <c r="Q6" s="1"/>
      <c r="R6" s="40"/>
      <c r="S6" s="40"/>
    </row>
    <row r="7" spans="1:21">
      <c r="A7" s="234" t="str">
        <f>'C.2.1 B'!A7</f>
        <v>Type of Filing:___X____Original________Updated ________Revised</v>
      </c>
      <c r="B7" s="196"/>
      <c r="C7" s="196"/>
      <c r="D7" s="231"/>
      <c r="E7" s="673"/>
      <c r="F7" s="196"/>
      <c r="G7" s="196"/>
      <c r="H7" s="196"/>
      <c r="I7" s="196"/>
      <c r="J7" s="196"/>
      <c r="K7" s="196"/>
      <c r="L7" s="196"/>
      <c r="M7" s="196"/>
      <c r="N7" s="196"/>
      <c r="O7" s="859"/>
      <c r="P7" s="508" t="s">
        <v>38</v>
      </c>
      <c r="Q7" s="40"/>
      <c r="R7" s="40"/>
      <c r="S7" s="40"/>
    </row>
    <row r="8" spans="1:21">
      <c r="A8" s="314" t="str">
        <f>'C.2.1 B'!A8</f>
        <v>Workpaper Reference No(s).____________________</v>
      </c>
      <c r="B8" s="196"/>
      <c r="C8" s="196"/>
      <c r="D8" s="238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40"/>
      <c r="R8" s="40"/>
      <c r="S8" s="40"/>
    </row>
    <row r="9" spans="1:21">
      <c r="A9" s="869" t="s">
        <v>94</v>
      </c>
      <c r="B9" s="870" t="s">
        <v>101</v>
      </c>
      <c r="C9" s="871"/>
      <c r="D9" s="837" t="s">
        <v>108</v>
      </c>
      <c r="E9" s="837" t="s">
        <v>108</v>
      </c>
      <c r="F9" s="837" t="s">
        <v>108</v>
      </c>
      <c r="G9" s="837" t="s">
        <v>108</v>
      </c>
      <c r="H9" s="837" t="s">
        <v>108</v>
      </c>
      <c r="I9" s="837" t="s">
        <v>108</v>
      </c>
      <c r="J9" s="837" t="s">
        <v>44</v>
      </c>
      <c r="K9" s="837" t="s">
        <v>44</v>
      </c>
      <c r="L9" s="837" t="s">
        <v>44</v>
      </c>
      <c r="M9" s="856" t="s">
        <v>458</v>
      </c>
      <c r="N9" s="856" t="s">
        <v>458</v>
      </c>
      <c r="O9" s="856" t="s">
        <v>458</v>
      </c>
      <c r="P9" s="462"/>
      <c r="Q9" s="78"/>
      <c r="R9" s="78"/>
      <c r="S9" s="78"/>
    </row>
    <row r="10" spans="1:21">
      <c r="A10" s="872" t="s">
        <v>100</v>
      </c>
      <c r="B10" s="873" t="s">
        <v>100</v>
      </c>
      <c r="C10" s="874" t="s">
        <v>960</v>
      </c>
      <c r="D10" s="615">
        <v>42736</v>
      </c>
      <c r="E10" s="615">
        <v>42767</v>
      </c>
      <c r="F10" s="615">
        <v>42795</v>
      </c>
      <c r="G10" s="615">
        <v>42826</v>
      </c>
      <c r="H10" s="615">
        <v>42856</v>
      </c>
      <c r="I10" s="615">
        <v>42887</v>
      </c>
      <c r="J10" s="615">
        <v>42917</v>
      </c>
      <c r="K10" s="615">
        <v>42948</v>
      </c>
      <c r="L10" s="615">
        <v>42979</v>
      </c>
      <c r="M10" s="615">
        <v>43009</v>
      </c>
      <c r="N10" s="615">
        <v>43040</v>
      </c>
      <c r="O10" s="615">
        <v>43070</v>
      </c>
      <c r="P10" s="875" t="s">
        <v>97</v>
      </c>
      <c r="Q10" s="209"/>
      <c r="R10" s="78"/>
      <c r="S10" s="78"/>
    </row>
    <row r="11" spans="1:21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189"/>
      <c r="R11" s="40"/>
    </row>
    <row r="12" spans="1:21">
      <c r="A12" s="462">
        <v>1</v>
      </c>
      <c r="B12" s="836" t="s">
        <v>740</v>
      </c>
      <c r="C12" s="103" t="s">
        <v>731</v>
      </c>
      <c r="D12" s="96">
        <f>0</f>
        <v>0</v>
      </c>
      <c r="E12" s="96">
        <f>0</f>
        <v>0</v>
      </c>
      <c r="F12" s="96">
        <f>0</f>
        <v>0</v>
      </c>
      <c r="G12" s="96">
        <f>0</f>
        <v>0</v>
      </c>
      <c r="H12" s="96" t="s">
        <v>327</v>
      </c>
      <c r="I12" s="96">
        <f>0</f>
        <v>0</v>
      </c>
      <c r="J12" s="399">
        <f>E!$E$23/6</f>
        <v>2109004.4020420606</v>
      </c>
      <c r="K12" s="399">
        <f>E!$E$23/6</f>
        <v>2109004.4020420606</v>
      </c>
      <c r="L12" s="399">
        <f>E!$E$23/6</f>
        <v>2109004.4020420606</v>
      </c>
      <c r="M12" s="399">
        <f>E!$E$23/6</f>
        <v>2109004.4020420606</v>
      </c>
      <c r="N12" s="399">
        <f>E!$E$23/6</f>
        <v>2109004.4020420606</v>
      </c>
      <c r="O12" s="399">
        <f>E!$E$23/6</f>
        <v>2109004.4020420606</v>
      </c>
      <c r="P12" s="211">
        <f>SUM(D12:O12)</f>
        <v>12654026.412252365</v>
      </c>
      <c r="Q12" s="594"/>
      <c r="R12" s="594"/>
      <c r="S12" s="594"/>
      <c r="U12" s="799"/>
    </row>
    <row r="13" spans="1:21">
      <c r="A13" s="876">
        <f t="shared" ref="A13:A83" si="0">A12+1</f>
        <v>2</v>
      </c>
      <c r="B13" s="836"/>
      <c r="C13" s="1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211"/>
      <c r="R13" s="148"/>
      <c r="S13" s="148"/>
    </row>
    <row r="14" spans="1:21">
      <c r="A14" s="876">
        <f t="shared" si="0"/>
        <v>3</v>
      </c>
      <c r="B14" s="836">
        <v>4030</v>
      </c>
      <c r="C14" s="196" t="s">
        <v>92</v>
      </c>
      <c r="D14" s="599">
        <v>1539524.1799999997</v>
      </c>
      <c r="E14" s="599">
        <v>1543650.84</v>
      </c>
      <c r="F14" s="599">
        <v>1552616.9000000004</v>
      </c>
      <c r="G14" s="599">
        <v>1562447.87</v>
      </c>
      <c r="H14" s="599">
        <v>1569259.6400000001</v>
      </c>
      <c r="I14" s="599">
        <v>1584165.39</v>
      </c>
      <c r="J14" s="599">
        <v>1559465.0197916699</v>
      </c>
      <c r="K14" s="599">
        <v>1604120.31979167</v>
      </c>
      <c r="L14" s="599">
        <v>1642423.8447916401</v>
      </c>
      <c r="M14" s="599">
        <v>1557417.4893696301</v>
      </c>
      <c r="N14" s="599">
        <v>1565605.12936963</v>
      </c>
      <c r="O14" s="599">
        <v>1569037.90936963</v>
      </c>
      <c r="P14" s="211">
        <f t="shared" ref="P14" si="1">SUM(D14:O14)</f>
        <v>18849734.532483872</v>
      </c>
      <c r="Q14" s="693"/>
      <c r="R14" s="211"/>
      <c r="S14" s="211"/>
    </row>
    <row r="15" spans="1:21">
      <c r="A15" s="876">
        <f t="shared" si="0"/>
        <v>4</v>
      </c>
      <c r="B15" s="836">
        <v>4060</v>
      </c>
      <c r="C15" s="211" t="s">
        <v>868</v>
      </c>
      <c r="D15" s="599">
        <v>4131.76</v>
      </c>
      <c r="E15" s="599">
        <v>4131.76</v>
      </c>
      <c r="F15" s="599">
        <v>4131.76</v>
      </c>
      <c r="G15" s="599">
        <v>4131.76</v>
      </c>
      <c r="H15" s="599">
        <v>4131.76</v>
      </c>
      <c r="I15" s="599">
        <v>4131.76</v>
      </c>
      <c r="J15" s="599">
        <v>0</v>
      </c>
      <c r="K15" s="599">
        <f t="shared" ref="K15:O15" si="2">J15</f>
        <v>0</v>
      </c>
      <c r="L15" s="599">
        <f t="shared" si="2"/>
        <v>0</v>
      </c>
      <c r="M15" s="599">
        <f t="shared" si="2"/>
        <v>0</v>
      </c>
      <c r="N15" s="599">
        <f t="shared" si="2"/>
        <v>0</v>
      </c>
      <c r="O15" s="599">
        <f t="shared" si="2"/>
        <v>0</v>
      </c>
      <c r="P15" s="211">
        <f t="shared" ref="P15:P64" si="3">SUM(D15:O15)</f>
        <v>24790.560000000005</v>
      </c>
      <c r="R15" s="594"/>
      <c r="S15" s="148"/>
    </row>
    <row r="16" spans="1:21">
      <c r="A16" s="876">
        <f>A15+1</f>
        <v>5</v>
      </c>
      <c r="B16" s="836">
        <v>4081</v>
      </c>
      <c r="C16" s="211" t="s">
        <v>869</v>
      </c>
      <c r="D16" s="599">
        <v>430926.30000000005</v>
      </c>
      <c r="E16" s="599">
        <v>346632.42000000004</v>
      </c>
      <c r="F16" s="599">
        <v>374616.85000000021</v>
      </c>
      <c r="G16" s="599">
        <v>250215.94999999992</v>
      </c>
      <c r="H16" s="599">
        <v>471464.82999999996</v>
      </c>
      <c r="I16" s="599">
        <v>389331.08</v>
      </c>
      <c r="J16" s="599">
        <f>'C.2.3 B'!I24</f>
        <v>368367.00000000006</v>
      </c>
      <c r="K16" s="599">
        <f>'C.2.3 B'!J24</f>
        <v>325373.00000000006</v>
      </c>
      <c r="L16" s="599">
        <f>'C.2.3 B'!K24</f>
        <v>400973.00000000006</v>
      </c>
      <c r="M16" s="599">
        <f>'C.2.3 B'!L24</f>
        <v>485188.249016541</v>
      </c>
      <c r="N16" s="599">
        <f>'C.2.3 B'!M24</f>
        <v>519456.249016541</v>
      </c>
      <c r="O16" s="599">
        <f>'C.2.3 B'!N24</f>
        <v>464607.249016541</v>
      </c>
      <c r="P16" s="211">
        <f>SUM(D16:O16)</f>
        <v>4827152.1770496229</v>
      </c>
      <c r="Q16" s="594"/>
      <c r="R16" s="673"/>
      <c r="S16" s="594"/>
    </row>
    <row r="17" spans="1:25">
      <c r="A17" s="876">
        <f t="shared" si="0"/>
        <v>6</v>
      </c>
      <c r="B17" s="836">
        <v>4800</v>
      </c>
      <c r="C17" s="733" t="s">
        <v>870</v>
      </c>
      <c r="D17" s="599">
        <v>-14513202.599999998</v>
      </c>
      <c r="E17" s="599">
        <v>-12401756.080000002</v>
      </c>
      <c r="F17" s="599">
        <v>-9837265.3999999985</v>
      </c>
      <c r="G17" s="599">
        <v>-7970174.8899999997</v>
      </c>
      <c r="H17" s="599">
        <v>-5001329.6400000006</v>
      </c>
      <c r="I17" s="599">
        <v>-4280264.37</v>
      </c>
      <c r="J17" s="96">
        <v>-3977683.4600166129</v>
      </c>
      <c r="K17" s="96">
        <v>-3985743.8769326014</v>
      </c>
      <c r="L17" s="96">
        <v>-3950372.2449711487</v>
      </c>
      <c r="M17" s="96">
        <v>-5098884.0329309786</v>
      </c>
      <c r="N17" s="96">
        <v>-8426387.0845348835</v>
      </c>
      <c r="O17" s="96">
        <v>-12560923.913642969</v>
      </c>
      <c r="P17" s="211">
        <f t="shared" si="3"/>
        <v>-92003987.593029201</v>
      </c>
      <c r="Q17" s="148"/>
      <c r="R17" s="148"/>
      <c r="S17" s="148"/>
    </row>
    <row r="18" spans="1:25">
      <c r="A18" s="876">
        <f t="shared" si="0"/>
        <v>7</v>
      </c>
      <c r="B18" s="709">
        <v>4805</v>
      </c>
      <c r="C18" s="363" t="s">
        <v>1333</v>
      </c>
      <c r="D18" s="599">
        <v>-469639.75</v>
      </c>
      <c r="E18" s="599">
        <v>1575634.25</v>
      </c>
      <c r="F18" s="599">
        <v>970697.5</v>
      </c>
      <c r="G18" s="599">
        <v>1251100.75</v>
      </c>
      <c r="H18" s="599">
        <v>548262.25</v>
      </c>
      <c r="I18" s="599">
        <v>160043.25</v>
      </c>
      <c r="J18" s="96"/>
      <c r="K18" s="96"/>
      <c r="L18" s="96"/>
      <c r="M18" s="96"/>
      <c r="N18" s="96"/>
      <c r="O18" s="96"/>
      <c r="P18" s="211">
        <f t="shared" si="3"/>
        <v>4036098.25</v>
      </c>
      <c r="Q18" s="148"/>
      <c r="R18" s="148"/>
      <c r="S18" s="148"/>
    </row>
    <row r="19" spans="1:25">
      <c r="A19" s="876">
        <f t="shared" si="0"/>
        <v>8</v>
      </c>
      <c r="B19" s="836">
        <v>4811</v>
      </c>
      <c r="C19" s="733" t="s">
        <v>1408</v>
      </c>
      <c r="D19" s="599">
        <v>-6015709.9900000002</v>
      </c>
      <c r="E19" s="599">
        <v>-4997093.8500000006</v>
      </c>
      <c r="F19" s="599">
        <v>-3975390.9000000004</v>
      </c>
      <c r="G19" s="599">
        <v>-3087843.16</v>
      </c>
      <c r="H19" s="599">
        <v>-2175017.16</v>
      </c>
      <c r="I19" s="599">
        <v>-1875289.33</v>
      </c>
      <c r="J19" s="96">
        <v>-1891638.1867555245</v>
      </c>
      <c r="K19" s="96">
        <v>-1890232.08206765</v>
      </c>
      <c r="L19" s="96">
        <v>-1870520.4892872761</v>
      </c>
      <c r="M19" s="96">
        <v>-2242327.1828385834</v>
      </c>
      <c r="N19" s="96">
        <v>-3481018.7270582351</v>
      </c>
      <c r="O19" s="96">
        <v>-4940966.5934923086</v>
      </c>
      <c r="P19" s="211">
        <f t="shared" si="3"/>
        <v>-38443047.651499577</v>
      </c>
      <c r="Q19" s="148"/>
      <c r="R19" s="594"/>
      <c r="S19" s="148"/>
    </row>
    <row r="20" spans="1:25">
      <c r="A20" s="876">
        <f t="shared" si="0"/>
        <v>9</v>
      </c>
      <c r="B20" s="836">
        <v>4812</v>
      </c>
      <c r="C20" s="211" t="s">
        <v>1409</v>
      </c>
      <c r="D20" s="599">
        <v>-879114.97</v>
      </c>
      <c r="E20" s="599">
        <v>-863109.11</v>
      </c>
      <c r="F20" s="599">
        <v>-978759.8899999999</v>
      </c>
      <c r="G20" s="599">
        <v>-585026.64</v>
      </c>
      <c r="H20" s="599">
        <v>-578724.99</v>
      </c>
      <c r="I20" s="599">
        <v>-688370.26</v>
      </c>
      <c r="J20" s="96">
        <v>-390261.25101000001</v>
      </c>
      <c r="K20" s="96">
        <v>-292705.93046499998</v>
      </c>
      <c r="L20" s="96">
        <v>-327152.0098856666</v>
      </c>
      <c r="M20" s="96">
        <v>-257902.36749466666</v>
      </c>
      <c r="N20" s="96">
        <v>-308686.35804044816</v>
      </c>
      <c r="O20" s="96">
        <v>-666571.78784753638</v>
      </c>
      <c r="P20" s="211">
        <f t="shared" si="3"/>
        <v>-6816385.5647433177</v>
      </c>
      <c r="Q20" s="148"/>
      <c r="R20" s="594"/>
      <c r="S20" s="148"/>
    </row>
    <row r="21" spans="1:25">
      <c r="A21" s="876">
        <f t="shared" si="0"/>
        <v>10</v>
      </c>
      <c r="B21" s="836">
        <v>4815</v>
      </c>
      <c r="C21" s="211" t="s">
        <v>1334</v>
      </c>
      <c r="D21" s="599">
        <v>-312723</v>
      </c>
      <c r="E21" s="599">
        <v>758592.75</v>
      </c>
      <c r="F21" s="599">
        <v>351237.75</v>
      </c>
      <c r="G21" s="599">
        <v>564893.75</v>
      </c>
      <c r="H21" s="599">
        <v>122835.5</v>
      </c>
      <c r="I21" s="599">
        <v>39474</v>
      </c>
      <c r="J21" s="96"/>
      <c r="K21" s="96"/>
      <c r="L21" s="96"/>
      <c r="M21" s="96"/>
      <c r="N21" s="96"/>
      <c r="O21" s="96"/>
      <c r="P21" s="211">
        <f t="shared" si="3"/>
        <v>1524310.75</v>
      </c>
      <c r="Q21" s="148"/>
      <c r="R21" s="594"/>
      <c r="S21" s="148"/>
    </row>
    <row r="22" spans="1:25">
      <c r="A22" s="876">
        <f t="shared" si="0"/>
        <v>11</v>
      </c>
      <c r="B22" s="836">
        <v>4816</v>
      </c>
      <c r="C22" s="211" t="s">
        <v>1365</v>
      </c>
      <c r="D22" s="599">
        <v>-193638.24</v>
      </c>
      <c r="E22" s="599">
        <v>-209627.9</v>
      </c>
      <c r="F22" s="599">
        <v>243164.97</v>
      </c>
      <c r="G22" s="599">
        <v>33559.599999999999</v>
      </c>
      <c r="H22" s="599">
        <v>-179297.55000000002</v>
      </c>
      <c r="I22" s="599">
        <v>405234.05000000005</v>
      </c>
      <c r="J22" s="96"/>
      <c r="K22" s="96"/>
      <c r="L22" s="96"/>
      <c r="M22" s="96"/>
      <c r="N22" s="96"/>
      <c r="O22" s="96"/>
      <c r="P22" s="211">
        <f t="shared" si="3"/>
        <v>99394.930000000051</v>
      </c>
      <c r="R22" s="594"/>
      <c r="S22" s="148"/>
    </row>
    <row r="23" spans="1:25">
      <c r="A23" s="876">
        <f t="shared" si="0"/>
        <v>12</v>
      </c>
      <c r="B23" s="836">
        <v>4820</v>
      </c>
      <c r="C23" s="211" t="s">
        <v>871</v>
      </c>
      <c r="D23" s="599">
        <v>-1046459.38</v>
      </c>
      <c r="E23" s="599">
        <v>-877899.77999999991</v>
      </c>
      <c r="F23" s="599">
        <v>-710312.75</v>
      </c>
      <c r="G23" s="599">
        <v>-551378.64</v>
      </c>
      <c r="H23" s="599">
        <v>-335450.63</v>
      </c>
      <c r="I23" s="599">
        <v>-257582.33</v>
      </c>
      <c r="J23" s="96">
        <v>-248275.32537714636</v>
      </c>
      <c r="K23" s="96">
        <v>-257557.29241529177</v>
      </c>
      <c r="L23" s="96">
        <v>-247986.08147423447</v>
      </c>
      <c r="M23" s="96">
        <v>-345623.72771904792</v>
      </c>
      <c r="N23" s="96">
        <v>-607276.52855381754</v>
      </c>
      <c r="O23" s="96">
        <v>-911440.84380762954</v>
      </c>
      <c r="P23" s="211">
        <f t="shared" si="3"/>
        <v>-6397243.3093471676</v>
      </c>
      <c r="Q23" s="211"/>
      <c r="R23" s="594"/>
      <c r="S23" s="148"/>
    </row>
    <row r="24" spans="1:25">
      <c r="A24" s="876">
        <f t="shared" si="0"/>
        <v>13</v>
      </c>
      <c r="B24" s="836">
        <v>4825</v>
      </c>
      <c r="C24" s="211" t="s">
        <v>1335</v>
      </c>
      <c r="D24" s="599">
        <v>-27855</v>
      </c>
      <c r="E24" s="599">
        <v>138141</v>
      </c>
      <c r="F24" s="599">
        <v>61310</v>
      </c>
      <c r="G24" s="599">
        <v>110081</v>
      </c>
      <c r="H24" s="599">
        <v>34779</v>
      </c>
      <c r="I24" s="599">
        <v>12969</v>
      </c>
      <c r="J24" s="96"/>
      <c r="K24" s="96"/>
      <c r="L24" s="96"/>
      <c r="M24" s="96"/>
      <c r="N24" s="96"/>
      <c r="O24" s="96"/>
      <c r="P24" s="211">
        <f t="shared" si="3"/>
        <v>329425</v>
      </c>
      <c r="S24" s="148"/>
    </row>
    <row r="25" spans="1:25">
      <c r="A25" s="876">
        <f t="shared" si="0"/>
        <v>14</v>
      </c>
      <c r="B25" s="836">
        <v>4870</v>
      </c>
      <c r="C25" s="211" t="s">
        <v>231</v>
      </c>
      <c r="D25" s="599">
        <v>-164679.28</v>
      </c>
      <c r="E25" s="599">
        <v>-178264.2</v>
      </c>
      <c r="F25" s="599">
        <v>-212874.13</v>
      </c>
      <c r="G25" s="599">
        <v>-110474.21</v>
      </c>
      <c r="H25" s="599">
        <v>-89244.24</v>
      </c>
      <c r="I25" s="599">
        <v>-73989.83</v>
      </c>
      <c r="J25" s="96">
        <v>-59150.040279274232</v>
      </c>
      <c r="K25" s="96">
        <v>-54438.933654652523</v>
      </c>
      <c r="L25" s="96">
        <v>-54578.946435618629</v>
      </c>
      <c r="M25" s="96">
        <v>-54003.632288822264</v>
      </c>
      <c r="N25" s="96">
        <v>-68403.679396344829</v>
      </c>
      <c r="O25" s="96">
        <v>-111350.6264652091</v>
      </c>
      <c r="P25" s="211">
        <f t="shared" si="3"/>
        <v>-1231451.7485199214</v>
      </c>
      <c r="R25" s="148"/>
      <c r="S25" s="148"/>
    </row>
    <row r="26" spans="1:25">
      <c r="A26" s="876">
        <f t="shared" si="0"/>
        <v>15</v>
      </c>
      <c r="B26" s="836">
        <v>4880</v>
      </c>
      <c r="C26" s="211" t="s">
        <v>872</v>
      </c>
      <c r="D26" s="599">
        <v>-58143</v>
      </c>
      <c r="E26" s="599">
        <v>-54428</v>
      </c>
      <c r="F26" s="599">
        <v>-74827</v>
      </c>
      <c r="G26" s="599">
        <v>-49906</v>
      </c>
      <c r="H26" s="599">
        <v>-53615</v>
      </c>
      <c r="I26" s="599">
        <v>-55356</v>
      </c>
      <c r="J26" s="96">
        <v>-45327</v>
      </c>
      <c r="K26" s="96">
        <v>-57173</v>
      </c>
      <c r="L26" s="96">
        <v>-55395</v>
      </c>
      <c r="M26" s="96">
        <v>-88176</v>
      </c>
      <c r="N26" s="96">
        <v>-126545</v>
      </c>
      <c r="O26" s="96">
        <v>-87101</v>
      </c>
      <c r="P26" s="211">
        <f t="shared" si="3"/>
        <v>-805992</v>
      </c>
      <c r="R26" s="148"/>
      <c r="S26" s="148"/>
    </row>
    <row r="27" spans="1:25">
      <c r="A27" s="876">
        <f t="shared" si="0"/>
        <v>16</v>
      </c>
      <c r="B27" s="836">
        <v>4893</v>
      </c>
      <c r="C27" s="211" t="s">
        <v>1220</v>
      </c>
      <c r="D27" s="599">
        <v>-1601632.24</v>
      </c>
      <c r="E27" s="599">
        <v>-1516342.71</v>
      </c>
      <c r="F27" s="599">
        <v>-1462848.99</v>
      </c>
      <c r="G27" s="599">
        <v>-1288495.24</v>
      </c>
      <c r="H27" s="599">
        <v>-1321434.6400000001</v>
      </c>
      <c r="I27" s="599">
        <v>-1287337.8499999999</v>
      </c>
      <c r="J27" s="96">
        <v>-1031165.1010687258</v>
      </c>
      <c r="K27" s="96">
        <v>-1125835.1251621114</v>
      </c>
      <c r="L27" s="96">
        <v>-1137038.5377952971</v>
      </c>
      <c r="M27" s="96">
        <v>-1217906.5070548751</v>
      </c>
      <c r="N27" s="96">
        <v>-1335583.0520690915</v>
      </c>
      <c r="O27" s="96">
        <v>-1505273.8931012994</v>
      </c>
      <c r="P27" s="211">
        <f t="shared" ref="P27:P30" si="4">SUM(D27:O27)</f>
        <v>-15830893.886251401</v>
      </c>
      <c r="Q27" s="839"/>
      <c r="R27" s="80"/>
      <c r="S27" s="80"/>
      <c r="T27" s="80"/>
      <c r="U27" s="80"/>
      <c r="V27" s="80"/>
      <c r="W27" s="80"/>
      <c r="X27" s="80"/>
      <c r="Y27" s="80"/>
    </row>
    <row r="28" spans="1:25">
      <c r="A28" s="876">
        <f t="shared" si="0"/>
        <v>17</v>
      </c>
      <c r="B28" s="709">
        <v>4950</v>
      </c>
      <c r="C28" s="81" t="s">
        <v>668</v>
      </c>
      <c r="D28" s="599">
        <f>0</f>
        <v>0</v>
      </c>
      <c r="E28" s="599">
        <f>0</f>
        <v>0</v>
      </c>
      <c r="F28" s="599">
        <f>0</f>
        <v>0</v>
      </c>
      <c r="G28" s="599">
        <f>0</f>
        <v>0</v>
      </c>
      <c r="H28" s="599">
        <f>0</f>
        <v>0</v>
      </c>
      <c r="I28" s="599">
        <f>0</f>
        <v>0</v>
      </c>
      <c r="J28" s="96">
        <v>-183286.57023593987</v>
      </c>
      <c r="K28" s="96">
        <v>-180802.14429106572</v>
      </c>
      <c r="L28" s="96">
        <v>-183627.60898165885</v>
      </c>
      <c r="M28" s="96">
        <v>-198676.93726818013</v>
      </c>
      <c r="N28" s="96">
        <v>-196958.77298331514</v>
      </c>
      <c r="O28" s="96">
        <v>-230122.0238050755</v>
      </c>
      <c r="P28" s="211">
        <f t="shared" si="4"/>
        <v>-1173474.0575652353</v>
      </c>
      <c r="Q28" s="728"/>
    </row>
    <row r="29" spans="1:25">
      <c r="A29" s="876">
        <f t="shared" si="0"/>
        <v>18</v>
      </c>
      <c r="B29" s="836">
        <v>7560</v>
      </c>
      <c r="C29" s="80" t="s">
        <v>1412</v>
      </c>
      <c r="D29" s="599">
        <f>0</f>
        <v>0</v>
      </c>
      <c r="E29" s="599">
        <f>0</f>
        <v>0</v>
      </c>
      <c r="F29" s="599">
        <f>0</f>
        <v>0</v>
      </c>
      <c r="G29" s="599">
        <f>0</f>
        <v>0</v>
      </c>
      <c r="H29" s="599">
        <f>0</f>
        <v>0</v>
      </c>
      <c r="I29" s="599">
        <f>0</f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211">
        <f t="shared" si="4"/>
        <v>0</v>
      </c>
      <c r="S29" s="148"/>
    </row>
    <row r="30" spans="1:25" s="794" customFormat="1">
      <c r="A30" s="876">
        <f t="shared" si="0"/>
        <v>19</v>
      </c>
      <c r="B30" s="836">
        <v>7590</v>
      </c>
      <c r="C30" s="103" t="s">
        <v>1369</v>
      </c>
      <c r="D30" s="599">
        <f>0</f>
        <v>0</v>
      </c>
      <c r="E30" s="599">
        <f>0</f>
        <v>0</v>
      </c>
      <c r="F30" s="599">
        <f>0</f>
        <v>0</v>
      </c>
      <c r="G30" s="599">
        <f>0</f>
        <v>0</v>
      </c>
      <c r="H30" s="599">
        <f>0</f>
        <v>0</v>
      </c>
      <c r="I30" s="599">
        <f>0</f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211">
        <f t="shared" si="4"/>
        <v>0</v>
      </c>
      <c r="S30" s="148"/>
    </row>
    <row r="31" spans="1:25">
      <c r="A31" s="876">
        <f t="shared" si="0"/>
        <v>20</v>
      </c>
      <c r="B31" s="836">
        <v>8001</v>
      </c>
      <c r="C31" s="211" t="s">
        <v>874</v>
      </c>
      <c r="D31" s="599">
        <f>0</f>
        <v>0</v>
      </c>
      <c r="E31" s="599">
        <f>0</f>
        <v>0</v>
      </c>
      <c r="F31" s="599">
        <f>0</f>
        <v>0</v>
      </c>
      <c r="G31" s="599">
        <f>0</f>
        <v>0</v>
      </c>
      <c r="H31" s="599">
        <f>0</f>
        <v>0</v>
      </c>
      <c r="I31" s="599">
        <f>0</f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211">
        <f t="shared" si="3"/>
        <v>0</v>
      </c>
      <c r="Q31" s="594"/>
      <c r="R31" s="594"/>
      <c r="S31" s="148"/>
    </row>
    <row r="32" spans="1:25">
      <c r="A32" s="876">
        <f t="shared" si="0"/>
        <v>21</v>
      </c>
      <c r="B32" s="836">
        <v>8010</v>
      </c>
      <c r="C32" s="103" t="s">
        <v>1218</v>
      </c>
      <c r="D32" s="599">
        <v>5288.75</v>
      </c>
      <c r="E32" s="599">
        <v>4114.3100000000004</v>
      </c>
      <c r="F32" s="599">
        <v>3199.16</v>
      </c>
      <c r="G32" s="599">
        <v>3575.42</v>
      </c>
      <c r="H32" s="599">
        <v>6495.27</v>
      </c>
      <c r="I32" s="599">
        <v>4692.6899999999996</v>
      </c>
      <c r="J32" s="96">
        <v>5900.1687390890147</v>
      </c>
      <c r="K32" s="96">
        <v>14765.862696686941</v>
      </c>
      <c r="L32" s="96">
        <v>8198.033816264091</v>
      </c>
      <c r="M32" s="96">
        <v>6510.6774379487206</v>
      </c>
      <c r="N32" s="96">
        <v>7310.1663112454507</v>
      </c>
      <c r="O32" s="96">
        <v>3918.3676947158756</v>
      </c>
      <c r="P32" s="211">
        <f t="shared" ref="P32" si="5">SUM(D32:O32)</f>
        <v>73968.876695950108</v>
      </c>
      <c r="Q32" s="148"/>
      <c r="R32" s="148"/>
      <c r="S32" s="148"/>
    </row>
    <row r="33" spans="1:19">
      <c r="A33" s="876">
        <f t="shared" si="0"/>
        <v>22</v>
      </c>
      <c r="B33" s="836">
        <v>8040</v>
      </c>
      <c r="C33" s="211" t="s">
        <v>875</v>
      </c>
      <c r="D33" s="599">
        <v>5595688.3600000003</v>
      </c>
      <c r="E33" s="599">
        <v>4352529.0599999996</v>
      </c>
      <c r="F33" s="599">
        <v>337618.93</v>
      </c>
      <c r="G33" s="599">
        <v>768369.22000000009</v>
      </c>
      <c r="H33" s="599">
        <v>5923128.8099999996</v>
      </c>
      <c r="I33" s="599">
        <v>4115123.04</v>
      </c>
      <c r="J33" s="96">
        <v>4142482.2403230644</v>
      </c>
      <c r="K33" s="96">
        <v>6203886.4872926557</v>
      </c>
      <c r="L33" s="96">
        <v>4932798.8890008526</v>
      </c>
      <c r="M33" s="96">
        <v>6045126.7277077185</v>
      </c>
      <c r="N33" s="96">
        <v>8174615.2226054613</v>
      </c>
      <c r="O33" s="96">
        <v>1272096.3023464815</v>
      </c>
      <c r="P33" s="211">
        <f t="shared" si="3"/>
        <v>51863463.289276235</v>
      </c>
      <c r="Q33" s="148"/>
      <c r="R33" s="594"/>
      <c r="S33" s="148"/>
    </row>
    <row r="34" spans="1:19">
      <c r="A34" s="876">
        <f t="shared" si="0"/>
        <v>23</v>
      </c>
      <c r="B34" s="836">
        <v>8050</v>
      </c>
      <c r="C34" s="211" t="s">
        <v>876</v>
      </c>
      <c r="D34" s="599">
        <v>-885.57</v>
      </c>
      <c r="E34" s="599">
        <v>-310.92</v>
      </c>
      <c r="F34" s="599">
        <v>-228.3</v>
      </c>
      <c r="G34" s="599">
        <v>-69.099999999999994</v>
      </c>
      <c r="H34" s="599">
        <v>-1817.86</v>
      </c>
      <c r="I34" s="599">
        <v>-783.41</v>
      </c>
      <c r="J34" s="96">
        <v>-799.18091550348004</v>
      </c>
      <c r="K34" s="96">
        <v>-951.39050804120666</v>
      </c>
      <c r="L34" s="96">
        <v>-784.59545231550305</v>
      </c>
      <c r="M34" s="96">
        <v>-4437.4151627129868</v>
      </c>
      <c r="N34" s="96">
        <v>-683.28487338544301</v>
      </c>
      <c r="O34" s="96">
        <v>-5051.6632533634011</v>
      </c>
      <c r="P34" s="211">
        <f t="shared" si="3"/>
        <v>-16802.690165322019</v>
      </c>
      <c r="Q34" s="148"/>
      <c r="R34" s="594"/>
      <c r="S34" s="148"/>
    </row>
    <row r="35" spans="1:19">
      <c r="A35" s="876">
        <f t="shared" si="0"/>
        <v>24</v>
      </c>
      <c r="B35" s="836">
        <v>8051</v>
      </c>
      <c r="C35" s="211" t="s">
        <v>877</v>
      </c>
      <c r="D35" s="599">
        <v>8024574.0700000003</v>
      </c>
      <c r="E35" s="599">
        <v>6235593.46</v>
      </c>
      <c r="F35" s="599">
        <v>4547479.01</v>
      </c>
      <c r="G35" s="599">
        <v>3361821.54</v>
      </c>
      <c r="H35" s="599">
        <v>1534503.17</v>
      </c>
      <c r="I35" s="599">
        <v>1025911.25</v>
      </c>
      <c r="J35" s="96">
        <v>805444.07275892491</v>
      </c>
      <c r="K35" s="96">
        <v>824795.12915881083</v>
      </c>
      <c r="L35" s="96">
        <v>772207.91296427173</v>
      </c>
      <c r="M35" s="96">
        <v>1045038.7864227482</v>
      </c>
      <c r="N35" s="96">
        <v>2609623.4719726346</v>
      </c>
      <c r="O35" s="96">
        <v>5760891.6874248302</v>
      </c>
      <c r="P35" s="211">
        <f t="shared" si="3"/>
        <v>36547883.56070222</v>
      </c>
      <c r="Q35" s="148"/>
      <c r="R35" s="148"/>
      <c r="S35" s="148"/>
    </row>
    <row r="36" spans="1:19">
      <c r="A36" s="876">
        <f t="shared" si="0"/>
        <v>25</v>
      </c>
      <c r="B36" s="836">
        <v>8052</v>
      </c>
      <c r="C36" s="211" t="s">
        <v>878</v>
      </c>
      <c r="D36" s="599">
        <v>3677985.7</v>
      </c>
      <c r="E36" s="599">
        <v>2844532.57</v>
      </c>
      <c r="F36" s="599">
        <v>2136550.7599999998</v>
      </c>
      <c r="G36" s="599">
        <v>1547231.7</v>
      </c>
      <c r="H36" s="599">
        <v>990664.23</v>
      </c>
      <c r="I36" s="599">
        <v>790859.4</v>
      </c>
      <c r="J36" s="96">
        <v>778887.37364428886</v>
      </c>
      <c r="K36" s="96">
        <v>815142.92978745466</v>
      </c>
      <c r="L36" s="96">
        <v>827696.88980517967</v>
      </c>
      <c r="M36" s="96">
        <v>1149289.9035971572</v>
      </c>
      <c r="N36" s="96">
        <v>1306034.282669575</v>
      </c>
      <c r="O36" s="96">
        <v>2457259.8324604626</v>
      </c>
      <c r="P36" s="211">
        <f t="shared" si="3"/>
        <v>19322135.571964119</v>
      </c>
      <c r="Q36" s="148"/>
      <c r="R36" s="148"/>
      <c r="S36" s="148"/>
    </row>
    <row r="37" spans="1:19">
      <c r="A37" s="876">
        <f t="shared" si="0"/>
        <v>26</v>
      </c>
      <c r="B37" s="836">
        <v>8053</v>
      </c>
      <c r="C37" s="211" t="s">
        <v>879</v>
      </c>
      <c r="D37" s="599">
        <v>672134.52</v>
      </c>
      <c r="E37" s="599">
        <v>664048.25</v>
      </c>
      <c r="F37" s="599">
        <v>769253.16</v>
      </c>
      <c r="G37" s="599">
        <v>453327.3</v>
      </c>
      <c r="H37" s="599">
        <v>452238.11</v>
      </c>
      <c r="I37" s="599">
        <v>558552.21</v>
      </c>
      <c r="J37" s="96">
        <v>287356.30665835651</v>
      </c>
      <c r="K37" s="96">
        <v>242254.3339164457</v>
      </c>
      <c r="L37" s="96">
        <v>235833.37393340367</v>
      </c>
      <c r="M37" s="96">
        <v>208565.30531345346</v>
      </c>
      <c r="N37" s="96" t="s">
        <v>327</v>
      </c>
      <c r="O37" s="96">
        <v>370839.47033853474</v>
      </c>
      <c r="P37" s="211">
        <f t="shared" si="3"/>
        <v>4914402.3401601929</v>
      </c>
      <c r="Q37" s="148"/>
      <c r="R37" s="148"/>
      <c r="S37" s="148"/>
    </row>
    <row r="38" spans="1:19">
      <c r="A38" s="876">
        <f t="shared" si="0"/>
        <v>27</v>
      </c>
      <c r="B38" s="836">
        <v>8054</v>
      </c>
      <c r="C38" s="211" t="s">
        <v>880</v>
      </c>
      <c r="D38" s="599">
        <v>701686</v>
      </c>
      <c r="E38" s="599">
        <v>553678.14</v>
      </c>
      <c r="F38" s="599">
        <v>435084.35</v>
      </c>
      <c r="G38" s="599">
        <v>330096.84999999998</v>
      </c>
      <c r="H38" s="599">
        <v>195997.58</v>
      </c>
      <c r="I38" s="599">
        <v>141164.19</v>
      </c>
      <c r="J38" s="96">
        <v>107804.58414565001</v>
      </c>
      <c r="K38" s="96">
        <v>130174.56072436896</v>
      </c>
      <c r="L38" s="96">
        <v>144256.09300231113</v>
      </c>
      <c r="M38" s="96">
        <v>164350.5690651749</v>
      </c>
      <c r="N38" s="96">
        <v>304318.11912879744</v>
      </c>
      <c r="O38" s="96">
        <v>511471.40798067587</v>
      </c>
      <c r="P38" s="211">
        <f t="shared" si="3"/>
        <v>3720082.4440469779</v>
      </c>
      <c r="Q38" s="148"/>
      <c r="S38" s="148"/>
    </row>
    <row r="39" spans="1:19">
      <c r="A39" s="876">
        <f t="shared" si="0"/>
        <v>28</v>
      </c>
      <c r="B39" s="836">
        <v>8058</v>
      </c>
      <c r="C39" s="211" t="s">
        <v>881</v>
      </c>
      <c r="D39" s="599">
        <v>323890.83999999997</v>
      </c>
      <c r="E39" s="599">
        <v>-1619982.6400000001</v>
      </c>
      <c r="F39" s="599">
        <v>-833283.85</v>
      </c>
      <c r="G39" s="599">
        <v>-1158007.55</v>
      </c>
      <c r="H39" s="599">
        <v>-390751.61</v>
      </c>
      <c r="I39" s="599">
        <v>-478919.64</v>
      </c>
      <c r="J39" s="96">
        <v>69058.398280472044</v>
      </c>
      <c r="K39" s="96">
        <v>-57345.390411293862</v>
      </c>
      <c r="L39" s="96">
        <v>-808.4918761433571</v>
      </c>
      <c r="M39" s="96">
        <v>613559.63747668895</v>
      </c>
      <c r="N39" s="96">
        <v>2209350.3290974549</v>
      </c>
      <c r="O39" s="96">
        <v>2384955.0280997846</v>
      </c>
      <c r="P39" s="211">
        <f t="shared" si="3"/>
        <v>1061715.060666963</v>
      </c>
      <c r="Q39" s="148"/>
      <c r="R39" s="148"/>
      <c r="S39" s="148"/>
    </row>
    <row r="40" spans="1:19">
      <c r="A40" s="876">
        <f t="shared" si="0"/>
        <v>29</v>
      </c>
      <c r="B40" s="836">
        <v>8059</v>
      </c>
      <c r="C40" s="211" t="s">
        <v>882</v>
      </c>
      <c r="D40" s="599">
        <v>-11327380.869999999</v>
      </c>
      <c r="E40" s="599">
        <v>-12335696.460000001</v>
      </c>
      <c r="F40" s="599">
        <v>-8878999.3000000007</v>
      </c>
      <c r="G40" s="599">
        <v>-7684524.04</v>
      </c>
      <c r="H40" s="599">
        <v>-4221491.87</v>
      </c>
      <c r="I40" s="599">
        <v>-3604184.26</v>
      </c>
      <c r="J40" s="96">
        <v>-2987147.7008865927</v>
      </c>
      <c r="K40" s="96">
        <v>-4898780.2574197398</v>
      </c>
      <c r="L40" s="96">
        <v>-3004681.4204560411</v>
      </c>
      <c r="M40" s="96">
        <v>-3823107.2573615815</v>
      </c>
      <c r="N40" s="96">
        <v>-5832415.614152371</v>
      </c>
      <c r="O40" s="96">
        <v>-6132258.7214599643</v>
      </c>
      <c r="P40" s="211">
        <f t="shared" si="3"/>
        <v>-74730667.771736294</v>
      </c>
      <c r="Q40" s="148"/>
      <c r="R40" s="148"/>
      <c r="S40" s="148"/>
    </row>
    <row r="41" spans="1:19">
      <c r="A41" s="876">
        <f t="shared" si="0"/>
        <v>30</v>
      </c>
      <c r="B41" s="836">
        <v>8060</v>
      </c>
      <c r="C41" s="211" t="s">
        <v>883</v>
      </c>
      <c r="D41" s="599">
        <v>994734.2</v>
      </c>
      <c r="E41" s="599">
        <v>3043458.35</v>
      </c>
      <c r="F41" s="599">
        <v>3568544.23</v>
      </c>
      <c r="G41" s="599">
        <v>2130910.9</v>
      </c>
      <c r="H41" s="599">
        <v>-1903716.98</v>
      </c>
      <c r="I41" s="599">
        <v>-551572.89</v>
      </c>
      <c r="J41" s="96">
        <v>-1322054.5588191811</v>
      </c>
      <c r="K41" s="96">
        <v>-606580.58174988464</v>
      </c>
      <c r="L41" s="96">
        <v>-1597141.0412555649</v>
      </c>
      <c r="M41" s="96">
        <v>-1628393.0968163328</v>
      </c>
      <c r="N41" s="96">
        <v>-1753459.9323563059</v>
      </c>
      <c r="O41" s="96">
        <v>1497388.8946588605</v>
      </c>
      <c r="P41" s="211">
        <f t="shared" si="3"/>
        <v>1872117.4936615911</v>
      </c>
      <c r="Q41" s="148"/>
      <c r="R41" s="148"/>
      <c r="S41" s="148"/>
    </row>
    <row r="42" spans="1:19">
      <c r="A42" s="876">
        <f t="shared" si="0"/>
        <v>31</v>
      </c>
      <c r="B42" s="836">
        <v>8081</v>
      </c>
      <c r="C42" s="211" t="s">
        <v>884</v>
      </c>
      <c r="D42" s="599">
        <v>2255744.84</v>
      </c>
      <c r="E42" s="599">
        <v>2376725.7999999998</v>
      </c>
      <c r="F42" s="599">
        <v>2699947.65</v>
      </c>
      <c r="G42" s="599">
        <v>2442279.3199999998</v>
      </c>
      <c r="H42" s="599">
        <v>9857.76</v>
      </c>
      <c r="I42" s="599">
        <v>10008.9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1068365.5241918706</v>
      </c>
      <c r="P42" s="211">
        <f t="shared" si="3"/>
        <v>10862929.794191871</v>
      </c>
      <c r="Q42" s="148"/>
      <c r="R42" s="148"/>
      <c r="S42" s="148"/>
    </row>
    <row r="43" spans="1:19">
      <c r="A43" s="876">
        <f t="shared" si="0"/>
        <v>32</v>
      </c>
      <c r="B43" s="836">
        <v>8082</v>
      </c>
      <c r="C43" s="211" t="s">
        <v>885</v>
      </c>
      <c r="D43" s="599">
        <v>-22774.57</v>
      </c>
      <c r="E43" s="599">
        <v>-5573.91</v>
      </c>
      <c r="F43" s="599">
        <v>-10704.99</v>
      </c>
      <c r="G43" s="599">
        <v>-98792.27</v>
      </c>
      <c r="H43" s="599">
        <v>-1863094.7</v>
      </c>
      <c r="I43" s="599">
        <v>-1635911.13</v>
      </c>
      <c r="J43" s="96">
        <v>-1848189.9873530758</v>
      </c>
      <c r="K43" s="96">
        <v>-3003139.3513166173</v>
      </c>
      <c r="L43" s="96">
        <v>-2164047.8974960581</v>
      </c>
      <c r="M43" s="96">
        <v>-2727391.4947982277</v>
      </c>
      <c r="N43" s="96">
        <v>-3806302.610961399</v>
      </c>
      <c r="O43" s="96">
        <v>-2029.249515507069</v>
      </c>
      <c r="P43" s="211">
        <f t="shared" si="3"/>
        <v>-17187952.161440887</v>
      </c>
      <c r="Q43" s="728"/>
      <c r="S43" s="148"/>
    </row>
    <row r="44" spans="1:19">
      <c r="A44" s="876">
        <f t="shared" si="0"/>
        <v>33</v>
      </c>
      <c r="B44" s="836">
        <v>8120</v>
      </c>
      <c r="C44" s="211" t="s">
        <v>886</v>
      </c>
      <c r="D44" s="599">
        <v>-5262.99</v>
      </c>
      <c r="E44" s="599">
        <v>-1034.33</v>
      </c>
      <c r="F44" s="599">
        <v>1052.7700000000004</v>
      </c>
      <c r="G44" s="599">
        <v>-2337.79</v>
      </c>
      <c r="H44" s="599">
        <v>-107.31999999999971</v>
      </c>
      <c r="I44" s="599">
        <v>-1519.73</v>
      </c>
      <c r="J44" s="96">
        <v>1190.8345312262113</v>
      </c>
      <c r="K44" s="96">
        <v>-2343.881289582002</v>
      </c>
      <c r="L44" s="96">
        <v>754.75339777356851</v>
      </c>
      <c r="M44" s="96">
        <v>94.752383135497539</v>
      </c>
      <c r="N44" s="96">
        <v>-1990.026543318786</v>
      </c>
      <c r="O44" s="96">
        <v>-8701.6388034433439</v>
      </c>
      <c r="P44" s="211">
        <f t="shared" si="3"/>
        <v>-20204.596324208855</v>
      </c>
      <c r="Q44" s="148"/>
      <c r="R44" s="148"/>
      <c r="S44" s="148"/>
    </row>
    <row r="45" spans="1:19" s="798" customFormat="1">
      <c r="A45" s="876">
        <f>A44+1</f>
        <v>34</v>
      </c>
      <c r="B45" s="836">
        <v>8580</v>
      </c>
      <c r="C45" s="103" t="s">
        <v>1219</v>
      </c>
      <c r="D45" s="599">
        <v>2499584.8600000003</v>
      </c>
      <c r="E45" s="599">
        <v>2564753.77</v>
      </c>
      <c r="F45" s="599">
        <v>2280622.62</v>
      </c>
      <c r="G45" s="599">
        <v>2438250.5500000003</v>
      </c>
      <c r="H45" s="599">
        <v>2050639.5699999998</v>
      </c>
      <c r="I45" s="599">
        <v>1662627.06</v>
      </c>
      <c r="J45" s="96">
        <v>2009809.0189122006</v>
      </c>
      <c r="K45" s="96">
        <v>2290799.2310049399</v>
      </c>
      <c r="L45" s="96">
        <v>1825658.0318428644</v>
      </c>
      <c r="M45" s="96">
        <v>2131691.8589931885</v>
      </c>
      <c r="N45" s="96">
        <v>3210936.0534267556</v>
      </c>
      <c r="O45" s="96">
        <v>2297570.5453369063</v>
      </c>
      <c r="P45" s="211">
        <f t="shared" si="3"/>
        <v>27262943.169516858</v>
      </c>
      <c r="Q45" s="594"/>
      <c r="R45" s="148"/>
      <c r="S45" s="148"/>
    </row>
    <row r="46" spans="1:19" ht="22.5" customHeight="1">
      <c r="A46" s="876">
        <f t="shared" si="0"/>
        <v>35</v>
      </c>
      <c r="B46" s="836">
        <v>8140</v>
      </c>
      <c r="C46" s="211" t="s">
        <v>887</v>
      </c>
      <c r="D46" s="599">
        <f>0</f>
        <v>0</v>
      </c>
      <c r="E46" s="599">
        <f>0</f>
        <v>0</v>
      </c>
      <c r="F46" s="599">
        <f>0</f>
        <v>0</v>
      </c>
      <c r="G46" s="599">
        <f>0</f>
        <v>0</v>
      </c>
      <c r="H46" s="599">
        <f>0</f>
        <v>0</v>
      </c>
      <c r="I46" s="599">
        <f>0</f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211">
        <f t="shared" si="3"/>
        <v>0</v>
      </c>
      <c r="S46" s="148"/>
    </row>
    <row r="47" spans="1:19" ht="21.75" customHeight="1">
      <c r="A47" s="876">
        <f t="shared" si="0"/>
        <v>36</v>
      </c>
      <c r="B47" s="836">
        <v>8160</v>
      </c>
      <c r="C47" s="211" t="s">
        <v>888</v>
      </c>
      <c r="D47" s="599">
        <v>20628.030000000002</v>
      </c>
      <c r="E47" s="599">
        <v>30051.77</v>
      </c>
      <c r="F47" s="599">
        <v>6702.43</v>
      </c>
      <c r="G47" s="599">
        <v>9489.93</v>
      </c>
      <c r="H47" s="599">
        <v>2729.3599999999997</v>
      </c>
      <c r="I47" s="599">
        <v>1518.5900000000001</v>
      </c>
      <c r="J47" s="399">
        <v>9671.7813669524949</v>
      </c>
      <c r="K47" s="399">
        <v>9763.543576804359</v>
      </c>
      <c r="L47" s="399">
        <v>9609.3245665296035</v>
      </c>
      <c r="M47" s="399">
        <v>10150.145738203113</v>
      </c>
      <c r="N47" s="399">
        <v>10595.12605178217</v>
      </c>
      <c r="O47" s="399">
        <v>8060.2733299157171</v>
      </c>
      <c r="P47" s="211">
        <f t="shared" si="3"/>
        <v>128970.30463018743</v>
      </c>
      <c r="Q47" s="148"/>
      <c r="R47" s="148"/>
      <c r="S47" s="148"/>
    </row>
    <row r="48" spans="1:19">
      <c r="A48" s="876">
        <f t="shared" si="0"/>
        <v>37</v>
      </c>
      <c r="B48" s="836">
        <v>8170</v>
      </c>
      <c r="C48" s="211" t="s">
        <v>894</v>
      </c>
      <c r="D48" s="599">
        <v>4629.92</v>
      </c>
      <c r="E48" s="599">
        <v>4715.18</v>
      </c>
      <c r="F48" s="599">
        <v>4104.7000000000007</v>
      </c>
      <c r="G48" s="599">
        <v>2532.96</v>
      </c>
      <c r="H48" s="599">
        <v>1936.4099999999999</v>
      </c>
      <c r="I48" s="599">
        <v>-163.76999999999998</v>
      </c>
      <c r="J48" s="399">
        <v>2841.9244989688564</v>
      </c>
      <c r="K48" s="399">
        <v>3046.2891028107178</v>
      </c>
      <c r="L48" s="399">
        <v>2793.998226998081</v>
      </c>
      <c r="M48" s="399">
        <v>2879.5723005346754</v>
      </c>
      <c r="N48" s="399">
        <v>2904.1146331025616</v>
      </c>
      <c r="O48" s="399">
        <v>2791.1563465820577</v>
      </c>
      <c r="P48" s="211">
        <f t="shared" si="3"/>
        <v>35012.455108996946</v>
      </c>
      <c r="Q48" s="148"/>
      <c r="R48" s="148"/>
      <c r="S48" s="148"/>
    </row>
    <row r="49" spans="1:22">
      <c r="A49" s="876">
        <f t="shared" si="0"/>
        <v>38</v>
      </c>
      <c r="B49" s="836">
        <v>8180</v>
      </c>
      <c r="C49" s="211" t="s">
        <v>895</v>
      </c>
      <c r="D49" s="599">
        <v>4238.1900000000005</v>
      </c>
      <c r="E49" s="599">
        <v>2653.4</v>
      </c>
      <c r="F49" s="599">
        <v>292.36000000000007</v>
      </c>
      <c r="G49" s="599">
        <v>2998.1400000000003</v>
      </c>
      <c r="H49" s="599">
        <v>3432.8</v>
      </c>
      <c r="I49" s="599">
        <v>3947.33</v>
      </c>
      <c r="J49" s="399">
        <v>3291.2704196566906</v>
      </c>
      <c r="K49" s="399">
        <v>3256.7103922503102</v>
      </c>
      <c r="L49" s="399">
        <v>2812.7271368951911</v>
      </c>
      <c r="M49" s="399">
        <v>2494.9729850621493</v>
      </c>
      <c r="N49" s="399">
        <v>2647.7180185446978</v>
      </c>
      <c r="O49" s="399">
        <v>2772.2428559808468</v>
      </c>
      <c r="P49" s="211">
        <f t="shared" si="3"/>
        <v>34837.861808389884</v>
      </c>
      <c r="Q49" s="148"/>
      <c r="R49" s="148"/>
      <c r="S49" s="148"/>
    </row>
    <row r="50" spans="1:22" ht="15.75">
      <c r="A50" s="876">
        <f t="shared" si="0"/>
        <v>39</v>
      </c>
      <c r="B50" s="836">
        <v>8190</v>
      </c>
      <c r="C50" s="211" t="s">
        <v>896</v>
      </c>
      <c r="D50" s="599">
        <v>104.25</v>
      </c>
      <c r="E50" s="599">
        <v>111.93</v>
      </c>
      <c r="F50" s="599">
        <v>109.46</v>
      </c>
      <c r="G50" s="599">
        <v>0</v>
      </c>
      <c r="H50" s="599">
        <v>214.73</v>
      </c>
      <c r="I50" s="599">
        <v>67.94</v>
      </c>
      <c r="J50" s="399">
        <v>89.868705637670388</v>
      </c>
      <c r="K50" s="399">
        <v>90.182494955090178</v>
      </c>
      <c r="L50" s="399">
        <v>85.589863025237335</v>
      </c>
      <c r="M50" s="399">
        <v>81.086603650364225</v>
      </c>
      <c r="N50" s="399">
        <v>89.470308005517069</v>
      </c>
      <c r="O50" s="399">
        <v>78.107518484372804</v>
      </c>
      <c r="P50" s="211">
        <f t="shared" si="3"/>
        <v>1122.6154937582521</v>
      </c>
      <c r="Q50" s="148"/>
      <c r="R50" s="595"/>
      <c r="S50" s="102"/>
    </row>
    <row r="51" spans="1:22" ht="15.75">
      <c r="A51" s="876">
        <f t="shared" si="0"/>
        <v>40</v>
      </c>
      <c r="B51" s="836">
        <v>8200</v>
      </c>
      <c r="C51" s="211" t="s">
        <v>897</v>
      </c>
      <c r="D51" s="599">
        <v>700.76</v>
      </c>
      <c r="E51" s="599">
        <v>-61.53</v>
      </c>
      <c r="F51" s="599">
        <v>540.61</v>
      </c>
      <c r="G51" s="599">
        <v>138.97</v>
      </c>
      <c r="H51" s="599">
        <v>506.53999999999996</v>
      </c>
      <c r="I51" s="599">
        <v>93.31</v>
      </c>
      <c r="J51" s="399">
        <v>293.96227574740681</v>
      </c>
      <c r="K51" s="399">
        <v>306.87743118776086</v>
      </c>
      <c r="L51" s="399">
        <v>286.46426553959498</v>
      </c>
      <c r="M51" s="399">
        <v>286.07699892722206</v>
      </c>
      <c r="N51" s="399">
        <v>299.58235542102443</v>
      </c>
      <c r="O51" s="399">
        <v>275.1612545921534</v>
      </c>
      <c r="P51" s="211">
        <f t="shared" si="3"/>
        <v>3666.7845814151633</v>
      </c>
      <c r="Q51" s="148"/>
      <c r="R51" s="627"/>
      <c r="S51" s="628"/>
    </row>
    <row r="52" spans="1:22">
      <c r="A52" s="876">
        <f t="shared" si="0"/>
        <v>41</v>
      </c>
      <c r="B52" s="836">
        <v>8210</v>
      </c>
      <c r="C52" s="211" t="s">
        <v>898</v>
      </c>
      <c r="D52" s="599">
        <v>6912.96</v>
      </c>
      <c r="E52" s="599">
        <v>1672.1000000000001</v>
      </c>
      <c r="F52" s="599">
        <v>1079.7099999999996</v>
      </c>
      <c r="G52" s="599">
        <v>1727.2300000000002</v>
      </c>
      <c r="H52" s="599">
        <v>1413.6599999999999</v>
      </c>
      <c r="I52" s="599">
        <v>156.72999999999999</v>
      </c>
      <c r="J52" s="399">
        <v>2443.8229845776609</v>
      </c>
      <c r="K52" s="399">
        <v>2399.2353896893528</v>
      </c>
      <c r="L52" s="399">
        <v>2067.4297806043596</v>
      </c>
      <c r="M52" s="399">
        <v>1800.5113810344171</v>
      </c>
      <c r="N52" s="399">
        <v>1931.3253916695476</v>
      </c>
      <c r="O52" s="399">
        <v>2030.09638683244</v>
      </c>
      <c r="P52" s="211">
        <f t="shared" si="3"/>
        <v>25634.811314407776</v>
      </c>
      <c r="Q52" s="148"/>
      <c r="R52" s="212"/>
      <c r="S52" s="148"/>
    </row>
    <row r="53" spans="1:22">
      <c r="A53" s="876">
        <f t="shared" si="0"/>
        <v>42</v>
      </c>
      <c r="B53" s="836">
        <v>8240</v>
      </c>
      <c r="C53" s="211" t="s">
        <v>899</v>
      </c>
      <c r="D53" s="599">
        <f>0</f>
        <v>0</v>
      </c>
      <c r="E53" s="599">
        <f>0</f>
        <v>0</v>
      </c>
      <c r="F53" s="599">
        <f>0</f>
        <v>0</v>
      </c>
      <c r="G53" s="599">
        <f>0</f>
        <v>0</v>
      </c>
      <c r="H53" s="599">
        <f>0</f>
        <v>0</v>
      </c>
      <c r="I53" s="599">
        <f>0</f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211">
        <f t="shared" si="3"/>
        <v>0</v>
      </c>
      <c r="Q53" s="148"/>
      <c r="R53" s="212"/>
      <c r="S53" s="148"/>
    </row>
    <row r="54" spans="1:22">
      <c r="A54" s="876">
        <f t="shared" si="0"/>
        <v>43</v>
      </c>
      <c r="B54" s="836">
        <v>8250</v>
      </c>
      <c r="C54" s="211" t="s">
        <v>911</v>
      </c>
      <c r="D54" s="599">
        <v>1749.6399999999999</v>
      </c>
      <c r="E54" s="599">
        <v>1281.54</v>
      </c>
      <c r="F54" s="599">
        <v>1435.3400000000001</v>
      </c>
      <c r="G54" s="599">
        <v>609.9</v>
      </c>
      <c r="H54" s="599">
        <v>379.66</v>
      </c>
      <c r="I54" s="599">
        <v>206.07</v>
      </c>
      <c r="J54" s="399">
        <v>1881.4284385514072</v>
      </c>
      <c r="K54" s="399">
        <v>1884.073928397155</v>
      </c>
      <c r="L54" s="399">
        <v>1845.3544422285761</v>
      </c>
      <c r="M54" s="399">
        <v>735.13148750329526</v>
      </c>
      <c r="N54" s="399">
        <v>802.2083264115987</v>
      </c>
      <c r="O54" s="399">
        <v>687.8857628995014</v>
      </c>
      <c r="P54" s="211">
        <f t="shared" si="3"/>
        <v>13498.232385991532</v>
      </c>
      <c r="Q54" s="148"/>
      <c r="R54" s="148"/>
      <c r="S54" s="148"/>
    </row>
    <row r="55" spans="1:22">
      <c r="A55" s="876">
        <f t="shared" si="0"/>
        <v>44</v>
      </c>
      <c r="B55" s="836">
        <v>8310</v>
      </c>
      <c r="C55" s="211" t="s">
        <v>912</v>
      </c>
      <c r="D55" s="599">
        <v>420.89</v>
      </c>
      <c r="E55" s="599">
        <v>965.79</v>
      </c>
      <c r="F55" s="599">
        <v>435.61</v>
      </c>
      <c r="G55" s="599">
        <v>1452.3</v>
      </c>
      <c r="H55" s="599">
        <v>2170</v>
      </c>
      <c r="I55" s="599">
        <v>3133</v>
      </c>
      <c r="J55" s="399">
        <v>1141.8190282576998</v>
      </c>
      <c r="K55" s="399">
        <v>1105.8915144422879</v>
      </c>
      <c r="L55" s="399">
        <v>1103.2609469001286</v>
      </c>
      <c r="M55" s="399">
        <v>1140.3643301151235</v>
      </c>
      <c r="N55" s="399">
        <v>1219.4740544896608</v>
      </c>
      <c r="O55" s="399">
        <v>856.56271797912723</v>
      </c>
      <c r="P55" s="211">
        <f t="shared" si="3"/>
        <v>15144.962592184031</v>
      </c>
      <c r="Q55" s="148"/>
      <c r="R55" s="212"/>
      <c r="S55" s="148"/>
    </row>
    <row r="56" spans="1:22">
      <c r="A56" s="876">
        <f t="shared" si="0"/>
        <v>45</v>
      </c>
      <c r="B56" s="836">
        <v>8340</v>
      </c>
      <c r="C56" s="211" t="s">
        <v>913</v>
      </c>
      <c r="D56" s="599">
        <v>157.15</v>
      </c>
      <c r="E56" s="599">
        <v>6645.0599999999995</v>
      </c>
      <c r="F56" s="599">
        <v>-629.18999999999994</v>
      </c>
      <c r="G56" s="599">
        <v>0</v>
      </c>
      <c r="H56" s="599">
        <v>15.61</v>
      </c>
      <c r="I56" s="599">
        <v>0</v>
      </c>
      <c r="J56" s="399">
        <v>877.0227389493507</v>
      </c>
      <c r="K56" s="399">
        <v>869.14968495628125</v>
      </c>
      <c r="L56" s="399">
        <v>841.14001527598737</v>
      </c>
      <c r="M56" s="399">
        <v>859.27148675933927</v>
      </c>
      <c r="N56" s="399">
        <v>907.05664057036142</v>
      </c>
      <c r="O56" s="399">
        <v>705.51423786264218</v>
      </c>
      <c r="P56" s="211">
        <f t="shared" si="3"/>
        <v>11247.78480437396</v>
      </c>
      <c r="Q56" s="148"/>
      <c r="R56" s="212"/>
      <c r="S56" s="148"/>
    </row>
    <row r="57" spans="1:22">
      <c r="A57" s="876">
        <f t="shared" si="0"/>
        <v>46</v>
      </c>
      <c r="B57" s="836">
        <v>8350</v>
      </c>
      <c r="C57" s="211" t="s">
        <v>914</v>
      </c>
      <c r="D57" s="599">
        <f>0</f>
        <v>0</v>
      </c>
      <c r="E57" s="599">
        <f>0</f>
        <v>0</v>
      </c>
      <c r="F57" s="599">
        <f>0</f>
        <v>0</v>
      </c>
      <c r="G57" s="599">
        <f>0</f>
        <v>0</v>
      </c>
      <c r="H57" s="599">
        <f>0</f>
        <v>0</v>
      </c>
      <c r="I57" s="599">
        <f>0</f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211">
        <f t="shared" si="3"/>
        <v>0</v>
      </c>
      <c r="Q57" s="148"/>
      <c r="R57" s="212"/>
      <c r="S57" s="148"/>
    </row>
    <row r="58" spans="1:22">
      <c r="A58" s="876">
        <f t="shared" si="0"/>
        <v>47</v>
      </c>
      <c r="B58" s="836">
        <v>8360</v>
      </c>
      <c r="C58" s="211" t="s">
        <v>915</v>
      </c>
      <c r="D58" s="599">
        <f>0</f>
        <v>0</v>
      </c>
      <c r="E58" s="599">
        <f>0</f>
        <v>0</v>
      </c>
      <c r="F58" s="599">
        <f>0</f>
        <v>0</v>
      </c>
      <c r="G58" s="599">
        <f>0</f>
        <v>0</v>
      </c>
      <c r="H58" s="599">
        <f>0</f>
        <v>0</v>
      </c>
      <c r="I58" s="599">
        <f>0</f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211">
        <f t="shared" si="3"/>
        <v>0</v>
      </c>
      <c r="Q58" s="148"/>
      <c r="R58" s="212"/>
      <c r="S58" s="148"/>
    </row>
    <row r="59" spans="1:22" s="795" customFormat="1">
      <c r="A59" s="876">
        <f t="shared" si="0"/>
        <v>48</v>
      </c>
      <c r="B59" s="709">
        <v>8370</v>
      </c>
      <c r="C59" s="81" t="s">
        <v>1361</v>
      </c>
      <c r="D59" s="599">
        <f>0</f>
        <v>0</v>
      </c>
      <c r="E59" s="599">
        <f>0</f>
        <v>0</v>
      </c>
      <c r="F59" s="599">
        <f>0</f>
        <v>0</v>
      </c>
      <c r="G59" s="599">
        <f>0</f>
        <v>0</v>
      </c>
      <c r="H59" s="599">
        <f>0</f>
        <v>0</v>
      </c>
      <c r="I59" s="599">
        <f>0</f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211">
        <f t="shared" si="3"/>
        <v>0</v>
      </c>
      <c r="Q59" s="148"/>
      <c r="R59" s="212"/>
      <c r="S59" s="148"/>
    </row>
    <row r="60" spans="1:22">
      <c r="A60" s="876">
        <f t="shared" si="0"/>
        <v>49</v>
      </c>
      <c r="B60" s="836">
        <v>8410</v>
      </c>
      <c r="C60" s="211" t="s">
        <v>189</v>
      </c>
      <c r="D60" s="599">
        <v>17878.14</v>
      </c>
      <c r="E60" s="599">
        <v>2111.9299999999994</v>
      </c>
      <c r="F60" s="599">
        <v>9048.65</v>
      </c>
      <c r="G60" s="599">
        <v>11668.31</v>
      </c>
      <c r="H60" s="599">
        <v>15076.6</v>
      </c>
      <c r="I60" s="599">
        <v>13540.470000000003</v>
      </c>
      <c r="J60" s="399">
        <v>10403.282875946818</v>
      </c>
      <c r="K60" s="399">
        <v>11260.389005650039</v>
      </c>
      <c r="L60" s="399">
        <v>10370.123186662684</v>
      </c>
      <c r="M60" s="399">
        <v>10846.749111590068</v>
      </c>
      <c r="N60" s="399">
        <v>10844.468475280901</v>
      </c>
      <c r="O60" s="399">
        <v>10423.831808760155</v>
      </c>
      <c r="P60" s="211">
        <f t="shared" si="3"/>
        <v>133472.94446389066</v>
      </c>
      <c r="Q60" s="148"/>
      <c r="R60" s="148"/>
      <c r="S60" s="148"/>
    </row>
    <row r="61" spans="1:22" s="796" customFormat="1">
      <c r="A61" s="876">
        <f t="shared" si="0"/>
        <v>50</v>
      </c>
      <c r="B61" s="709">
        <v>8520</v>
      </c>
      <c r="C61" s="81" t="s">
        <v>1362</v>
      </c>
      <c r="D61" s="599">
        <f>0</f>
        <v>0</v>
      </c>
      <c r="E61" s="599">
        <f>0</f>
        <v>0</v>
      </c>
      <c r="F61" s="599">
        <f>0</f>
        <v>0</v>
      </c>
      <c r="G61" s="599">
        <f>0</f>
        <v>0</v>
      </c>
      <c r="H61" s="599">
        <f>0</f>
        <v>0</v>
      </c>
      <c r="I61" s="599">
        <f>0</f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211">
        <f t="shared" si="3"/>
        <v>0</v>
      </c>
      <c r="Q61" s="148"/>
      <c r="R61" s="148"/>
      <c r="S61" s="148"/>
      <c r="U61" s="693"/>
      <c r="V61" s="80"/>
    </row>
    <row r="62" spans="1:22" s="798" customFormat="1">
      <c r="A62" s="876">
        <f t="shared" si="0"/>
        <v>51</v>
      </c>
      <c r="B62" s="709">
        <v>8550</v>
      </c>
      <c r="C62" s="81" t="s">
        <v>1418</v>
      </c>
      <c r="D62" s="599">
        <v>31.3</v>
      </c>
      <c r="E62" s="599">
        <v>30.74</v>
      </c>
      <c r="F62" s="599">
        <v>30.4</v>
      </c>
      <c r="G62" s="599">
        <v>29.65</v>
      </c>
      <c r="H62" s="599">
        <v>29.54</v>
      </c>
      <c r="I62" s="599">
        <v>28.29</v>
      </c>
      <c r="J62" s="399">
        <v>26.580489418766184</v>
      </c>
      <c r="K62" s="399">
        <v>26.673298963225697</v>
      </c>
      <c r="L62" s="399">
        <v>25.314935075045124</v>
      </c>
      <c r="M62" s="399">
        <v>23.983004929679819</v>
      </c>
      <c r="N62" s="399">
        <v>26.462655252013988</v>
      </c>
      <c r="O62" s="399">
        <v>23.101880169170904</v>
      </c>
      <c r="P62" s="211">
        <f t="shared" si="3"/>
        <v>332.03626380790166</v>
      </c>
      <c r="Q62" s="148"/>
      <c r="R62" s="148"/>
      <c r="S62" s="148"/>
      <c r="U62" s="693"/>
      <c r="V62" s="80"/>
    </row>
    <row r="63" spans="1:22">
      <c r="A63" s="876">
        <f t="shared" si="0"/>
        <v>52</v>
      </c>
      <c r="B63" s="836">
        <v>8560</v>
      </c>
      <c r="C63" s="211" t="s">
        <v>917</v>
      </c>
      <c r="D63" s="599">
        <v>9552.4699999999993</v>
      </c>
      <c r="E63" s="599">
        <v>31996.649999999998</v>
      </c>
      <c r="F63" s="599">
        <v>28224.389999999992</v>
      </c>
      <c r="G63" s="599">
        <v>15085.860000000002</v>
      </c>
      <c r="H63" s="599">
        <v>22350.339999999997</v>
      </c>
      <c r="I63" s="599">
        <v>21291.460000000003</v>
      </c>
      <c r="J63" s="399">
        <v>21247.150268761423</v>
      </c>
      <c r="K63" s="399">
        <v>22066.68254673035</v>
      </c>
      <c r="L63" s="399">
        <v>20182.413363912099</v>
      </c>
      <c r="M63" s="399">
        <v>20148.169003777126</v>
      </c>
      <c r="N63" s="399">
        <v>20531.333496188487</v>
      </c>
      <c r="O63" s="399">
        <v>19962.592915658344</v>
      </c>
      <c r="P63" s="211">
        <f t="shared" si="3"/>
        <v>252639.51159502778</v>
      </c>
      <c r="Q63" s="148"/>
      <c r="R63" s="212"/>
      <c r="S63" s="148"/>
    </row>
    <row r="64" spans="1:22">
      <c r="A64" s="876">
        <f t="shared" si="0"/>
        <v>53</v>
      </c>
      <c r="B64" s="836">
        <v>8570</v>
      </c>
      <c r="C64" s="211" t="s">
        <v>918</v>
      </c>
      <c r="D64" s="599">
        <v>842.1</v>
      </c>
      <c r="E64" s="599">
        <v>707.12000000000012</v>
      </c>
      <c r="F64" s="599">
        <v>867.69999999999993</v>
      </c>
      <c r="G64" s="599">
        <v>931.88</v>
      </c>
      <c r="H64" s="599">
        <v>1815.2399999999998</v>
      </c>
      <c r="I64" s="599">
        <v>915.41</v>
      </c>
      <c r="J64" s="399">
        <v>998.19260327522102</v>
      </c>
      <c r="K64" s="399">
        <v>1002.1792306301695</v>
      </c>
      <c r="L64" s="399">
        <v>910.86134278845486</v>
      </c>
      <c r="M64" s="399">
        <v>847.44734725161572</v>
      </c>
      <c r="N64" s="399">
        <v>912.51574919325446</v>
      </c>
      <c r="O64" s="399">
        <v>867.22331951837737</v>
      </c>
      <c r="P64" s="211">
        <f t="shared" si="3"/>
        <v>11617.869592657094</v>
      </c>
      <c r="Q64" s="148"/>
      <c r="R64" s="148"/>
      <c r="S64" s="148"/>
    </row>
    <row r="65" spans="1:19">
      <c r="A65" s="876">
        <f>A64+1</f>
        <v>54</v>
      </c>
      <c r="B65" s="836">
        <v>8630</v>
      </c>
      <c r="C65" s="211" t="s">
        <v>919</v>
      </c>
      <c r="D65" s="599">
        <v>-676.01</v>
      </c>
      <c r="E65" s="599">
        <v>0</v>
      </c>
      <c r="F65" s="599">
        <v>0</v>
      </c>
      <c r="G65" s="599">
        <v>2122.2600000000002</v>
      </c>
      <c r="H65" s="599">
        <v>-144.44999999999999</v>
      </c>
      <c r="I65" s="599">
        <v>338.01</v>
      </c>
      <c r="J65" s="399">
        <v>207.42909892612136</v>
      </c>
      <c r="K65" s="399">
        <v>207.29278130389798</v>
      </c>
      <c r="L65" s="399">
        <v>211.04469944402467</v>
      </c>
      <c r="M65" s="399">
        <v>228.54145244337008</v>
      </c>
      <c r="N65" s="399">
        <v>239.88550475037277</v>
      </c>
      <c r="O65" s="399">
        <v>166.08277860624648</v>
      </c>
      <c r="P65" s="211">
        <f t="shared" ref="P65:P66" si="6">SUM(D65:O65)</f>
        <v>2900.0863154740337</v>
      </c>
      <c r="Q65" s="148"/>
      <c r="R65" s="212"/>
      <c r="S65" s="148"/>
    </row>
    <row r="66" spans="1:19" s="797" customFormat="1">
      <c r="A66" s="876">
        <f t="shared" si="0"/>
        <v>55</v>
      </c>
      <c r="B66" s="709">
        <v>8640</v>
      </c>
      <c r="C66" s="81" t="s">
        <v>1363</v>
      </c>
      <c r="D66" s="599">
        <f>0</f>
        <v>0</v>
      </c>
      <c r="E66" s="599">
        <f>0</f>
        <v>0</v>
      </c>
      <c r="F66" s="599">
        <f>0</f>
        <v>0</v>
      </c>
      <c r="G66" s="599">
        <f>0</f>
        <v>0</v>
      </c>
      <c r="H66" s="599">
        <f>0</f>
        <v>0</v>
      </c>
      <c r="I66" s="599">
        <f>0</f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211">
        <f t="shared" si="6"/>
        <v>0</v>
      </c>
      <c r="Q66" s="148"/>
      <c r="R66" s="212"/>
      <c r="S66" s="148"/>
    </row>
    <row r="67" spans="1:19">
      <c r="A67" s="876">
        <f t="shared" si="0"/>
        <v>56</v>
      </c>
      <c r="B67" s="836">
        <v>8650</v>
      </c>
      <c r="C67" s="211" t="s">
        <v>920</v>
      </c>
      <c r="D67" s="599">
        <v>0</v>
      </c>
      <c r="E67" s="599">
        <v>0</v>
      </c>
      <c r="F67" s="599">
        <v>0</v>
      </c>
      <c r="G67" s="599">
        <v>186.24</v>
      </c>
      <c r="H67" s="599">
        <v>11.17</v>
      </c>
      <c r="I67" s="599">
        <v>0</v>
      </c>
      <c r="J67" s="399">
        <v>43.519026936793232</v>
      </c>
      <c r="K67" s="399">
        <v>40.105718120576341</v>
      </c>
      <c r="L67" s="399">
        <v>32.453914808819547</v>
      </c>
      <c r="M67" s="399">
        <v>23.511288983437701</v>
      </c>
      <c r="N67" s="399">
        <v>26.917684880612466</v>
      </c>
      <c r="O67" s="399">
        <v>31.720231740225405</v>
      </c>
      <c r="P67" s="211">
        <f t="shared" ref="P67:P106" si="7">SUM(D67:O67)</f>
        <v>395.6378654704647</v>
      </c>
      <c r="Q67" s="148"/>
      <c r="R67" s="148"/>
      <c r="S67" s="148"/>
    </row>
    <row r="68" spans="1:19">
      <c r="A68" s="876">
        <f t="shared" si="0"/>
        <v>57</v>
      </c>
      <c r="B68" s="836">
        <v>8700</v>
      </c>
      <c r="C68" s="211" t="s">
        <v>921</v>
      </c>
      <c r="D68" s="599">
        <v>121488.34000000003</v>
      </c>
      <c r="E68" s="599">
        <v>66761.950000000186</v>
      </c>
      <c r="F68" s="599">
        <v>96506.540000000139</v>
      </c>
      <c r="G68" s="599">
        <v>95123.020000000135</v>
      </c>
      <c r="H68" s="599">
        <v>107405.7199999999</v>
      </c>
      <c r="I68" s="599">
        <v>97613.249999999825</v>
      </c>
      <c r="J68" s="399">
        <v>104735.19801871628</v>
      </c>
      <c r="K68" s="399">
        <v>107296.46560177414</v>
      </c>
      <c r="L68" s="399">
        <v>107652.1522767323</v>
      </c>
      <c r="M68" s="399">
        <v>95061.739576489505</v>
      </c>
      <c r="N68" s="399">
        <v>98127.209004246615</v>
      </c>
      <c r="O68" s="399">
        <v>95293.191333889205</v>
      </c>
      <c r="P68" s="211">
        <f t="shared" si="7"/>
        <v>1193064.7758118485</v>
      </c>
      <c r="Q68" s="148"/>
      <c r="R68" s="212"/>
      <c r="S68" s="148"/>
    </row>
    <row r="69" spans="1:19">
      <c r="A69" s="876">
        <f t="shared" si="0"/>
        <v>58</v>
      </c>
      <c r="B69" s="836">
        <v>8710</v>
      </c>
      <c r="C69" s="211" t="s">
        <v>922</v>
      </c>
      <c r="D69" s="599">
        <v>50.39</v>
      </c>
      <c r="E69" s="599">
        <v>48.27</v>
      </c>
      <c r="F69" s="599">
        <v>58.99</v>
      </c>
      <c r="G69" s="599">
        <v>27.05</v>
      </c>
      <c r="H69" s="599">
        <v>61.11</v>
      </c>
      <c r="I69" s="599">
        <v>351.99</v>
      </c>
      <c r="J69" s="399">
        <v>88.316010307572398</v>
      </c>
      <c r="K69" s="399">
        <v>88.624378169277023</v>
      </c>
      <c r="L69" s="399">
        <v>84.111094863617041</v>
      </c>
      <c r="M69" s="399">
        <v>79.685639989787674</v>
      </c>
      <c r="N69" s="399">
        <v>87.92449594071789</v>
      </c>
      <c r="O69" s="399">
        <v>76.758025595433352</v>
      </c>
      <c r="P69" s="211">
        <f t="shared" si="7"/>
        <v>1103.2196448664054</v>
      </c>
      <c r="Q69" s="148"/>
      <c r="R69" s="212"/>
      <c r="S69" s="148"/>
    </row>
    <row r="70" spans="1:19">
      <c r="A70" s="876">
        <f t="shared" si="0"/>
        <v>59</v>
      </c>
      <c r="B70" s="836">
        <v>8711</v>
      </c>
      <c r="C70" s="103" t="s">
        <v>190</v>
      </c>
      <c r="D70" s="599">
        <v>58.55</v>
      </c>
      <c r="E70" s="599">
        <v>0</v>
      </c>
      <c r="F70" s="599">
        <v>0</v>
      </c>
      <c r="G70" s="599">
        <v>1204.3900000000001</v>
      </c>
      <c r="H70" s="599">
        <v>0</v>
      </c>
      <c r="I70" s="599">
        <v>0</v>
      </c>
      <c r="J70" s="399">
        <v>276.36034238577923</v>
      </c>
      <c r="K70" s="399">
        <v>255.6665938338756</v>
      </c>
      <c r="L70" s="399">
        <v>210.36434959407541</v>
      </c>
      <c r="M70" s="399">
        <v>156.44108561843723</v>
      </c>
      <c r="N70" s="399">
        <v>176.80583371340151</v>
      </c>
      <c r="O70" s="399">
        <v>206.1541359559603</v>
      </c>
      <c r="P70" s="211">
        <f t="shared" ref="P70:P71" si="8">SUM(D70:O70)</f>
        <v>2544.7323411015291</v>
      </c>
      <c r="Q70" s="148"/>
      <c r="R70" s="212"/>
      <c r="S70" s="148"/>
    </row>
    <row r="71" spans="1:19" s="798" customFormat="1">
      <c r="A71" s="876">
        <f t="shared" si="0"/>
        <v>60</v>
      </c>
      <c r="B71" s="709">
        <v>8720</v>
      </c>
      <c r="C71" s="103" t="s">
        <v>1364</v>
      </c>
      <c r="D71" s="599">
        <f>0</f>
        <v>0</v>
      </c>
      <c r="E71" s="599">
        <f>0</f>
        <v>0</v>
      </c>
      <c r="F71" s="599">
        <f>0</f>
        <v>0</v>
      </c>
      <c r="G71" s="599">
        <f>0</f>
        <v>0</v>
      </c>
      <c r="H71" s="599">
        <f>0</f>
        <v>0</v>
      </c>
      <c r="I71" s="599">
        <f>0</f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211">
        <f t="shared" si="8"/>
        <v>0</v>
      </c>
      <c r="Q71" s="148"/>
      <c r="R71" s="212"/>
      <c r="S71" s="148"/>
    </row>
    <row r="72" spans="1:19">
      <c r="A72" s="876">
        <f t="shared" si="0"/>
        <v>61</v>
      </c>
      <c r="B72" s="836">
        <v>8740</v>
      </c>
      <c r="C72" s="211" t="s">
        <v>923</v>
      </c>
      <c r="D72" s="599">
        <v>226559.30000000008</v>
      </c>
      <c r="E72" s="599">
        <v>356356.31999999995</v>
      </c>
      <c r="F72" s="599">
        <v>331226.78999999986</v>
      </c>
      <c r="G72" s="599">
        <v>248100.91999999972</v>
      </c>
      <c r="H72" s="599">
        <v>307975.7300000001</v>
      </c>
      <c r="I72" s="599">
        <v>220157.03999999998</v>
      </c>
      <c r="J72" s="399">
        <v>279762.74116838002</v>
      </c>
      <c r="K72" s="399">
        <v>281764.12184214161</v>
      </c>
      <c r="L72" s="399">
        <v>266054.96652069502</v>
      </c>
      <c r="M72" s="399">
        <v>262780.30932467576</v>
      </c>
      <c r="N72" s="399">
        <v>266350.10271621699</v>
      </c>
      <c r="O72" s="399">
        <v>252970.41187216531</v>
      </c>
      <c r="P72" s="211">
        <f t="shared" si="7"/>
        <v>3300058.753444274</v>
      </c>
      <c r="Q72" s="148"/>
      <c r="R72" s="212"/>
      <c r="S72" s="148"/>
    </row>
    <row r="73" spans="1:19">
      <c r="A73" s="876">
        <f t="shared" si="0"/>
        <v>62</v>
      </c>
      <c r="B73" s="836">
        <v>8750</v>
      </c>
      <c r="C73" s="211" t="s">
        <v>924</v>
      </c>
      <c r="D73" s="599">
        <v>61861.51</v>
      </c>
      <c r="E73" s="599">
        <v>19205.089999999997</v>
      </c>
      <c r="F73" s="599">
        <v>28782.089999999993</v>
      </c>
      <c r="G73" s="599">
        <v>39929.380000000005</v>
      </c>
      <c r="H73" s="599">
        <v>50494.560000000005</v>
      </c>
      <c r="I73" s="599">
        <v>41510.879999999997</v>
      </c>
      <c r="J73" s="399">
        <v>39810.193376284944</v>
      </c>
      <c r="K73" s="399">
        <v>42027.515002192951</v>
      </c>
      <c r="L73" s="399">
        <v>38315.264453817057</v>
      </c>
      <c r="M73" s="399">
        <v>38733.070435436384</v>
      </c>
      <c r="N73" s="399">
        <v>39245.287831893154</v>
      </c>
      <c r="O73" s="399">
        <v>38140.22107850157</v>
      </c>
      <c r="P73" s="211">
        <f t="shared" si="7"/>
        <v>478055.06217812601</v>
      </c>
      <c r="Q73" s="148"/>
      <c r="R73" s="212"/>
      <c r="S73" s="148"/>
    </row>
    <row r="74" spans="1:19">
      <c r="A74" s="876">
        <f t="shared" si="0"/>
        <v>63</v>
      </c>
      <c r="B74" s="836">
        <v>8760</v>
      </c>
      <c r="C74" s="211" t="s">
        <v>925</v>
      </c>
      <c r="D74" s="599">
        <v>2603.9899999999998</v>
      </c>
      <c r="E74" s="599">
        <v>3727.6899999999996</v>
      </c>
      <c r="F74" s="599">
        <v>2853.23</v>
      </c>
      <c r="G74" s="599">
        <v>3280.3199999999997</v>
      </c>
      <c r="H74" s="599">
        <v>2718.58</v>
      </c>
      <c r="I74" s="599">
        <v>-32.42999999999995</v>
      </c>
      <c r="J74" s="399">
        <v>2780.7421664390017</v>
      </c>
      <c r="K74" s="399">
        <v>2795.0846524446424</v>
      </c>
      <c r="L74" s="399">
        <v>2438.2127046999103</v>
      </c>
      <c r="M74" s="399">
        <v>2231.9904090595969</v>
      </c>
      <c r="N74" s="399">
        <v>2334.2091868756506</v>
      </c>
      <c r="O74" s="399">
        <v>2422.2999497006622</v>
      </c>
      <c r="P74" s="211">
        <f t="shared" si="7"/>
        <v>30153.919069219461</v>
      </c>
      <c r="Q74" s="148"/>
      <c r="R74" s="212"/>
      <c r="S74" s="148"/>
    </row>
    <row r="75" spans="1:19">
      <c r="A75" s="876">
        <f t="shared" si="0"/>
        <v>64</v>
      </c>
      <c r="B75" s="836">
        <v>8770</v>
      </c>
      <c r="C75" s="211" t="s">
        <v>926</v>
      </c>
      <c r="D75" s="599">
        <v>487.4</v>
      </c>
      <c r="E75" s="599">
        <v>1110.8999999999999</v>
      </c>
      <c r="F75" s="599">
        <v>1390.9699999999998</v>
      </c>
      <c r="G75" s="599">
        <v>96.56</v>
      </c>
      <c r="H75" s="599">
        <v>511.49</v>
      </c>
      <c r="I75" s="599">
        <v>7618.79</v>
      </c>
      <c r="J75" s="399">
        <v>2287.2348816894828</v>
      </c>
      <c r="K75" s="399">
        <v>2138.6928972598553</v>
      </c>
      <c r="L75" s="399">
        <v>1783.5052985593493</v>
      </c>
      <c r="M75" s="399">
        <v>1372.0203210213158</v>
      </c>
      <c r="N75" s="399">
        <v>1556.7050343499886</v>
      </c>
      <c r="O75" s="399">
        <v>1719.9396598412845</v>
      </c>
      <c r="P75" s="211">
        <f t="shared" si="7"/>
        <v>22074.208092721281</v>
      </c>
      <c r="Q75" s="148"/>
      <c r="R75" s="212"/>
      <c r="S75" s="148"/>
    </row>
    <row r="76" spans="1:19">
      <c r="A76" s="876">
        <f t="shared" si="0"/>
        <v>65</v>
      </c>
      <c r="B76" s="836">
        <v>8780</v>
      </c>
      <c r="C76" s="211" t="s">
        <v>927</v>
      </c>
      <c r="D76" s="599">
        <v>98617.510000000009</v>
      </c>
      <c r="E76" s="599">
        <v>50225.19999999999</v>
      </c>
      <c r="F76" s="599">
        <v>78582.409999999945</v>
      </c>
      <c r="G76" s="599">
        <v>75636.77</v>
      </c>
      <c r="H76" s="599">
        <v>88113.15</v>
      </c>
      <c r="I76" s="599">
        <v>80622.14</v>
      </c>
      <c r="J76" s="399">
        <v>75744.406098728577</v>
      </c>
      <c r="K76" s="399">
        <v>81468.056934878812</v>
      </c>
      <c r="L76" s="399">
        <v>74854.243908264369</v>
      </c>
      <c r="M76" s="399">
        <v>77590.817194578252</v>
      </c>
      <c r="N76" s="399">
        <v>77859.903296925695</v>
      </c>
      <c r="O76" s="399">
        <v>75101.526312815549</v>
      </c>
      <c r="P76" s="211">
        <f t="shared" si="7"/>
        <v>934416.13374619116</v>
      </c>
      <c r="Q76" s="148"/>
      <c r="R76" s="212"/>
      <c r="S76" s="148"/>
    </row>
    <row r="77" spans="1:19">
      <c r="A77" s="876">
        <f t="shared" si="0"/>
        <v>66</v>
      </c>
      <c r="B77" s="836">
        <v>8790</v>
      </c>
      <c r="C77" s="211" t="s">
        <v>928</v>
      </c>
      <c r="D77" s="599">
        <v>26.67</v>
      </c>
      <c r="E77" s="599">
        <v>1976.07</v>
      </c>
      <c r="F77" s="599">
        <v>0</v>
      </c>
      <c r="G77" s="599">
        <v>0</v>
      </c>
      <c r="H77" s="599">
        <v>0</v>
      </c>
      <c r="I77" s="599">
        <v>0</v>
      </c>
      <c r="J77" s="399">
        <v>441.50395627067161</v>
      </c>
      <c r="K77" s="399">
        <v>406.8756694635685</v>
      </c>
      <c r="L77" s="399">
        <v>329.24752213269471</v>
      </c>
      <c r="M77" s="399">
        <v>238.52387872291183</v>
      </c>
      <c r="N77" s="399">
        <v>273.08203342180138</v>
      </c>
      <c r="O77" s="399">
        <v>321.80424960953866</v>
      </c>
      <c r="P77" s="211">
        <f t="shared" si="7"/>
        <v>4013.7773096211868</v>
      </c>
      <c r="Q77" s="148"/>
      <c r="R77" s="212"/>
      <c r="S77" s="148"/>
    </row>
    <row r="78" spans="1:19">
      <c r="A78" s="876">
        <f t="shared" si="0"/>
        <v>67</v>
      </c>
      <c r="B78" s="836">
        <v>8800</v>
      </c>
      <c r="C78" s="211" t="s">
        <v>929</v>
      </c>
      <c r="D78" s="599">
        <v>4559.17</v>
      </c>
      <c r="E78" s="599">
        <v>9769.4200000000019</v>
      </c>
      <c r="F78" s="599">
        <v>25806.979999999996</v>
      </c>
      <c r="G78" s="599">
        <v>9218.4900000000016</v>
      </c>
      <c r="H78" s="599">
        <v>12897.25</v>
      </c>
      <c r="I78" s="599">
        <v>11839.650000000001</v>
      </c>
      <c r="J78" s="399">
        <v>13061.427189464473</v>
      </c>
      <c r="K78" s="399">
        <v>13993.884983223104</v>
      </c>
      <c r="L78" s="399">
        <v>13045.636866866871</v>
      </c>
      <c r="M78" s="399">
        <v>11952.56806403772</v>
      </c>
      <c r="N78" s="399">
        <v>11929.016492667402</v>
      </c>
      <c r="O78" s="399">
        <v>11560.000851689232</v>
      </c>
      <c r="P78" s="211">
        <f t="shared" si="7"/>
        <v>149633.49444794879</v>
      </c>
      <c r="Q78" s="148"/>
      <c r="R78" s="148"/>
      <c r="S78" s="148"/>
    </row>
    <row r="79" spans="1:19">
      <c r="A79" s="876">
        <f t="shared" si="0"/>
        <v>68</v>
      </c>
      <c r="B79" s="836">
        <v>8810</v>
      </c>
      <c r="C79" s="211" t="s">
        <v>930</v>
      </c>
      <c r="D79" s="599">
        <v>37613.359999999993</v>
      </c>
      <c r="E79" s="599">
        <v>31576.730000000003</v>
      </c>
      <c r="F79" s="599">
        <v>33008.11</v>
      </c>
      <c r="G79" s="599">
        <v>30693.929999999989</v>
      </c>
      <c r="H79" s="599">
        <v>34123.14</v>
      </c>
      <c r="I79" s="599">
        <v>40750.900000000009</v>
      </c>
      <c r="J79" s="399">
        <v>30538.428681850899</v>
      </c>
      <c r="K79" s="399">
        <v>30675.955996488472</v>
      </c>
      <c r="L79" s="399">
        <v>29217.328746881281</v>
      </c>
      <c r="M79" s="399">
        <v>27789.006020814322</v>
      </c>
      <c r="N79" s="399">
        <v>30543.896720364472</v>
      </c>
      <c r="O79" s="399">
        <v>26576.724497062107</v>
      </c>
      <c r="P79" s="211">
        <f t="shared" si="7"/>
        <v>383107.51066346146</v>
      </c>
      <c r="Q79" s="148"/>
      <c r="R79" s="148"/>
      <c r="S79" s="148"/>
    </row>
    <row r="80" spans="1:19">
      <c r="A80" s="876">
        <f t="shared" si="0"/>
        <v>69</v>
      </c>
      <c r="B80" s="836">
        <v>8850</v>
      </c>
      <c r="C80" s="211" t="s">
        <v>931</v>
      </c>
      <c r="D80" s="599">
        <v>312.39</v>
      </c>
      <c r="E80" s="599">
        <v>168.3</v>
      </c>
      <c r="F80" s="599">
        <v>21.29</v>
      </c>
      <c r="G80" s="599">
        <v>0</v>
      </c>
      <c r="H80" s="599">
        <v>238.17</v>
      </c>
      <c r="I80" s="599">
        <v>174</v>
      </c>
      <c r="J80" s="399">
        <v>106.75549975365566</v>
      </c>
      <c r="K80" s="399">
        <v>104.83921197698308</v>
      </c>
      <c r="L80" s="399">
        <v>95.920613211493588</v>
      </c>
      <c r="M80" s="399">
        <v>135.19495243927381</v>
      </c>
      <c r="N80" s="399">
        <v>133.36789314000725</v>
      </c>
      <c r="O80" s="399">
        <v>132.83889573824285</v>
      </c>
      <c r="P80" s="211">
        <f t="shared" si="7"/>
        <v>1623.0670662596563</v>
      </c>
      <c r="Q80" s="148"/>
      <c r="R80" s="148"/>
      <c r="S80" s="148"/>
    </row>
    <row r="81" spans="1:21">
      <c r="A81" s="876">
        <f t="shared" si="0"/>
        <v>70</v>
      </c>
      <c r="B81" s="836">
        <v>8860</v>
      </c>
      <c r="C81" s="211" t="s">
        <v>932</v>
      </c>
      <c r="D81" s="599">
        <v>0</v>
      </c>
      <c r="E81" s="599">
        <v>13.02</v>
      </c>
      <c r="F81" s="599">
        <v>47.55</v>
      </c>
      <c r="G81" s="599">
        <v>22.37</v>
      </c>
      <c r="H81" s="599">
        <v>0</v>
      </c>
      <c r="I81" s="599">
        <v>67.63</v>
      </c>
      <c r="J81" s="399">
        <v>32.246402524915204</v>
      </c>
      <c r="K81" s="399">
        <v>29.874816582401404</v>
      </c>
      <c r="L81" s="399">
        <v>24.444946326572367</v>
      </c>
      <c r="M81" s="399">
        <v>18.117578411274408</v>
      </c>
      <c r="N81" s="399">
        <v>20.670504950599391</v>
      </c>
      <c r="O81" s="399">
        <v>23.773586802020912</v>
      </c>
      <c r="P81" s="211">
        <f t="shared" si="7"/>
        <v>299.69783559778364</v>
      </c>
      <c r="Q81" s="148"/>
      <c r="R81" s="148"/>
      <c r="S81" s="148"/>
    </row>
    <row r="82" spans="1:21">
      <c r="A82" s="876">
        <f t="shared" si="0"/>
        <v>71</v>
      </c>
      <c r="B82" s="836">
        <v>8870</v>
      </c>
      <c r="C82" s="211" t="s">
        <v>933</v>
      </c>
      <c r="D82" s="599">
        <v>2051.67</v>
      </c>
      <c r="E82" s="599">
        <v>1614.92</v>
      </c>
      <c r="F82" s="599">
        <v>2274.3399999999997</v>
      </c>
      <c r="G82" s="599">
        <v>1692.15</v>
      </c>
      <c r="H82" s="599">
        <v>2720.2899999999995</v>
      </c>
      <c r="I82" s="599">
        <v>4890.25</v>
      </c>
      <c r="J82" s="399">
        <v>2338.7367010600105</v>
      </c>
      <c r="K82" s="399">
        <v>2479.7115405878149</v>
      </c>
      <c r="L82" s="399">
        <v>2312.8562938986774</v>
      </c>
      <c r="M82" s="399">
        <v>2411.3785776935847</v>
      </c>
      <c r="N82" s="399">
        <v>2443.5124861151753</v>
      </c>
      <c r="O82" s="399">
        <v>2224.8269566308263</v>
      </c>
      <c r="P82" s="211">
        <f t="shared" si="7"/>
        <v>29454.642555986084</v>
      </c>
      <c r="Q82" s="148"/>
      <c r="R82" s="153"/>
      <c r="S82" s="148"/>
    </row>
    <row r="83" spans="1:21">
      <c r="A83" s="876">
        <f t="shared" si="0"/>
        <v>72</v>
      </c>
      <c r="B83" s="836">
        <v>8890</v>
      </c>
      <c r="C83" s="877" t="s">
        <v>934</v>
      </c>
      <c r="D83" s="599">
        <v>0</v>
      </c>
      <c r="E83" s="599">
        <v>0</v>
      </c>
      <c r="F83" s="599">
        <v>0</v>
      </c>
      <c r="G83" s="599">
        <v>18.02</v>
      </c>
      <c r="H83" s="599">
        <v>0</v>
      </c>
      <c r="I83" s="599">
        <v>0</v>
      </c>
      <c r="J83" s="399">
        <v>3.9725083096145792</v>
      </c>
      <c r="K83" s="399">
        <v>3.6609343018731861</v>
      </c>
      <c r="L83" s="399">
        <v>2.9624616020208112</v>
      </c>
      <c r="M83" s="399">
        <v>2.1461599082191753</v>
      </c>
      <c r="N83" s="399">
        <v>2.4571028901708964</v>
      </c>
      <c r="O83" s="399">
        <v>2.8954894684102217</v>
      </c>
      <c r="P83" s="211">
        <f t="shared" si="7"/>
        <v>36.114656480308867</v>
      </c>
      <c r="Q83" s="148"/>
      <c r="R83" s="148"/>
      <c r="S83" s="148"/>
    </row>
    <row r="84" spans="1:21">
      <c r="A84" s="876">
        <f t="shared" ref="A84:A111" si="9">A83+1</f>
        <v>73</v>
      </c>
      <c r="B84" s="836">
        <v>8900</v>
      </c>
      <c r="C84" s="211" t="s">
        <v>935</v>
      </c>
      <c r="D84" s="599">
        <v>4089.86</v>
      </c>
      <c r="E84" s="599">
        <v>299.19</v>
      </c>
      <c r="F84" s="599">
        <v>0</v>
      </c>
      <c r="G84" s="599">
        <v>0</v>
      </c>
      <c r="H84" s="599">
        <v>0</v>
      </c>
      <c r="I84" s="599">
        <v>0</v>
      </c>
      <c r="J84" s="399">
        <v>967.56590434594159</v>
      </c>
      <c r="K84" s="399">
        <v>891.67723072344654</v>
      </c>
      <c r="L84" s="399">
        <v>721.5533903634539</v>
      </c>
      <c r="M84" s="399">
        <v>522.73047420473756</v>
      </c>
      <c r="N84" s="399">
        <v>598.46545172611388</v>
      </c>
      <c r="O84" s="399">
        <v>705.24129030665279</v>
      </c>
      <c r="P84" s="211">
        <f t="shared" si="7"/>
        <v>8796.2837416703478</v>
      </c>
      <c r="Q84" s="148"/>
      <c r="R84" s="148"/>
      <c r="S84" s="148"/>
    </row>
    <row r="85" spans="1:21">
      <c r="A85" s="876">
        <f t="shared" si="9"/>
        <v>74</v>
      </c>
      <c r="B85" s="836">
        <v>8910</v>
      </c>
      <c r="C85" s="211" t="s">
        <v>936</v>
      </c>
      <c r="D85" s="599">
        <v>114</v>
      </c>
      <c r="E85" s="599">
        <v>1284.8</v>
      </c>
      <c r="F85" s="599">
        <v>52.81</v>
      </c>
      <c r="G85" s="599">
        <v>170</v>
      </c>
      <c r="H85" s="599">
        <v>0</v>
      </c>
      <c r="I85" s="599">
        <v>583</v>
      </c>
      <c r="J85" s="399">
        <v>422.96235785790873</v>
      </c>
      <c r="K85" s="399">
        <v>400.28170311257674</v>
      </c>
      <c r="L85" s="399">
        <v>341.88894525341738</v>
      </c>
      <c r="M85" s="399">
        <v>274.87721578058199</v>
      </c>
      <c r="N85" s="399">
        <v>309.90722110280456</v>
      </c>
      <c r="O85" s="399">
        <v>326.25337055710253</v>
      </c>
      <c r="P85" s="211">
        <f t="shared" si="7"/>
        <v>4280.7808136643916</v>
      </c>
      <c r="Q85" s="148"/>
      <c r="R85" s="148"/>
      <c r="S85" s="148"/>
    </row>
    <row r="86" spans="1:21">
      <c r="A86" s="876">
        <f t="shared" si="9"/>
        <v>75</v>
      </c>
      <c r="B86" s="836">
        <v>8920</v>
      </c>
      <c r="C86" s="211" t="s">
        <v>937</v>
      </c>
      <c r="D86" s="599">
        <v>0</v>
      </c>
      <c r="E86" s="599">
        <v>0</v>
      </c>
      <c r="F86" s="599">
        <v>0</v>
      </c>
      <c r="G86" s="599">
        <v>0</v>
      </c>
      <c r="H86" s="599">
        <v>50.87</v>
      </c>
      <c r="I86" s="599">
        <v>0</v>
      </c>
      <c r="J86" s="399">
        <v>11.214289551059577</v>
      </c>
      <c r="K86" s="399">
        <v>10.334724080815146</v>
      </c>
      <c r="L86" s="399">
        <v>8.3629534791786142</v>
      </c>
      <c r="M86" s="399">
        <v>6.0585546354666722</v>
      </c>
      <c r="N86" s="399">
        <v>6.936338736015176</v>
      </c>
      <c r="O86" s="399">
        <v>8.1738928556064341</v>
      </c>
      <c r="P86" s="211">
        <f t="shared" si="7"/>
        <v>101.95075333814162</v>
      </c>
      <c r="Q86" s="148"/>
      <c r="R86" s="148"/>
      <c r="S86" s="148"/>
    </row>
    <row r="87" spans="1:21">
      <c r="A87" s="876">
        <f t="shared" si="9"/>
        <v>76</v>
      </c>
      <c r="B87" s="836">
        <v>8930</v>
      </c>
      <c r="C87" s="211" t="s">
        <v>938</v>
      </c>
      <c r="D87" s="599">
        <v>3597.5099999999998</v>
      </c>
      <c r="E87" s="599">
        <v>17018.47</v>
      </c>
      <c r="F87" s="599">
        <v>12171.419999999998</v>
      </c>
      <c r="G87" s="599">
        <v>1369.0500000000002</v>
      </c>
      <c r="H87" s="599">
        <v>1322.5700000000002</v>
      </c>
      <c r="I87" s="599">
        <v>9941.74</v>
      </c>
      <c r="J87" s="399">
        <v>7218.7172031185964</v>
      </c>
      <c r="K87" s="399">
        <v>7819.1631927379658</v>
      </c>
      <c r="L87" s="399">
        <v>7189.4344706364845</v>
      </c>
      <c r="M87" s="399">
        <v>7521.6993920121904</v>
      </c>
      <c r="N87" s="399">
        <v>7521.6993920121904</v>
      </c>
      <c r="O87" s="399">
        <v>7225.739916185109</v>
      </c>
      <c r="P87" s="211">
        <f t="shared" si="7"/>
        <v>89917.213566702529</v>
      </c>
      <c r="Q87" s="148"/>
      <c r="R87" s="148"/>
      <c r="S87" s="148"/>
    </row>
    <row r="88" spans="1:21">
      <c r="A88" s="876">
        <f t="shared" si="9"/>
        <v>77</v>
      </c>
      <c r="B88" s="836">
        <v>8940</v>
      </c>
      <c r="C88" s="211" t="s">
        <v>939</v>
      </c>
      <c r="D88" s="599">
        <v>875.79000000000008</v>
      </c>
      <c r="E88" s="599">
        <v>813.25</v>
      </c>
      <c r="F88" s="599">
        <v>1734.98</v>
      </c>
      <c r="G88" s="599">
        <v>992.0100000000001</v>
      </c>
      <c r="H88" s="599">
        <v>525.57000000000005</v>
      </c>
      <c r="I88" s="599">
        <v>239.21</v>
      </c>
      <c r="J88" s="399">
        <v>1378.8979112053476</v>
      </c>
      <c r="K88" s="399">
        <v>1291.6640818312399</v>
      </c>
      <c r="L88" s="399">
        <v>1096.6095460809368</v>
      </c>
      <c r="M88" s="399">
        <v>614.48478615254703</v>
      </c>
      <c r="N88" s="399">
        <v>701.039180255666</v>
      </c>
      <c r="O88" s="399">
        <v>819.11890968288139</v>
      </c>
      <c r="P88" s="211">
        <f t="shared" si="7"/>
        <v>11082.624415208618</v>
      </c>
      <c r="Q88" s="148"/>
      <c r="R88" s="148"/>
      <c r="S88" s="148"/>
    </row>
    <row r="89" spans="1:21" s="798" customFormat="1">
      <c r="A89" s="876">
        <f t="shared" si="9"/>
        <v>78</v>
      </c>
      <c r="B89" s="836">
        <v>9010</v>
      </c>
      <c r="C89" s="80" t="s">
        <v>182</v>
      </c>
      <c r="D89" s="599">
        <v>0</v>
      </c>
      <c r="E89" s="599">
        <v>48.86</v>
      </c>
      <c r="F89" s="599">
        <v>-18.32</v>
      </c>
      <c r="G89" s="599">
        <v>172.46</v>
      </c>
      <c r="H89" s="599">
        <v>0</v>
      </c>
      <c r="I89" s="599">
        <v>0</v>
      </c>
      <c r="J89" s="399">
        <v>42.872519779659306</v>
      </c>
      <c r="K89" s="399">
        <v>40.294335561912838</v>
      </c>
      <c r="L89" s="399">
        <v>33.186201628891226</v>
      </c>
      <c r="M89" s="399">
        <v>25.597213051493107</v>
      </c>
      <c r="N89" s="399">
        <v>28.573085785532719</v>
      </c>
      <c r="O89" s="399">
        <v>32.569657394952593</v>
      </c>
      <c r="P89" s="211">
        <f t="shared" si="7"/>
        <v>406.0930132024418</v>
      </c>
      <c r="Q89" s="148"/>
      <c r="R89" s="148"/>
      <c r="S89" s="148"/>
    </row>
    <row r="90" spans="1:21">
      <c r="A90" s="876">
        <f t="shared" si="9"/>
        <v>79</v>
      </c>
      <c r="B90" s="836">
        <v>9020</v>
      </c>
      <c r="C90" s="211" t="s">
        <v>940</v>
      </c>
      <c r="D90" s="599">
        <v>110784.90999999999</v>
      </c>
      <c r="E90" s="599">
        <v>105089.31999999998</v>
      </c>
      <c r="F90" s="599">
        <v>126664.08000000002</v>
      </c>
      <c r="G90" s="599">
        <v>97026.380000000019</v>
      </c>
      <c r="H90" s="599">
        <v>108759.08</v>
      </c>
      <c r="I90" s="599">
        <v>104421.48000000001</v>
      </c>
      <c r="J90" s="399">
        <v>86779.281108620286</v>
      </c>
      <c r="K90" s="399">
        <v>88256.111255874202</v>
      </c>
      <c r="L90" s="399">
        <v>88536.50222008198</v>
      </c>
      <c r="M90" s="399">
        <v>94815.066996157722</v>
      </c>
      <c r="N90" s="399">
        <v>99284.307296900282</v>
      </c>
      <c r="O90" s="399">
        <v>76385.467928657512</v>
      </c>
      <c r="P90" s="211">
        <f t="shared" si="7"/>
        <v>1186801.9868062921</v>
      </c>
      <c r="Q90" s="594"/>
      <c r="R90" s="594"/>
      <c r="S90" s="594"/>
      <c r="T90" s="594"/>
      <c r="U90" s="594"/>
    </row>
    <row r="91" spans="1:21">
      <c r="A91" s="876">
        <f t="shared" si="9"/>
        <v>80</v>
      </c>
      <c r="B91" s="836">
        <v>9030</v>
      </c>
      <c r="C91" s="211" t="s">
        <v>945</v>
      </c>
      <c r="D91" s="599">
        <v>23155.33</v>
      </c>
      <c r="E91" s="599">
        <v>39749.359999999993</v>
      </c>
      <c r="F91" s="599">
        <v>501984.22000000003</v>
      </c>
      <c r="G91" s="599">
        <v>102686.18999999999</v>
      </c>
      <c r="H91" s="599">
        <v>138341.84999999998</v>
      </c>
      <c r="I91" s="599">
        <v>123054.95999999999</v>
      </c>
      <c r="J91" s="399">
        <v>120507.57834925406</v>
      </c>
      <c r="K91" s="399">
        <v>121313.7520953964</v>
      </c>
      <c r="L91" s="399">
        <v>122157.18874856198</v>
      </c>
      <c r="M91" s="399">
        <v>131566.16815202171</v>
      </c>
      <c r="N91" s="399">
        <v>137491.77013666235</v>
      </c>
      <c r="O91" s="399">
        <v>98963.309252858511</v>
      </c>
      <c r="P91" s="211">
        <f t="shared" si="7"/>
        <v>1660971.6767347548</v>
      </c>
      <c r="Q91" s="594"/>
      <c r="R91" s="594"/>
      <c r="S91" s="594"/>
      <c r="T91" s="594"/>
      <c r="U91" s="594"/>
    </row>
    <row r="92" spans="1:21">
      <c r="A92" s="876">
        <f t="shared" si="9"/>
        <v>81</v>
      </c>
      <c r="B92" s="836">
        <v>9040</v>
      </c>
      <c r="C92" s="211" t="s">
        <v>946</v>
      </c>
      <c r="D92" s="599">
        <v>49058</v>
      </c>
      <c r="E92" s="599">
        <v>39838</v>
      </c>
      <c r="F92" s="599">
        <v>32057</v>
      </c>
      <c r="G92" s="599">
        <v>27877</v>
      </c>
      <c r="H92" s="599">
        <v>23175</v>
      </c>
      <c r="I92" s="599">
        <v>21912</v>
      </c>
      <c r="J92" s="399">
        <v>21693.599999999999</v>
      </c>
      <c r="K92" s="399">
        <v>21263.29</v>
      </c>
      <c r="L92" s="399">
        <v>21604.04</v>
      </c>
      <c r="M92" s="399">
        <v>29383.746299999999</v>
      </c>
      <c r="N92" s="399">
        <v>35250.331700000002</v>
      </c>
      <c r="O92" s="399">
        <v>46799.183700000001</v>
      </c>
      <c r="P92" s="211">
        <f t="shared" si="7"/>
        <v>369911.19170000002</v>
      </c>
      <c r="Q92" s="148"/>
      <c r="R92" s="148"/>
      <c r="S92" s="148"/>
    </row>
    <row r="93" spans="1:21">
      <c r="A93" s="876">
        <f t="shared" si="9"/>
        <v>82</v>
      </c>
      <c r="B93" s="836">
        <v>9090</v>
      </c>
      <c r="C93" s="211" t="s">
        <v>947</v>
      </c>
      <c r="D93" s="599">
        <v>10133.370000000001</v>
      </c>
      <c r="E93" s="599">
        <v>9037.86</v>
      </c>
      <c r="F93" s="599">
        <v>11220.49</v>
      </c>
      <c r="G93" s="599">
        <v>9707.85</v>
      </c>
      <c r="H93" s="599">
        <v>12366.190000000002</v>
      </c>
      <c r="I93" s="599">
        <v>12062.02</v>
      </c>
      <c r="J93" s="399">
        <v>12031.954990537901</v>
      </c>
      <c r="K93" s="399">
        <v>12761.961963263597</v>
      </c>
      <c r="L93" s="399">
        <v>12252.785509635303</v>
      </c>
      <c r="M93" s="399">
        <v>11131.191495653427</v>
      </c>
      <c r="N93" s="399">
        <v>11030.751385091457</v>
      </c>
      <c r="O93" s="399">
        <v>10675.868313112467</v>
      </c>
      <c r="P93" s="211">
        <f t="shared" si="7"/>
        <v>134412.29365729415</v>
      </c>
      <c r="Q93" s="148"/>
      <c r="R93" s="148"/>
      <c r="S93" s="148"/>
    </row>
    <row r="94" spans="1:21" s="798" customFormat="1">
      <c r="A94" s="876">
        <f t="shared" si="9"/>
        <v>83</v>
      </c>
      <c r="B94" s="836">
        <v>9100</v>
      </c>
      <c r="C94" s="211" t="s">
        <v>948</v>
      </c>
      <c r="D94" s="599">
        <f>0</f>
        <v>0</v>
      </c>
      <c r="E94" s="599">
        <f>0</f>
        <v>0</v>
      </c>
      <c r="F94" s="599">
        <f>0</f>
        <v>0</v>
      </c>
      <c r="G94" s="599">
        <f>0</f>
        <v>0</v>
      </c>
      <c r="H94" s="599">
        <f>0</f>
        <v>0</v>
      </c>
      <c r="I94" s="599">
        <f>0</f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211">
        <f t="shared" si="7"/>
        <v>0</v>
      </c>
      <c r="Q94" s="148"/>
      <c r="R94" s="148"/>
      <c r="S94" s="148"/>
    </row>
    <row r="95" spans="1:21">
      <c r="A95" s="876">
        <f t="shared" si="9"/>
        <v>84</v>
      </c>
      <c r="B95" s="836">
        <v>9110</v>
      </c>
      <c r="C95" s="211" t="s">
        <v>949</v>
      </c>
      <c r="D95" s="599">
        <v>22301.33</v>
      </c>
      <c r="E95" s="599">
        <v>16762.810000000001</v>
      </c>
      <c r="F95" s="599">
        <v>23243.09</v>
      </c>
      <c r="G95" s="599">
        <v>19798.989999999998</v>
      </c>
      <c r="H95" s="599">
        <v>21407.67</v>
      </c>
      <c r="I95" s="599">
        <v>21584.890000000003</v>
      </c>
      <c r="J95" s="399">
        <v>20675.423591401213</v>
      </c>
      <c r="K95" s="399">
        <v>21999.196767974179</v>
      </c>
      <c r="L95" s="399">
        <v>21360.062230206717</v>
      </c>
      <c r="M95" s="399">
        <v>22375.104967986197</v>
      </c>
      <c r="N95" s="399">
        <v>22087.808769509622</v>
      </c>
      <c r="O95" s="399">
        <v>21532.913795045988</v>
      </c>
      <c r="P95" s="211">
        <f t="shared" si="7"/>
        <v>255129.29012212393</v>
      </c>
      <c r="Q95" s="148"/>
      <c r="R95" s="153"/>
      <c r="S95" s="148"/>
    </row>
    <row r="96" spans="1:21">
      <c r="A96" s="876">
        <f t="shared" si="9"/>
        <v>85</v>
      </c>
      <c r="B96" s="836">
        <v>9120</v>
      </c>
      <c r="C96" s="211" t="s">
        <v>950</v>
      </c>
      <c r="D96" s="599">
        <v>16390.32</v>
      </c>
      <c r="E96" s="599">
        <v>8111.26</v>
      </c>
      <c r="F96" s="599">
        <v>12044.060000000001</v>
      </c>
      <c r="G96" s="599">
        <v>10477.56</v>
      </c>
      <c r="H96" s="599">
        <v>6937.37</v>
      </c>
      <c r="I96" s="599">
        <v>6607.42</v>
      </c>
      <c r="J96" s="399">
        <v>7020.904787823094</v>
      </c>
      <c r="K96" s="399">
        <v>9167.1438574379699</v>
      </c>
      <c r="L96" s="399">
        <v>10817.563892877215</v>
      </c>
      <c r="M96" s="399">
        <v>12910.311088777229</v>
      </c>
      <c r="N96" s="399">
        <v>6569.8752645233899</v>
      </c>
      <c r="O96" s="399">
        <v>10032.512903661907</v>
      </c>
      <c r="P96" s="211">
        <f t="shared" si="7"/>
        <v>117086.30179510081</v>
      </c>
      <c r="Q96" s="148"/>
      <c r="R96" s="153"/>
      <c r="S96" s="148"/>
    </row>
    <row r="97" spans="1:19">
      <c r="A97" s="876">
        <f t="shared" si="9"/>
        <v>86</v>
      </c>
      <c r="B97" s="836">
        <v>9130</v>
      </c>
      <c r="C97" s="211" t="s">
        <v>951</v>
      </c>
      <c r="D97" s="599">
        <v>1111.1600000000001</v>
      </c>
      <c r="E97" s="599">
        <v>7084.3</v>
      </c>
      <c r="F97" s="599">
        <v>2365.9899999999998</v>
      </c>
      <c r="G97" s="599">
        <v>2627.1400000000003</v>
      </c>
      <c r="H97" s="599">
        <v>3104.84</v>
      </c>
      <c r="I97" s="599">
        <v>3025</v>
      </c>
      <c r="J97" s="399">
        <v>2446.4242876818776</v>
      </c>
      <c r="K97" s="399">
        <v>3237.4881920074649</v>
      </c>
      <c r="L97" s="399">
        <v>3877.4551024282482</v>
      </c>
      <c r="M97" s="399">
        <v>4172.0275790556625</v>
      </c>
      <c r="N97" s="399">
        <v>2317.9921993413336</v>
      </c>
      <c r="O97" s="399">
        <v>3367.2511335634836</v>
      </c>
      <c r="P97" s="211">
        <f t="shared" si="7"/>
        <v>38737.06849407807</v>
      </c>
      <c r="Q97" s="148"/>
      <c r="R97" s="148"/>
      <c r="S97" s="148"/>
    </row>
    <row r="98" spans="1:19">
      <c r="A98" s="876">
        <f t="shared" si="9"/>
        <v>87</v>
      </c>
      <c r="B98" s="836">
        <v>9200</v>
      </c>
      <c r="C98" s="103" t="s">
        <v>183</v>
      </c>
      <c r="D98" s="599">
        <v>13290.94</v>
      </c>
      <c r="E98" s="599">
        <v>9993.0299999999988</v>
      </c>
      <c r="F98" s="599">
        <v>13406.640000000001</v>
      </c>
      <c r="G98" s="599">
        <v>10433.07</v>
      </c>
      <c r="H98" s="599">
        <v>12196.779999999999</v>
      </c>
      <c r="I98" s="599">
        <v>12401.91</v>
      </c>
      <c r="J98" s="399">
        <v>11398.829657791661</v>
      </c>
      <c r="K98" s="399">
        <v>12346.973401588475</v>
      </c>
      <c r="L98" s="399">
        <v>11352.590295577267</v>
      </c>
      <c r="M98" s="399">
        <v>11877.258478780925</v>
      </c>
      <c r="N98" s="399">
        <v>11877.258478780925</v>
      </c>
      <c r="O98" s="399">
        <v>11409.918984015183</v>
      </c>
      <c r="P98" s="211">
        <f t="shared" ref="P98" si="10">SUM(D98:O98)</f>
        <v>141985.19929653441</v>
      </c>
      <c r="Q98" s="148"/>
      <c r="R98" s="153"/>
      <c r="S98" s="148"/>
    </row>
    <row r="99" spans="1:19">
      <c r="A99" s="876">
        <f t="shared" si="9"/>
        <v>88</v>
      </c>
      <c r="B99" s="836">
        <v>9210</v>
      </c>
      <c r="C99" s="211" t="s">
        <v>952</v>
      </c>
      <c r="D99" s="599">
        <v>213</v>
      </c>
      <c r="E99" s="599">
        <v>-50</v>
      </c>
      <c r="F99" s="599">
        <v>141.4</v>
      </c>
      <c r="G99" s="599">
        <v>397.76</v>
      </c>
      <c r="H99" s="599">
        <v>623.2399999999999</v>
      </c>
      <c r="I99" s="599">
        <v>375.99</v>
      </c>
      <c r="J99" s="399">
        <v>-413.31388270564776</v>
      </c>
      <c r="K99" s="399">
        <v>-366.18750577662126</v>
      </c>
      <c r="L99" s="399">
        <v>-315.6713458137653</v>
      </c>
      <c r="M99" s="399">
        <v>308.85523548641817</v>
      </c>
      <c r="N99" s="399">
        <v>194.54688484462145</v>
      </c>
      <c r="O99" s="399">
        <v>270.37413966801546</v>
      </c>
      <c r="P99" s="211">
        <f t="shared" si="7"/>
        <v>1379.9935257030206</v>
      </c>
      <c r="Q99" s="148"/>
      <c r="R99" s="153"/>
      <c r="S99" s="148"/>
    </row>
    <row r="100" spans="1:19">
      <c r="A100" s="876">
        <f t="shared" si="9"/>
        <v>89</v>
      </c>
      <c r="B100" s="836">
        <v>9220</v>
      </c>
      <c r="C100" s="211" t="s">
        <v>953</v>
      </c>
      <c r="D100" s="599">
        <v>1165023.74</v>
      </c>
      <c r="E100" s="599">
        <v>1094816.6299999999</v>
      </c>
      <c r="F100" s="599">
        <v>946831.91999999993</v>
      </c>
      <c r="G100" s="599">
        <v>1026190.3400000001</v>
      </c>
      <c r="H100" s="599">
        <v>1198875.8399999999</v>
      </c>
      <c r="I100" s="599">
        <v>640902.33000000007</v>
      </c>
      <c r="J100" s="96">
        <f>-('C.2.2 B 02'!J42+'C.2.2 B 12'!J34+'C.2.2 B 91'!J56)</f>
        <v>1184249.655396251</v>
      </c>
      <c r="K100" s="96">
        <f>-('C.2.2 B 02'!K42+'C.2.2 B 12'!K34+'C.2.2 B 91'!K56)</f>
        <v>1080233.0201791865</v>
      </c>
      <c r="L100" s="96">
        <f>-('C.2.2 B 02'!L42+'C.2.2 B 12'!L34+'C.2.2 B 91'!L56)</f>
        <v>1682863.6339103838</v>
      </c>
      <c r="M100" s="96">
        <f>-('C.2.2 B 02'!M42+'C.2.2 B 12'!M34+'C.2.2 B 91'!M56)</f>
        <v>1074739.2939509973</v>
      </c>
      <c r="N100" s="96">
        <f>-('C.2.2 B 02'!N42+'C.2.2 B 12'!N34+'C.2.2 B 91'!N56)</f>
        <v>1106665.6302485375</v>
      </c>
      <c r="O100" s="96">
        <f>-('C.2.2 B 02'!O42+'C.2.2 B 12'!O34+'C.2.2 B 91'!O56)</f>
        <v>1081185.8229090364</v>
      </c>
      <c r="P100" s="211">
        <f>SUM(D100:O100)</f>
        <v>13282577.856594393</v>
      </c>
      <c r="Q100" s="594"/>
      <c r="R100" s="814"/>
      <c r="S100" s="211"/>
    </row>
    <row r="101" spans="1:19">
      <c r="A101" s="876">
        <f t="shared" si="9"/>
        <v>90</v>
      </c>
      <c r="B101" s="836">
        <v>9230</v>
      </c>
      <c r="C101" s="211" t="s">
        <v>954</v>
      </c>
      <c r="D101" s="599">
        <v>7268.05</v>
      </c>
      <c r="E101" s="599">
        <v>5262.9</v>
      </c>
      <c r="F101" s="599">
        <v>0</v>
      </c>
      <c r="G101" s="599">
        <v>10119.08</v>
      </c>
      <c r="H101" s="599">
        <v>9741.08</v>
      </c>
      <c r="I101" s="599">
        <v>5019.95</v>
      </c>
      <c r="J101" s="399">
        <v>4524.4967419991381</v>
      </c>
      <c r="K101" s="399">
        <v>4436.1393290730448</v>
      </c>
      <c r="L101" s="399">
        <v>4625.2448831349311</v>
      </c>
      <c r="M101" s="399">
        <v>5045.9183349906152</v>
      </c>
      <c r="N101" s="399">
        <v>5349.0562074909139</v>
      </c>
      <c r="O101" s="399">
        <v>3418.6418831471237</v>
      </c>
      <c r="P101" s="211">
        <f t="shared" si="7"/>
        <v>64810.557379835765</v>
      </c>
      <c r="Q101" s="148"/>
      <c r="R101" s="153"/>
      <c r="S101" s="148"/>
    </row>
    <row r="102" spans="1:19">
      <c r="A102" s="876">
        <f t="shared" si="9"/>
        <v>91</v>
      </c>
      <c r="B102" s="836">
        <v>9240</v>
      </c>
      <c r="C102" s="211" t="s">
        <v>955</v>
      </c>
      <c r="D102" s="599">
        <v>13990.779999999999</v>
      </c>
      <c r="E102" s="599">
        <v>13921.75</v>
      </c>
      <c r="F102" s="599">
        <v>14167.420000000002</v>
      </c>
      <c r="G102" s="599">
        <v>13939.490000000002</v>
      </c>
      <c r="H102" s="599">
        <v>14230.75</v>
      </c>
      <c r="I102" s="599">
        <v>13802.05</v>
      </c>
      <c r="J102" s="399">
        <v>1439.3178702045811</v>
      </c>
      <c r="K102" s="399">
        <v>946.40079136739587</v>
      </c>
      <c r="L102" s="399">
        <v>1361.4369717483057</v>
      </c>
      <c r="M102" s="399">
        <v>394.33366306974824</v>
      </c>
      <c r="N102" s="399">
        <v>394.33366306974824</v>
      </c>
      <c r="O102" s="399">
        <v>394.33366306974824</v>
      </c>
      <c r="P102" s="211">
        <f t="shared" si="7"/>
        <v>88982.39662252953</v>
      </c>
      <c r="Q102" s="148"/>
      <c r="R102" s="153"/>
      <c r="S102" s="148"/>
    </row>
    <row r="103" spans="1:19">
      <c r="A103" s="876">
        <f t="shared" si="9"/>
        <v>92</v>
      </c>
      <c r="B103" s="836">
        <v>9250</v>
      </c>
      <c r="C103" s="211" t="s">
        <v>956</v>
      </c>
      <c r="D103" s="599">
        <v>1847.5900000000001</v>
      </c>
      <c r="E103" s="599">
        <v>783.72</v>
      </c>
      <c r="F103" s="599">
        <v>2141.4499999999998</v>
      </c>
      <c r="G103" s="599">
        <v>5523.7</v>
      </c>
      <c r="H103" s="599">
        <v>488.45</v>
      </c>
      <c r="I103" s="599">
        <v>313.65999999999997</v>
      </c>
      <c r="J103" s="399">
        <v>1116.6725776922744</v>
      </c>
      <c r="K103" s="399">
        <v>1138.2339204285026</v>
      </c>
      <c r="L103" s="399">
        <v>1281.8892428190045</v>
      </c>
      <c r="M103" s="399">
        <v>1404.0351406507662</v>
      </c>
      <c r="N103" s="399">
        <v>1573.7679120582748</v>
      </c>
      <c r="O103" s="399">
        <v>1067.8093835746895</v>
      </c>
      <c r="P103" s="211">
        <f t="shared" si="7"/>
        <v>18680.978177223515</v>
      </c>
      <c r="Q103" s="148"/>
      <c r="R103" s="153"/>
      <c r="S103" s="148"/>
    </row>
    <row r="104" spans="1:19">
      <c r="A104" s="876">
        <f t="shared" si="9"/>
        <v>93</v>
      </c>
      <c r="B104" s="836">
        <v>9260</v>
      </c>
      <c r="C104" s="211" t="s">
        <v>957</v>
      </c>
      <c r="D104" s="599">
        <v>174539.36999999988</v>
      </c>
      <c r="E104" s="599">
        <v>152249.79999999996</v>
      </c>
      <c r="F104" s="599">
        <v>185191.22000000012</v>
      </c>
      <c r="G104" s="599">
        <v>160523.91999999995</v>
      </c>
      <c r="H104" s="599">
        <v>188456.50000000003</v>
      </c>
      <c r="I104" s="599">
        <v>160942.74000000005</v>
      </c>
      <c r="J104" s="399">
        <v>161708.81371113806</v>
      </c>
      <c r="K104" s="399">
        <v>175131.83863619238</v>
      </c>
      <c r="L104" s="399">
        <v>163499.9672487934</v>
      </c>
      <c r="M104" s="399">
        <v>142796.48177615754</v>
      </c>
      <c r="N104" s="399">
        <v>145700.21108473931</v>
      </c>
      <c r="O104" s="399">
        <v>136624.56752368226</v>
      </c>
      <c r="P104" s="211">
        <f>SUM(D104:O104)</f>
        <v>1947365.4299807029</v>
      </c>
      <c r="Q104" s="148"/>
      <c r="R104" s="153"/>
      <c r="S104" s="148"/>
    </row>
    <row r="105" spans="1:19">
      <c r="A105" s="876">
        <f t="shared" si="9"/>
        <v>94</v>
      </c>
      <c r="B105" s="836">
        <v>9270</v>
      </c>
      <c r="C105" s="211" t="s">
        <v>958</v>
      </c>
      <c r="D105" s="599">
        <v>0</v>
      </c>
      <c r="E105" s="599">
        <v>0</v>
      </c>
      <c r="F105" s="599">
        <v>842.28</v>
      </c>
      <c r="G105" s="599">
        <v>0</v>
      </c>
      <c r="H105" s="599">
        <v>14.37</v>
      </c>
      <c r="I105" s="599">
        <v>0</v>
      </c>
      <c r="J105" s="399">
        <v>1774.8257615384764</v>
      </c>
      <c r="K105" s="399">
        <v>1774.911456199769</v>
      </c>
      <c r="L105" s="399">
        <v>1775.2651268766554</v>
      </c>
      <c r="M105" s="399">
        <v>82.987592800505183</v>
      </c>
      <c r="N105" s="399">
        <v>77.835902190061532</v>
      </c>
      <c r="O105" s="399">
        <v>47.88898431433725</v>
      </c>
      <c r="P105" s="211">
        <f t="shared" si="7"/>
        <v>6390.3648239198037</v>
      </c>
      <c r="Q105" s="148"/>
      <c r="R105" s="153"/>
      <c r="S105" s="148"/>
    </row>
    <row r="106" spans="1:19">
      <c r="A106" s="876">
        <f t="shared" si="9"/>
        <v>95</v>
      </c>
      <c r="B106" s="836">
        <v>9280</v>
      </c>
      <c r="C106" s="211" t="s">
        <v>959</v>
      </c>
      <c r="D106" s="599">
        <f>0</f>
        <v>0</v>
      </c>
      <c r="E106" s="599">
        <f>0</f>
        <v>0</v>
      </c>
      <c r="F106" s="599">
        <f>0</f>
        <v>0</v>
      </c>
      <c r="G106" s="599">
        <f>0</f>
        <v>0</v>
      </c>
      <c r="H106" s="599">
        <f>0</f>
        <v>0</v>
      </c>
      <c r="I106" s="599">
        <f>0</f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211">
        <f t="shared" si="7"/>
        <v>0</v>
      </c>
      <c r="Q106" s="148"/>
      <c r="R106" s="153"/>
      <c r="S106" s="148"/>
    </row>
    <row r="107" spans="1:19">
      <c r="A107" s="876">
        <f t="shared" si="9"/>
        <v>96</v>
      </c>
      <c r="B107" s="836">
        <v>9302</v>
      </c>
      <c r="C107" s="211" t="s">
        <v>864</v>
      </c>
      <c r="D107" s="599">
        <v>12347.07</v>
      </c>
      <c r="E107" s="599">
        <v>7382.07</v>
      </c>
      <c r="F107" s="599">
        <v>8449.07</v>
      </c>
      <c r="G107" s="599">
        <v>4277.07</v>
      </c>
      <c r="H107" s="599">
        <v>14490.15</v>
      </c>
      <c r="I107" s="599">
        <v>4482.07</v>
      </c>
      <c r="J107" s="399">
        <v>1735.8813523859897</v>
      </c>
      <c r="K107" s="399">
        <v>2011.8987986306272</v>
      </c>
      <c r="L107" s="399">
        <v>1723.9805109630124</v>
      </c>
      <c r="M107" s="399">
        <v>10935.477996652693</v>
      </c>
      <c r="N107" s="399">
        <v>684.21630705275663</v>
      </c>
      <c r="O107" s="399">
        <v>5642.6403298598962</v>
      </c>
      <c r="P107" s="211">
        <f t="shared" ref="P107:P109" si="11">SUM(D107:O107)</f>
        <v>74161.595295544976</v>
      </c>
      <c r="Q107" s="148"/>
      <c r="R107" s="153"/>
      <c r="S107" s="148"/>
    </row>
    <row r="108" spans="1:19">
      <c r="A108" s="876">
        <f t="shared" si="9"/>
        <v>97</v>
      </c>
      <c r="B108" s="836">
        <v>9310</v>
      </c>
      <c r="C108" s="103" t="s">
        <v>185</v>
      </c>
      <c r="D108" s="599">
        <v>1283.2</v>
      </c>
      <c r="E108" s="599">
        <v>1283.2</v>
      </c>
      <c r="F108" s="599">
        <v>1283.2</v>
      </c>
      <c r="G108" s="599">
        <v>1283.2</v>
      </c>
      <c r="H108" s="599">
        <v>1304.52</v>
      </c>
      <c r="I108" s="599">
        <v>1304.52</v>
      </c>
      <c r="J108" s="399">
        <v>1143.741086048137</v>
      </c>
      <c r="K108" s="399">
        <v>1147.7346200836998</v>
      </c>
      <c r="L108" s="399">
        <v>1089.2851098343008</v>
      </c>
      <c r="M108" s="399">
        <v>1031.9730262605183</v>
      </c>
      <c r="N108" s="399">
        <v>1138.6707588720099</v>
      </c>
      <c r="O108" s="399">
        <v>994.05880373996285</v>
      </c>
      <c r="P108" s="211">
        <f t="shared" si="11"/>
        <v>14287.303404838631</v>
      </c>
      <c r="Q108" s="148"/>
      <c r="R108" s="153"/>
      <c r="S108" s="148"/>
    </row>
    <row r="109" spans="1:19">
      <c r="A109" s="876">
        <f t="shared" si="9"/>
        <v>98</v>
      </c>
      <c r="B109" s="836">
        <v>9320</v>
      </c>
      <c r="C109" s="80" t="s">
        <v>186</v>
      </c>
      <c r="D109" s="599">
        <f>0</f>
        <v>0</v>
      </c>
      <c r="E109" s="599">
        <f>0</f>
        <v>0</v>
      </c>
      <c r="F109" s="599">
        <f>0</f>
        <v>0</v>
      </c>
      <c r="G109" s="599">
        <f>0</f>
        <v>0</v>
      </c>
      <c r="H109" s="599">
        <f>0</f>
        <v>0</v>
      </c>
      <c r="I109" s="599">
        <f>0</f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211">
        <f t="shared" si="11"/>
        <v>0</v>
      </c>
      <c r="Q109" s="148"/>
      <c r="R109" s="148"/>
      <c r="S109" s="148"/>
    </row>
    <row r="110" spans="1:19">
      <c r="A110" s="248">
        <f t="shared" si="9"/>
        <v>99</v>
      </c>
      <c r="B110" s="148"/>
      <c r="C110" s="14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9"/>
      <c r="P110" s="213"/>
      <c r="Q110" s="213"/>
      <c r="R110" s="213"/>
      <c r="S110" s="213"/>
    </row>
    <row r="111" spans="1:19" ht="15.75" thickBot="1">
      <c r="A111" s="248">
        <f t="shared" si="9"/>
        <v>100</v>
      </c>
      <c r="B111" s="213"/>
      <c r="C111" s="213" t="s">
        <v>741</v>
      </c>
      <c r="D111" s="215">
        <f t="shared" ref="D111:O111" si="12">SUM(D14:D110)</f>
        <v>-7658331.7099999897</v>
      </c>
      <c r="E111" s="215">
        <f t="shared" si="12"/>
        <v>-5898687.0200000051</v>
      </c>
      <c r="F111" s="215">
        <f t="shared" si="12"/>
        <v>-4089591.2500000005</v>
      </c>
      <c r="G111" s="215">
        <f t="shared" si="12"/>
        <v>-3275126.7900000024</v>
      </c>
      <c r="H111" s="215">
        <f t="shared" si="12"/>
        <v>-1785227.6200000027</v>
      </c>
      <c r="I111" s="215">
        <f t="shared" si="12"/>
        <v>-2193179.8899999997</v>
      </c>
      <c r="J111" s="791">
        <f t="shared" si="12"/>
        <v>-1591869.7095363843</v>
      </c>
      <c r="K111" s="215">
        <f t="shared" si="12"/>
        <v>-1772209.7531313128</v>
      </c>
      <c r="L111" s="215">
        <f t="shared" si="12"/>
        <v>-1054480.5689020769</v>
      </c>
      <c r="M111" s="215">
        <f t="shared" si="12"/>
        <v>-2142961.4717996269</v>
      </c>
      <c r="N111" s="215">
        <f t="shared" si="12"/>
        <v>-3856544.8530762801</v>
      </c>
      <c r="O111" s="215">
        <f t="shared" si="12"/>
        <v>-5428955.1553659728</v>
      </c>
      <c r="P111" s="215">
        <f>SUM(P12:P110)</f>
        <v>-28093139.379559282</v>
      </c>
      <c r="Q111" s="216"/>
      <c r="R111" s="211"/>
      <c r="S111" s="213"/>
    </row>
    <row r="112" spans="1:19" ht="15.75" thickTop="1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>
      <c r="A113" s="213"/>
      <c r="B113" s="213"/>
      <c r="C113" s="213" t="s">
        <v>198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R113" s="213"/>
      <c r="S113" s="213"/>
    </row>
    <row r="114" spans="1:19">
      <c r="A114" s="213"/>
      <c r="B114" s="213"/>
      <c r="C114" s="214" t="s">
        <v>1225</v>
      </c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594"/>
      <c r="P114" s="213"/>
      <c r="Q114" s="213"/>
      <c r="R114" s="213"/>
      <c r="S114" s="213"/>
    </row>
    <row r="115" spans="1:19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P115" s="213"/>
      <c r="Q115" s="217"/>
      <c r="R115" s="213"/>
      <c r="S115" s="213"/>
    </row>
    <row r="116" spans="1:19">
      <c r="A116" s="213"/>
      <c r="B116" s="213"/>
      <c r="C116" s="213"/>
      <c r="D116" s="213"/>
      <c r="E116" s="213"/>
      <c r="F116" s="213"/>
      <c r="G116" s="213"/>
      <c r="H116" s="213"/>
      <c r="I116" s="213"/>
      <c r="J116" s="217"/>
      <c r="K116" s="217"/>
      <c r="L116" s="213"/>
      <c r="M116" s="213"/>
      <c r="N116" s="213"/>
      <c r="P116" s="80"/>
      <c r="Q116" s="80"/>
      <c r="R116" s="213"/>
      <c r="S116" s="213"/>
    </row>
    <row r="117" spans="1:19">
      <c r="A117" s="213"/>
      <c r="B117" s="213" t="s">
        <v>961</v>
      </c>
      <c r="C117" s="214"/>
      <c r="D117" s="213"/>
      <c r="E117" s="213"/>
      <c r="F117" s="217"/>
      <c r="G117" s="213"/>
      <c r="H117" s="213"/>
      <c r="I117" s="213"/>
      <c r="J117" s="217"/>
      <c r="K117" s="217"/>
      <c r="L117" s="213"/>
      <c r="M117" s="213"/>
      <c r="N117" s="213"/>
      <c r="P117" s="609"/>
      <c r="R117" s="213"/>
      <c r="S117" s="213"/>
    </row>
    <row r="118" spans="1:19">
      <c r="A118" s="213"/>
      <c r="B118" s="213" t="s">
        <v>1507</v>
      </c>
      <c r="C118" s="213"/>
      <c r="D118" s="218"/>
      <c r="E118" s="218"/>
      <c r="F118" s="218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7"/>
      <c r="R118" s="213"/>
      <c r="S118" s="213"/>
    </row>
    <row r="119" spans="1:19">
      <c r="A119" s="213"/>
      <c r="B119" s="1" t="s">
        <v>1651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7"/>
      <c r="P119" s="213"/>
      <c r="Q119" s="217"/>
      <c r="R119" s="213"/>
      <c r="S119" s="213"/>
    </row>
    <row r="120" spans="1:19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P120" s="213"/>
      <c r="Q120" s="213"/>
      <c r="R120" s="213"/>
      <c r="S120" s="213"/>
    </row>
    <row r="121" spans="1:19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388"/>
      <c r="P121" s="217"/>
      <c r="Q121" s="213"/>
      <c r="R121" s="213"/>
      <c r="S121" s="213"/>
    </row>
    <row r="122" spans="1:19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170"/>
      <c r="P122" s="217"/>
      <c r="Q122" s="213"/>
      <c r="R122" s="213"/>
      <c r="S122" s="213"/>
    </row>
    <row r="123" spans="1:19">
      <c r="A123" s="213"/>
      <c r="B123" s="213"/>
      <c r="C123" s="594"/>
      <c r="D123" s="721"/>
      <c r="E123" s="721"/>
      <c r="F123" s="721"/>
      <c r="G123" s="721"/>
      <c r="H123" s="721"/>
      <c r="I123" s="721"/>
      <c r="J123" s="721"/>
      <c r="K123" s="721"/>
      <c r="L123" s="213"/>
      <c r="M123" s="213"/>
      <c r="N123" s="213"/>
      <c r="O123" s="170"/>
      <c r="P123" s="217"/>
      <c r="Q123" s="213"/>
      <c r="R123" s="213"/>
      <c r="S123" s="213"/>
    </row>
    <row r="124" spans="1:19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4"/>
      <c r="O124" s="170"/>
      <c r="P124" s="217"/>
      <c r="Q124" s="213"/>
      <c r="R124" s="213"/>
      <c r="S124" s="213"/>
    </row>
    <row r="125" spans="1:19">
      <c r="A125" s="213"/>
      <c r="B125" s="213"/>
      <c r="C125" s="594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464"/>
      <c r="P125" s="213"/>
      <c r="Q125" s="213"/>
      <c r="R125" s="213"/>
      <c r="S125" s="213"/>
    </row>
    <row r="126" spans="1:19">
      <c r="A126" s="213"/>
      <c r="B126" s="213"/>
      <c r="C126" s="92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170"/>
      <c r="P126" s="213"/>
      <c r="Q126" s="213"/>
      <c r="R126" s="213"/>
      <c r="S126" s="213"/>
    </row>
    <row r="127" spans="1:19">
      <c r="A127" s="213"/>
      <c r="B127" s="213"/>
      <c r="C127" s="92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170"/>
      <c r="P127" s="217"/>
      <c r="Q127" s="213"/>
      <c r="R127" s="213"/>
      <c r="S127" s="213"/>
    </row>
    <row r="128" spans="1:19">
      <c r="A128" s="213"/>
      <c r="B128" s="213"/>
      <c r="C128" s="92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7"/>
      <c r="P128" s="213"/>
      <c r="Q128" s="213"/>
      <c r="R128" s="213"/>
      <c r="S128" s="213"/>
    </row>
    <row r="129" spans="1:19">
      <c r="A129" s="213"/>
      <c r="B129" s="213"/>
      <c r="C129" s="92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7"/>
      <c r="P129" s="213"/>
      <c r="Q129" s="213"/>
      <c r="R129" s="213"/>
      <c r="S129" s="213"/>
    </row>
    <row r="130" spans="1:19">
      <c r="P130" s="213"/>
    </row>
    <row r="131" spans="1:19">
      <c r="P131" s="213"/>
    </row>
    <row r="132" spans="1:19">
      <c r="P132" s="213"/>
    </row>
    <row r="133" spans="1:19">
      <c r="P133" s="213"/>
    </row>
    <row r="134" spans="1:19">
      <c r="E134" s="798"/>
      <c r="F134" s="798"/>
      <c r="G134" s="798"/>
      <c r="H134" s="798"/>
      <c r="I134" s="798"/>
      <c r="J134" s="798"/>
      <c r="K134" s="798"/>
      <c r="L134" s="798"/>
      <c r="M134" s="798"/>
      <c r="N134" s="798"/>
      <c r="O134" s="798"/>
    </row>
    <row r="135" spans="1:19">
      <c r="D135" s="722"/>
      <c r="E135" s="722"/>
      <c r="F135" s="722"/>
      <c r="G135" s="722"/>
      <c r="H135" s="722"/>
      <c r="I135" s="722"/>
      <c r="J135" s="722"/>
      <c r="K135" s="722"/>
      <c r="L135" s="722"/>
      <c r="M135" s="722"/>
      <c r="N135" s="722"/>
      <c r="O135" s="722"/>
      <c r="P135" s="722"/>
    </row>
    <row r="136" spans="1:19">
      <c r="J136" s="80"/>
      <c r="K136" s="80"/>
      <c r="L136" s="80"/>
      <c r="M136" s="80"/>
      <c r="N136" s="80"/>
      <c r="O136" s="80"/>
    </row>
    <row r="137" spans="1:19">
      <c r="D137" s="723"/>
    </row>
    <row r="139" spans="1:19">
      <c r="J139" s="79"/>
    </row>
    <row r="140" spans="1:19">
      <c r="E140" s="798"/>
      <c r="F140" s="798"/>
      <c r="G140" s="798"/>
      <c r="H140" s="798"/>
      <c r="I140" s="798"/>
      <c r="J140" s="798"/>
    </row>
    <row r="141" spans="1:19">
      <c r="C141" s="594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  <ignoredErrors>
    <ignoredError sqref="K100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R63"/>
  <sheetViews>
    <sheetView view="pageBreakPreview" zoomScale="60" zoomScaleNormal="70" workbookViewId="0">
      <pane xSplit="3" ySplit="11" topLeftCell="D24" activePane="bottomRight" state="frozen"/>
      <selection activeCell="F55" sqref="F55"/>
      <selection pane="topRight" activeCell="F55" sqref="F55"/>
      <selection pane="bottomLeft" activeCell="F55" sqref="F55"/>
      <selection pane="bottomRight" activeCell="C53" sqref="C53:C67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5" width="13.109375" style="80" bestFit="1" customWidth="1"/>
    <col min="6" max="6" width="11.44140625" style="80" customWidth="1"/>
    <col min="7" max="8" width="13.109375" style="80" bestFit="1" customWidth="1"/>
    <col min="9" max="9" width="11.109375" style="80" customWidth="1"/>
    <col min="10" max="10" width="11.6640625" style="80" customWidth="1"/>
    <col min="11" max="14" width="13.109375" style="80" bestFit="1" customWidth="1"/>
    <col min="15" max="15" width="12.44140625" style="80" customWidth="1"/>
    <col min="16" max="16" width="14.109375" style="80" bestFit="1" customWidth="1"/>
    <col min="17" max="17" width="9.109375" style="80" customWidth="1"/>
    <col min="18" max="18" width="12.5546875" style="80" customWidth="1"/>
    <col min="19" max="22" width="7.109375" style="80"/>
    <col min="23" max="23" width="11.33203125" style="80" customWidth="1"/>
    <col min="24" max="24" width="12.5546875" style="80" customWidth="1"/>
    <col min="25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8">
      <c r="A5" s="81"/>
      <c r="B5" s="150"/>
      <c r="C5" s="150"/>
      <c r="D5" s="150"/>
      <c r="E5" s="150"/>
      <c r="F5" s="150"/>
      <c r="G5" s="878"/>
      <c r="H5" s="673"/>
      <c r="I5" s="202"/>
      <c r="J5" s="202"/>
      <c r="K5" s="202"/>
      <c r="L5" s="202"/>
      <c r="M5" s="202"/>
      <c r="N5" s="202"/>
      <c r="O5" s="202"/>
      <c r="P5" s="196"/>
      <c r="Q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196"/>
      <c r="G6" s="196"/>
      <c r="H6" s="879"/>
      <c r="I6" s="196"/>
      <c r="K6" s="880"/>
      <c r="L6" s="196"/>
      <c r="M6" s="196"/>
      <c r="N6" s="202"/>
      <c r="O6" s="202"/>
      <c r="P6" s="507" t="s">
        <v>1456</v>
      </c>
      <c r="Q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673"/>
      <c r="F7" s="196"/>
      <c r="G7" s="196"/>
      <c r="H7" s="196"/>
      <c r="I7" s="196"/>
      <c r="J7" s="196"/>
      <c r="K7" s="196"/>
      <c r="L7" s="196"/>
      <c r="M7" s="196"/>
      <c r="N7" s="202"/>
      <c r="O7" s="202"/>
      <c r="P7" s="508" t="s">
        <v>38</v>
      </c>
      <c r="Q7" s="196"/>
    </row>
    <row r="8" spans="1:18">
      <c r="A8" s="23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P8" s="509" t="str">
        <f>C.1!J9</f>
        <v>Witness: Waller, Martin</v>
      </c>
      <c r="Q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211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211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1"/>
    </row>
    <row r="12" spans="1:18">
      <c r="A12" s="196"/>
      <c r="B12" s="836" t="s">
        <v>740</v>
      </c>
      <c r="C12" s="103" t="s">
        <v>731</v>
      </c>
      <c r="D12" s="599">
        <v>-273263.57000000007</v>
      </c>
      <c r="E12" s="599">
        <v>-98036.37</v>
      </c>
      <c r="F12" s="599">
        <v>819269.8599999994</v>
      </c>
      <c r="G12" s="599">
        <v>1343143.58</v>
      </c>
      <c r="H12" s="599">
        <v>-712768.66</v>
      </c>
      <c r="I12" s="599">
        <v>-257808.63000000082</v>
      </c>
      <c r="J12" s="599"/>
      <c r="K12" s="599"/>
      <c r="L12" s="599"/>
      <c r="M12" s="599"/>
      <c r="N12" s="599"/>
      <c r="O12" s="599"/>
      <c r="P12" s="211">
        <f t="shared" ref="P12:P13" si="0">SUM(D12:O12)</f>
        <v>820536.20999999857</v>
      </c>
      <c r="Q12" s="211"/>
      <c r="R12" s="693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1"/>
    </row>
    <row r="14" spans="1:18">
      <c r="A14" s="462">
        <v>1</v>
      </c>
      <c r="B14" s="836">
        <v>4030</v>
      </c>
      <c r="C14" s="196" t="s">
        <v>92</v>
      </c>
      <c r="D14" s="599">
        <v>7.2759576141834259E-11</v>
      </c>
      <c r="E14" s="599">
        <v>8.7311491370201111E-11</v>
      </c>
      <c r="F14" s="599">
        <v>0</v>
      </c>
      <c r="G14" s="599">
        <v>-2.9103830456733704E-11</v>
      </c>
      <c r="H14" s="599">
        <v>4.3655745685100555E-11</v>
      </c>
      <c r="I14" s="599">
        <v>-2.3283064365386963E-10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>SUM(D14:O14)</f>
        <v>-5.8207660913467407E-11</v>
      </c>
      <c r="Q14" s="673"/>
      <c r="R14" s="693"/>
    </row>
    <row r="15" spans="1:18">
      <c r="A15" s="462">
        <f>A14+1</f>
        <v>2</v>
      </c>
      <c r="B15" s="366">
        <v>4081</v>
      </c>
      <c r="C15" s="211" t="s">
        <v>869</v>
      </c>
      <c r="D15" s="599">
        <v>2.0000000036361598E-2</v>
      </c>
      <c r="E15" s="599">
        <v>1.9999999945866875E-2</v>
      </c>
      <c r="F15" s="599">
        <v>1.0000000049330993E-2</v>
      </c>
      <c r="G15" s="599">
        <v>-2327847.38</v>
      </c>
      <c r="H15" s="599">
        <v>2327847.3600000003</v>
      </c>
      <c r="I15" s="599">
        <v>180543.63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211">
        <f>SUM(D15:O15)</f>
        <v>180543.66000000027</v>
      </c>
      <c r="Q15" s="673"/>
    </row>
    <row r="16" spans="1:18">
      <c r="A16" s="462"/>
      <c r="B16" s="366">
        <v>8210</v>
      </c>
      <c r="C16" s="103" t="s">
        <v>898</v>
      </c>
      <c r="D16" s="599">
        <v>0</v>
      </c>
      <c r="E16" s="599">
        <v>1500</v>
      </c>
      <c r="F16" s="599">
        <v>0</v>
      </c>
      <c r="G16" s="599">
        <v>0</v>
      </c>
      <c r="H16" s="599">
        <v>0</v>
      </c>
      <c r="I16" s="599">
        <v>0</v>
      </c>
      <c r="J16" s="599">
        <v>423.5462956128523</v>
      </c>
      <c r="K16" s="599">
        <v>411.62308828801838</v>
      </c>
      <c r="L16" s="599">
        <v>476.62346960814978</v>
      </c>
      <c r="M16" s="599">
        <v>470.91723151957916</v>
      </c>
      <c r="N16" s="599">
        <v>414.64895633508735</v>
      </c>
      <c r="O16" s="599">
        <v>452.31893526110503</v>
      </c>
      <c r="P16" s="211">
        <f>SUM(D16:O16)</f>
        <v>4149.6779766247919</v>
      </c>
      <c r="Q16" s="673"/>
    </row>
    <row r="17" spans="1:17">
      <c r="A17" s="462">
        <f>A15+1</f>
        <v>3</v>
      </c>
      <c r="B17" s="366">
        <v>8560</v>
      </c>
      <c r="C17" s="211" t="s">
        <v>917</v>
      </c>
      <c r="D17" s="599">
        <f>0</f>
        <v>0</v>
      </c>
      <c r="E17" s="599">
        <f>0</f>
        <v>0</v>
      </c>
      <c r="F17" s="599">
        <f>0</f>
        <v>0</v>
      </c>
      <c r="G17" s="599">
        <f>0</f>
        <v>0</v>
      </c>
      <c r="H17" s="599">
        <f>0</f>
        <v>0</v>
      </c>
      <c r="I17" s="599">
        <f>0</f>
        <v>0</v>
      </c>
      <c r="J17" s="599">
        <v>0</v>
      </c>
      <c r="K17" s="599">
        <v>0</v>
      </c>
      <c r="L17" s="599">
        <v>0</v>
      </c>
      <c r="M17" s="599">
        <v>0</v>
      </c>
      <c r="N17" s="599">
        <v>0</v>
      </c>
      <c r="O17" s="599">
        <v>0</v>
      </c>
      <c r="P17" s="211">
        <f t="shared" ref="P17:P37" si="1">SUM(D17:O17)</f>
        <v>0</v>
      </c>
      <c r="Q17" s="211"/>
    </row>
    <row r="18" spans="1:17">
      <c r="A18" s="462">
        <f t="shared" ref="A18:A42" si="2">A17+1</f>
        <v>4</v>
      </c>
      <c r="B18" s="366">
        <v>8700</v>
      </c>
      <c r="C18" s="211" t="s">
        <v>921</v>
      </c>
      <c r="D18" s="599">
        <v>280.74</v>
      </c>
      <c r="E18" s="599">
        <v>365.24000000000012</v>
      </c>
      <c r="F18" s="599">
        <v>155.97</v>
      </c>
      <c r="G18" s="599">
        <v>155.97</v>
      </c>
      <c r="H18" s="599">
        <v>155.97</v>
      </c>
      <c r="I18" s="599">
        <v>616.26</v>
      </c>
      <c r="J18" s="599">
        <v>516.82248540474279</v>
      </c>
      <c r="K18" s="599">
        <v>506.5946760659059</v>
      </c>
      <c r="L18" s="599">
        <v>509.09226698556967</v>
      </c>
      <c r="M18" s="599">
        <v>513.81746954601999</v>
      </c>
      <c r="N18" s="599">
        <v>506.57359624599889</v>
      </c>
      <c r="O18" s="599">
        <v>507.23532928866837</v>
      </c>
      <c r="P18" s="211">
        <f t="shared" si="1"/>
        <v>4790.2858235369049</v>
      </c>
      <c r="Q18" s="211"/>
    </row>
    <row r="19" spans="1:17">
      <c r="A19" s="462">
        <f t="shared" si="2"/>
        <v>5</v>
      </c>
      <c r="B19" s="366">
        <v>8740</v>
      </c>
      <c r="C19" s="211" t="s">
        <v>923</v>
      </c>
      <c r="D19" s="599">
        <v>1954.3399999999997</v>
      </c>
      <c r="E19" s="599">
        <v>-7920.6399999999994</v>
      </c>
      <c r="F19" s="599">
        <v>4035.44</v>
      </c>
      <c r="G19" s="599">
        <v>4414.1499999999996</v>
      </c>
      <c r="H19" s="599">
        <v>16.680000000000177</v>
      </c>
      <c r="I19" s="599">
        <v>10987</v>
      </c>
      <c r="J19" s="599">
        <v>5378.8344939404551</v>
      </c>
      <c r="K19" s="599">
        <v>5377.8217065185236</v>
      </c>
      <c r="L19" s="599">
        <v>5384.124898112741</v>
      </c>
      <c r="M19" s="599">
        <v>4744.3711112690626</v>
      </c>
      <c r="N19" s="599">
        <v>4744.1859430476197</v>
      </c>
      <c r="O19" s="599">
        <v>4744.2454274134461</v>
      </c>
      <c r="P19" s="211">
        <f t="shared" si="1"/>
        <v>43860.55358030185</v>
      </c>
      <c r="Q19" s="211"/>
    </row>
    <row r="20" spans="1:17">
      <c r="A20" s="462">
        <f t="shared" si="2"/>
        <v>6</v>
      </c>
      <c r="B20" s="366">
        <v>8780</v>
      </c>
      <c r="C20" s="211" t="s">
        <v>927</v>
      </c>
      <c r="D20" s="599">
        <f>0</f>
        <v>0</v>
      </c>
      <c r="E20" s="599">
        <f>0</f>
        <v>0</v>
      </c>
      <c r="F20" s="599">
        <f>0</f>
        <v>0</v>
      </c>
      <c r="G20" s="599">
        <f>0</f>
        <v>0</v>
      </c>
      <c r="H20" s="599">
        <f>0</f>
        <v>0</v>
      </c>
      <c r="I20" s="599">
        <f>0</f>
        <v>0</v>
      </c>
      <c r="J20" s="599">
        <v>0</v>
      </c>
      <c r="K20" s="599">
        <v>0</v>
      </c>
      <c r="L20" s="599">
        <v>0</v>
      </c>
      <c r="M20" s="599">
        <v>0</v>
      </c>
      <c r="N20" s="599">
        <v>0</v>
      </c>
      <c r="O20" s="599">
        <v>0</v>
      </c>
      <c r="P20" s="211">
        <f t="shared" si="1"/>
        <v>0</v>
      </c>
      <c r="Q20" s="211"/>
    </row>
    <row r="21" spans="1:17">
      <c r="A21" s="462">
        <f t="shared" si="2"/>
        <v>7</v>
      </c>
      <c r="B21" s="366">
        <v>8800</v>
      </c>
      <c r="C21" s="211" t="s">
        <v>929</v>
      </c>
      <c r="D21" s="599">
        <v>89.61</v>
      </c>
      <c r="E21" s="599">
        <v>7.39</v>
      </c>
      <c r="F21" s="599">
        <v>0</v>
      </c>
      <c r="G21" s="599">
        <v>0</v>
      </c>
      <c r="H21" s="599">
        <v>0</v>
      </c>
      <c r="I21" s="599">
        <v>0</v>
      </c>
      <c r="J21" s="599">
        <v>18.36829697765009</v>
      </c>
      <c r="K21" s="599">
        <v>17.438991308389586</v>
      </c>
      <c r="L21" s="599">
        <v>236.1171342155034</v>
      </c>
      <c r="M21" s="599">
        <v>18.78563811721375</v>
      </c>
      <c r="N21" s="599">
        <v>18.85924639169987</v>
      </c>
      <c r="O21" s="599">
        <v>19.790766511887888</v>
      </c>
      <c r="P21" s="211">
        <f t="shared" si="1"/>
        <v>426.36007352234458</v>
      </c>
      <c r="Q21" s="211"/>
    </row>
    <row r="22" spans="1:17">
      <c r="A22" s="462">
        <f t="shared" si="2"/>
        <v>8</v>
      </c>
      <c r="B22" s="366">
        <v>8900</v>
      </c>
      <c r="C22" s="80" t="s">
        <v>935</v>
      </c>
      <c r="D22" s="599">
        <v>0</v>
      </c>
      <c r="E22" s="599">
        <v>0</v>
      </c>
      <c r="F22" s="599">
        <v>248.29</v>
      </c>
      <c r="G22" s="599">
        <v>0</v>
      </c>
      <c r="H22" s="599">
        <v>0</v>
      </c>
      <c r="I22" s="599">
        <v>0</v>
      </c>
      <c r="J22" s="599">
        <v>50.602862814680002</v>
      </c>
      <c r="K22" s="599">
        <v>50.952118959891742</v>
      </c>
      <c r="L22" s="599">
        <v>50.324503923571136</v>
      </c>
      <c r="M22" s="599">
        <v>52.488036317314069</v>
      </c>
      <c r="N22" s="599">
        <v>52.053354792158686</v>
      </c>
      <c r="O22" s="599">
        <v>51.845893155152702</v>
      </c>
      <c r="P22" s="211">
        <f t="shared" si="1"/>
        <v>556.55676996276827</v>
      </c>
      <c r="Q22" s="211"/>
    </row>
    <row r="23" spans="1:17">
      <c r="A23" s="462">
        <f t="shared" si="2"/>
        <v>9</v>
      </c>
      <c r="B23" s="366">
        <v>9010</v>
      </c>
      <c r="C23" s="211" t="s">
        <v>182</v>
      </c>
      <c r="D23" s="599">
        <v>0</v>
      </c>
      <c r="E23" s="599">
        <v>0</v>
      </c>
      <c r="F23" s="599">
        <v>0</v>
      </c>
      <c r="G23" s="599">
        <v>4879.2</v>
      </c>
      <c r="H23" s="599">
        <v>0</v>
      </c>
      <c r="I23" s="599">
        <v>0</v>
      </c>
      <c r="J23" s="599">
        <v>1356.7392632040005</v>
      </c>
      <c r="K23" s="599">
        <v>1300.0119606804649</v>
      </c>
      <c r="L23" s="599">
        <v>1500.8050317341265</v>
      </c>
      <c r="M23" s="599">
        <v>1489.0660069452254</v>
      </c>
      <c r="N23" s="599">
        <v>1319.3353415886788</v>
      </c>
      <c r="O23" s="599">
        <v>1434.3382072361674</v>
      </c>
      <c r="P23" s="211">
        <f t="shared" si="1"/>
        <v>13279.495811388664</v>
      </c>
      <c r="Q23" s="211"/>
    </row>
    <row r="24" spans="1:17">
      <c r="A24" s="462">
        <f t="shared" si="2"/>
        <v>10</v>
      </c>
      <c r="B24" s="366">
        <v>9030</v>
      </c>
      <c r="C24" s="211" t="s">
        <v>945</v>
      </c>
      <c r="D24" s="599">
        <v>123041.54999999999</v>
      </c>
      <c r="E24" s="599">
        <v>78422.819999999992</v>
      </c>
      <c r="F24" s="599">
        <v>-46797.619999999995</v>
      </c>
      <c r="G24" s="599">
        <v>5338.03</v>
      </c>
      <c r="H24" s="599">
        <v>4231.3500000000004</v>
      </c>
      <c r="I24" s="599">
        <v>5818.82</v>
      </c>
      <c r="J24" s="599">
        <v>24390.307286407624</v>
      </c>
      <c r="K24" s="599">
        <v>26731.579064976118</v>
      </c>
      <c r="L24" s="599">
        <v>24568.037129409451</v>
      </c>
      <c r="M24" s="599">
        <v>26940.267740942043</v>
      </c>
      <c r="N24" s="599">
        <v>26811.203770539381</v>
      </c>
      <c r="O24" s="599">
        <v>25705.083707587506</v>
      </c>
      <c r="P24" s="211">
        <f t="shared" si="1"/>
        <v>325201.42869986215</v>
      </c>
      <c r="Q24" s="211"/>
    </row>
    <row r="25" spans="1:17">
      <c r="A25" s="462">
        <f t="shared" si="2"/>
        <v>11</v>
      </c>
      <c r="B25" s="366">
        <v>9100</v>
      </c>
      <c r="C25" s="211" t="s">
        <v>948</v>
      </c>
      <c r="D25" s="599">
        <v>10825</v>
      </c>
      <c r="E25" s="599">
        <v>0</v>
      </c>
      <c r="F25" s="599">
        <v>143.68</v>
      </c>
      <c r="G25" s="599">
        <v>0</v>
      </c>
      <c r="H25" s="599">
        <v>0</v>
      </c>
      <c r="I25" s="599">
        <v>0</v>
      </c>
      <c r="J25" s="599">
        <v>2090.4341577642463</v>
      </c>
      <c r="K25" s="599">
        <v>1985.5834768833161</v>
      </c>
      <c r="L25" s="599">
        <v>26395.839512407056</v>
      </c>
      <c r="M25" s="599">
        <v>2141.5460724897412</v>
      </c>
      <c r="N25" s="599">
        <v>2144.370853633749</v>
      </c>
      <c r="O25" s="599">
        <v>2251.9348601014171</v>
      </c>
      <c r="P25" s="211">
        <f t="shared" si="1"/>
        <v>47978.388933279522</v>
      </c>
      <c r="Q25" s="211"/>
    </row>
    <row r="26" spans="1:17">
      <c r="A26" s="462">
        <f t="shared" si="2"/>
        <v>12</v>
      </c>
      <c r="B26" s="366">
        <v>9120</v>
      </c>
      <c r="C26" s="103" t="s">
        <v>950</v>
      </c>
      <c r="D26" s="599">
        <v>0</v>
      </c>
      <c r="E26" s="599">
        <v>0</v>
      </c>
      <c r="F26" s="599">
        <v>703.63</v>
      </c>
      <c r="G26" s="599">
        <v>0</v>
      </c>
      <c r="H26" s="599">
        <v>0</v>
      </c>
      <c r="I26" s="599">
        <v>32.42</v>
      </c>
      <c r="J26" s="599">
        <v>172.51999925168758</v>
      </c>
      <c r="K26" s="599">
        <v>172.56560271629655</v>
      </c>
      <c r="L26" s="599">
        <v>194.62620494801794</v>
      </c>
      <c r="M26" s="599">
        <v>213.95393476260338</v>
      </c>
      <c r="N26" s="599">
        <v>172.70939451492757</v>
      </c>
      <c r="O26" s="599">
        <v>220.04825550504253</v>
      </c>
      <c r="P26" s="211">
        <f t="shared" si="1"/>
        <v>1882.4733916985756</v>
      </c>
      <c r="Q26" s="211"/>
    </row>
    <row r="27" spans="1:17">
      <c r="A27" s="462">
        <f t="shared" si="2"/>
        <v>13</v>
      </c>
      <c r="B27" s="366">
        <v>9200</v>
      </c>
      <c r="C27" s="211" t="s">
        <v>183</v>
      </c>
      <c r="D27" s="599">
        <v>-538447.11999999895</v>
      </c>
      <c r="E27" s="599">
        <v>2507033.6699999995</v>
      </c>
      <c r="F27" s="599">
        <v>-5517789.9199999971</v>
      </c>
      <c r="G27" s="599">
        <v>-564879.08999999939</v>
      </c>
      <c r="H27" s="599">
        <v>-1149809.3399999987</v>
      </c>
      <c r="I27" s="599">
        <v>-3208563.5699999994</v>
      </c>
      <c r="J27" s="599">
        <v>-1639618.9076122977</v>
      </c>
      <c r="K27" s="599">
        <v>-705125.68388575269</v>
      </c>
      <c r="L27" s="599">
        <v>-663097.88509027148</v>
      </c>
      <c r="M27" s="599">
        <v>-1269481.9665148593</v>
      </c>
      <c r="N27" s="599">
        <v>-1302282.727746618</v>
      </c>
      <c r="O27" s="599">
        <v>-1431636.133695106</v>
      </c>
      <c r="P27" s="211">
        <f t="shared" si="1"/>
        <v>-15483698.674544901</v>
      </c>
      <c r="Q27" s="211"/>
    </row>
    <row r="28" spans="1:17">
      <c r="A28" s="462">
        <f t="shared" si="2"/>
        <v>14</v>
      </c>
      <c r="B28" s="366">
        <v>9210</v>
      </c>
      <c r="C28" s="211" t="s">
        <v>952</v>
      </c>
      <c r="D28" s="599">
        <v>1879091.5199999977</v>
      </c>
      <c r="E28" s="599">
        <v>1803283.3399999996</v>
      </c>
      <c r="F28" s="599">
        <v>1780993.9900000005</v>
      </c>
      <c r="G28" s="599">
        <v>1994425.5500000003</v>
      </c>
      <c r="H28" s="599">
        <v>2051435.4400000004</v>
      </c>
      <c r="I28" s="599">
        <v>1876271.4200000002</v>
      </c>
      <c r="J28" s="599">
        <v>2607273.6526799188</v>
      </c>
      <c r="K28" s="599">
        <v>2449387.6504938374</v>
      </c>
      <c r="L28" s="599">
        <v>4656066.7460692907</v>
      </c>
      <c r="M28" s="599">
        <v>2947347.0606119558</v>
      </c>
      <c r="N28" s="599">
        <v>2478371.1901257671</v>
      </c>
      <c r="O28" s="599">
        <v>2661407.3268217808</v>
      </c>
      <c r="P28" s="211">
        <f t="shared" si="1"/>
        <v>29185354.88680255</v>
      </c>
      <c r="Q28" s="211"/>
    </row>
    <row r="29" spans="1:17">
      <c r="A29" s="462">
        <f t="shared" si="2"/>
        <v>15</v>
      </c>
      <c r="B29" s="366">
        <v>9220</v>
      </c>
      <c r="C29" s="211" t="s">
        <v>953</v>
      </c>
      <c r="D29" s="599">
        <v>-9503163.1400000062</v>
      </c>
      <c r="E29" s="599">
        <v>-10347930.919999998</v>
      </c>
      <c r="F29" s="599">
        <v>-8779190.9300000053</v>
      </c>
      <c r="G29" s="599">
        <v>-8550668.129999999</v>
      </c>
      <c r="H29" s="599">
        <v>-11459070.680000009</v>
      </c>
      <c r="I29" s="599">
        <v>-3001889.7900000028</v>
      </c>
      <c r="J29" s="883">
        <f t="shared" ref="J29:O29" si="3">-(SUM(J14:J28,J30:J37))</f>
        <v>-9254552.0799999982</v>
      </c>
      <c r="K29" s="883">
        <f t="shared" si="3"/>
        <v>-7991396.0199999986</v>
      </c>
      <c r="L29" s="883">
        <f t="shared" si="3"/>
        <v>-20713014.309999995</v>
      </c>
      <c r="M29" s="883">
        <f t="shared" si="3"/>
        <v>-8551321.3532726411</v>
      </c>
      <c r="N29" s="883">
        <f t="shared" si="3"/>
        <v>-8530737.4914911203</v>
      </c>
      <c r="O29" s="883">
        <f t="shared" si="3"/>
        <v>-8603953.6960281041</v>
      </c>
      <c r="P29" s="211">
        <f t="shared" si="1"/>
        <v>-115286888.54079187</v>
      </c>
      <c r="Q29" s="673"/>
    </row>
    <row r="30" spans="1:17">
      <c r="A30" s="462">
        <f t="shared" si="2"/>
        <v>16</v>
      </c>
      <c r="B30" s="366">
        <v>9230</v>
      </c>
      <c r="C30" s="211" t="s">
        <v>954</v>
      </c>
      <c r="D30" s="599">
        <v>706893.02</v>
      </c>
      <c r="E30" s="599">
        <v>754577.54000000015</v>
      </c>
      <c r="F30" s="599">
        <v>661736.9</v>
      </c>
      <c r="G30" s="599">
        <v>848668.5</v>
      </c>
      <c r="H30" s="599">
        <v>797262.56000000017</v>
      </c>
      <c r="I30" s="599">
        <v>865257.68</v>
      </c>
      <c r="J30" s="599">
        <v>881857.94378112059</v>
      </c>
      <c r="K30" s="599">
        <v>835742.85722650134</v>
      </c>
      <c r="L30" s="599">
        <v>11036675.926387258</v>
      </c>
      <c r="M30" s="599">
        <v>904989.26648231968</v>
      </c>
      <c r="N30" s="599">
        <v>902452.16740749427</v>
      </c>
      <c r="O30" s="599">
        <v>947969.71947690879</v>
      </c>
      <c r="P30" s="211">
        <f t="shared" si="1"/>
        <v>20144084.080761604</v>
      </c>
      <c r="Q30" s="211"/>
    </row>
    <row r="31" spans="1:17">
      <c r="A31" s="462">
        <f t="shared" si="2"/>
        <v>17</v>
      </c>
      <c r="B31" s="366">
        <v>9240</v>
      </c>
      <c r="C31" s="211" t="s">
        <v>955</v>
      </c>
      <c r="D31" s="599">
        <v>49861.919999999998</v>
      </c>
      <c r="E31" s="599">
        <v>13327.54</v>
      </c>
      <c r="F31" s="599">
        <v>11426.37</v>
      </c>
      <c r="G31" s="599">
        <v>11426.37</v>
      </c>
      <c r="H31" s="599">
        <v>11426.37</v>
      </c>
      <c r="I31" s="599">
        <v>11426.37</v>
      </c>
      <c r="J31" s="599">
        <v>20336.04277788911</v>
      </c>
      <c r="K31" s="599">
        <v>20274.640560847598</v>
      </c>
      <c r="L31" s="599">
        <v>20366.041226602123</v>
      </c>
      <c r="M31" s="599">
        <v>22658.948268776498</v>
      </c>
      <c r="N31" s="599">
        <v>20756.558708245342</v>
      </c>
      <c r="O31" s="599">
        <v>21456.099886766111</v>
      </c>
      <c r="P31" s="211">
        <f t="shared" si="1"/>
        <v>234743.27142912676</v>
      </c>
      <c r="Q31" s="211"/>
    </row>
    <row r="32" spans="1:17">
      <c r="A32" s="462">
        <f t="shared" si="2"/>
        <v>18</v>
      </c>
      <c r="B32" s="366">
        <v>9250</v>
      </c>
      <c r="C32" s="211" t="s">
        <v>956</v>
      </c>
      <c r="D32" s="599">
        <v>1662084.3299999996</v>
      </c>
      <c r="E32" s="599">
        <v>1665651.13</v>
      </c>
      <c r="F32" s="599">
        <v>-465576.55000000022</v>
      </c>
      <c r="G32" s="599">
        <v>1612256.64</v>
      </c>
      <c r="H32" s="599">
        <v>1654705.59</v>
      </c>
      <c r="I32" s="599">
        <v>648483.03</v>
      </c>
      <c r="J32" s="599">
        <v>1715472.7612450174</v>
      </c>
      <c r="K32" s="599">
        <v>1716520.9233456436</v>
      </c>
      <c r="L32" s="599">
        <v>1715472.7273707348</v>
      </c>
      <c r="M32" s="599">
        <v>1729364.9426112939</v>
      </c>
      <c r="N32" s="599">
        <v>1744076.5826708793</v>
      </c>
      <c r="O32" s="599">
        <v>1743542.5242013182</v>
      </c>
      <c r="P32" s="211">
        <f t="shared" si="1"/>
        <v>17142054.631444886</v>
      </c>
      <c r="Q32" s="211"/>
    </row>
    <row r="33" spans="1:18">
      <c r="A33" s="462">
        <f t="shared" si="2"/>
        <v>19</v>
      </c>
      <c r="B33" s="366">
        <v>9260</v>
      </c>
      <c r="C33" s="211" t="s">
        <v>957</v>
      </c>
      <c r="D33" s="599">
        <v>4593478.3000000017</v>
      </c>
      <c r="E33" s="599">
        <v>2675101.0300000012</v>
      </c>
      <c r="F33" s="599">
        <v>6938585.0599999875</v>
      </c>
      <c r="G33" s="599">
        <v>3861946.7700000009</v>
      </c>
      <c r="H33" s="599">
        <v>7562267.4600000028</v>
      </c>
      <c r="I33" s="599">
        <v>1252928.2299999979</v>
      </c>
      <c r="J33" s="599">
        <v>4909090.1976788631</v>
      </c>
      <c r="K33" s="599">
        <v>2916522.0053443448</v>
      </c>
      <c r="L33" s="599">
        <v>2750996.9645346291</v>
      </c>
      <c r="M33" s="599">
        <v>3367421.9795244248</v>
      </c>
      <c r="N33" s="599">
        <v>3867345.4674175465</v>
      </c>
      <c r="O33" s="599">
        <v>3631246.6032994143</v>
      </c>
      <c r="P33" s="211">
        <f t="shared" si="1"/>
        <v>48326930.067799218</v>
      </c>
      <c r="Q33" s="211"/>
    </row>
    <row r="34" spans="1:18">
      <c r="A34" s="462">
        <f t="shared" si="2"/>
        <v>20</v>
      </c>
      <c r="B34" s="366">
        <v>9301</v>
      </c>
      <c r="C34" s="211" t="s">
        <v>184</v>
      </c>
      <c r="D34" s="599">
        <f>0</f>
        <v>0</v>
      </c>
      <c r="E34" s="599">
        <f>0</f>
        <v>0</v>
      </c>
      <c r="F34" s="599">
        <f>0</f>
        <v>0</v>
      </c>
      <c r="G34" s="599">
        <f>0</f>
        <v>0</v>
      </c>
      <c r="H34" s="599">
        <f>0</f>
        <v>0</v>
      </c>
      <c r="I34" s="599">
        <f>0</f>
        <v>0</v>
      </c>
      <c r="J34" s="599">
        <v>0</v>
      </c>
      <c r="K34" s="599">
        <v>0</v>
      </c>
      <c r="L34" s="599">
        <v>0</v>
      </c>
      <c r="M34" s="599">
        <v>0</v>
      </c>
      <c r="N34" s="599">
        <v>0</v>
      </c>
      <c r="O34" s="599">
        <v>0</v>
      </c>
      <c r="P34" s="211">
        <f t="shared" si="1"/>
        <v>0</v>
      </c>
      <c r="Q34" s="211"/>
    </row>
    <row r="35" spans="1:18">
      <c r="A35" s="462">
        <f t="shared" si="2"/>
        <v>21</v>
      </c>
      <c r="B35" s="366">
        <v>9302</v>
      </c>
      <c r="C35" s="211" t="s">
        <v>864</v>
      </c>
      <c r="D35" s="599">
        <v>595052.67999999993</v>
      </c>
      <c r="E35" s="599">
        <v>449836.70999999996</v>
      </c>
      <c r="F35" s="599">
        <v>3023947.0500000012</v>
      </c>
      <c r="G35" s="599">
        <v>394237</v>
      </c>
      <c r="H35" s="599">
        <v>187444.52</v>
      </c>
      <c r="I35" s="599">
        <v>257864.97999999998</v>
      </c>
      <c r="J35" s="599">
        <v>259225.88167530487</v>
      </c>
      <c r="K35" s="599">
        <v>255562.14422099316</v>
      </c>
      <c r="L35" s="599">
        <v>595798.88770096307</v>
      </c>
      <c r="M35" s="599">
        <v>256849.68235021725</v>
      </c>
      <c r="N35" s="599">
        <v>236088.82688873549</v>
      </c>
      <c r="O35" s="599">
        <v>475499.21606570622</v>
      </c>
      <c r="P35" s="211">
        <f t="shared" si="1"/>
        <v>6987407.5789019205</v>
      </c>
      <c r="Q35" s="211"/>
    </row>
    <row r="36" spans="1:18">
      <c r="A36" s="462">
        <f t="shared" si="2"/>
        <v>22</v>
      </c>
      <c r="B36" s="366">
        <v>9310</v>
      </c>
      <c r="C36" s="211" t="s">
        <v>185</v>
      </c>
      <c r="D36" s="599">
        <v>428689.95000000013</v>
      </c>
      <c r="E36" s="599">
        <v>449036.42000000004</v>
      </c>
      <c r="F36" s="599">
        <v>438477.07000000007</v>
      </c>
      <c r="G36" s="599">
        <v>474772.79000000004</v>
      </c>
      <c r="H36" s="599">
        <v>453249.64</v>
      </c>
      <c r="I36" s="599">
        <v>212237.21999999994</v>
      </c>
      <c r="J36" s="599">
        <v>436383.90940761549</v>
      </c>
      <c r="K36" s="599">
        <v>436006.92762932001</v>
      </c>
      <c r="L36" s="599">
        <v>520140.70334291004</v>
      </c>
      <c r="M36" s="599">
        <v>516849.59033918037</v>
      </c>
      <c r="N36" s="599">
        <v>516228.91780010139</v>
      </c>
      <c r="O36" s="599">
        <v>485351.08633891132</v>
      </c>
      <c r="P36" s="211">
        <f t="shared" si="1"/>
        <v>5367424.2248580381</v>
      </c>
      <c r="Q36" s="211"/>
    </row>
    <row r="37" spans="1:18">
      <c r="A37" s="462">
        <f t="shared" si="2"/>
        <v>23</v>
      </c>
      <c r="B37" s="366">
        <v>9320</v>
      </c>
      <c r="C37" s="211" t="s">
        <v>186</v>
      </c>
      <c r="D37" s="599">
        <v>16630.04</v>
      </c>
      <c r="E37" s="599">
        <v>4065.24</v>
      </c>
      <c r="F37" s="599">
        <v>41241.620000000003</v>
      </c>
      <c r="G37" s="599">
        <v>22521.310000000005</v>
      </c>
      <c r="H37" s="599">
        <v>33625.659999999996</v>
      </c>
      <c r="I37" s="599">
        <v>28692.5</v>
      </c>
      <c r="J37" s="599">
        <v>30132.423225189512</v>
      </c>
      <c r="K37" s="599">
        <v>29950.384377867791</v>
      </c>
      <c r="L37" s="599">
        <v>21278.608306535567</v>
      </c>
      <c r="M37" s="599">
        <v>38736.636357422547</v>
      </c>
      <c r="N37" s="599">
        <v>31516.567761880207</v>
      </c>
      <c r="O37" s="599">
        <v>33730.41225034363</v>
      </c>
      <c r="P37" s="211">
        <f t="shared" si="1"/>
        <v>332121.40227923932</v>
      </c>
      <c r="Q37" s="211"/>
    </row>
    <row r="38" spans="1:18" ht="15.75" thickBot="1">
      <c r="A38" s="462">
        <f t="shared" si="2"/>
        <v>24</v>
      </c>
      <c r="B38" s="217" t="s">
        <v>741</v>
      </c>
      <c r="C38" s="884"/>
      <c r="D38" s="653">
        <f t="shared" ref="D38:O38" si="4">SUM(D14:D37)</f>
        <v>26362.759999993395</v>
      </c>
      <c r="E38" s="653">
        <f t="shared" si="4"/>
        <v>46356.530000002014</v>
      </c>
      <c r="F38" s="653">
        <f t="shared" si="4"/>
        <v>-1907659.9400000132</v>
      </c>
      <c r="G38" s="653">
        <f t="shared" si="4"/>
        <v>-2208352.3199999975</v>
      </c>
      <c r="H38" s="653">
        <f t="shared" si="4"/>
        <v>2474788.5799999973</v>
      </c>
      <c r="I38" s="653">
        <f t="shared" si="4"/>
        <v>-859293.80000000447</v>
      </c>
      <c r="J38" s="653">
        <f t="shared" si="4"/>
        <v>1.6407284419983625E-9</v>
      </c>
      <c r="K38" s="653">
        <f t="shared" si="4"/>
        <v>1.0986695997416973E-9</v>
      </c>
      <c r="L38" s="653">
        <f t="shared" si="4"/>
        <v>1.7935235518962145E-9</v>
      </c>
      <c r="M38" s="653">
        <f t="shared" si="4"/>
        <v>-6.6211214289069176E-10</v>
      </c>
      <c r="N38" s="653">
        <f t="shared" si="4"/>
        <v>8.5128704085946083E-10</v>
      </c>
      <c r="O38" s="653">
        <f t="shared" si="4"/>
        <v>-8.9494278654456139E-10</v>
      </c>
      <c r="P38" s="653">
        <f>SUM(P14:P37)</f>
        <v>-2427798.1900000274</v>
      </c>
      <c r="Q38" s="217"/>
    </row>
    <row r="39" spans="1:18" ht="15.75" thickTop="1">
      <c r="A39" s="462">
        <f t="shared" si="2"/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</row>
    <row r="40" spans="1:18">
      <c r="A40" s="462">
        <f t="shared" si="2"/>
        <v>26</v>
      </c>
      <c r="B40" s="366">
        <f>B29</f>
        <v>9220</v>
      </c>
      <c r="C40" s="366" t="str">
        <f>C29</f>
        <v>A&amp;G-Administrative expense transferred-Credit</v>
      </c>
      <c r="D40" s="367">
        <f>D29</f>
        <v>-9503163.1400000062</v>
      </c>
      <c r="E40" s="367">
        <f t="shared" ref="E40:I40" si="5">E29</f>
        <v>-10347930.919999998</v>
      </c>
      <c r="F40" s="367">
        <f t="shared" si="5"/>
        <v>-8779190.9300000053</v>
      </c>
      <c r="G40" s="367">
        <f t="shared" si="5"/>
        <v>-8550668.129999999</v>
      </c>
      <c r="H40" s="367">
        <f t="shared" si="5"/>
        <v>-11459070.680000009</v>
      </c>
      <c r="I40" s="367">
        <f t="shared" si="5"/>
        <v>-3001889.7900000028</v>
      </c>
      <c r="J40" s="367">
        <f t="shared" ref="J40:K40" si="6">-(J38-J29)</f>
        <v>-9254552.0800000001</v>
      </c>
      <c r="K40" s="367">
        <f t="shared" si="6"/>
        <v>-7991396.0199999996</v>
      </c>
      <c r="L40" s="367">
        <f>L29</f>
        <v>-20713014.309999995</v>
      </c>
      <c r="M40" s="367">
        <f>M29</f>
        <v>-8551321.3532726411</v>
      </c>
      <c r="N40" s="367">
        <f>N29</f>
        <v>-8530737.4914911203</v>
      </c>
      <c r="O40" s="367">
        <f>O29</f>
        <v>-8603953.6960281041</v>
      </c>
      <c r="P40" s="211">
        <f t="shared" ref="P40" si="7">SUM(D40:O40)</f>
        <v>-115286888.54079187</v>
      </c>
      <c r="Q40" s="217"/>
    </row>
    <row r="41" spans="1:18">
      <c r="A41" s="462">
        <f t="shared" si="2"/>
        <v>27</v>
      </c>
      <c r="B41" s="217"/>
      <c r="C41" s="368" t="s">
        <v>196</v>
      </c>
      <c r="D41" s="387">
        <f>D42/D40</f>
        <v>5.8185640070996365E-2</v>
      </c>
      <c r="E41" s="387">
        <f t="shared" ref="E41:I41" si="8">E42/E40</f>
        <v>5.5680180362085385E-2</v>
      </c>
      <c r="F41" s="387">
        <f t="shared" si="8"/>
        <v>5.7991083012019613E-2</v>
      </c>
      <c r="G41" s="387">
        <f t="shared" si="8"/>
        <v>5.8175113621208932E-2</v>
      </c>
      <c r="H41" s="387">
        <f t="shared" si="8"/>
        <v>5.62968488470829E-2</v>
      </c>
      <c r="I41" s="387">
        <f t="shared" si="8"/>
        <v>7.1022474146194364E-2</v>
      </c>
      <c r="J41" s="387">
        <f>Allocation!$I$14</f>
        <v>4.8896160000000001E-2</v>
      </c>
      <c r="K41" s="387">
        <f>Allocation!$I$14</f>
        <v>4.8896160000000001E-2</v>
      </c>
      <c r="L41" s="387">
        <f>Allocation!$I$14</f>
        <v>4.8896160000000001E-2</v>
      </c>
      <c r="M41" s="387">
        <f>Allocation!$I$14</f>
        <v>4.8896160000000001E-2</v>
      </c>
      <c r="N41" s="387">
        <f>Allocation!$I$14</f>
        <v>4.8896160000000001E-2</v>
      </c>
      <c r="O41" s="387">
        <f>Allocation!$I$14</f>
        <v>4.8896160000000001E-2</v>
      </c>
      <c r="P41" s="387">
        <f t="shared" ref="P41" si="9">P42/P40</f>
        <v>5.2963345057486191E-2</v>
      </c>
      <c r="Q41" s="217"/>
      <c r="R41" s="693"/>
    </row>
    <row r="42" spans="1:18">
      <c r="A42" s="462">
        <f t="shared" si="2"/>
        <v>28</v>
      </c>
      <c r="B42" s="217"/>
      <c r="C42" s="217" t="s">
        <v>211</v>
      </c>
      <c r="D42" s="217">
        <v>-552947.63</v>
      </c>
      <c r="E42" s="217">
        <v>-576174.66</v>
      </c>
      <c r="F42" s="217">
        <v>-509114.79</v>
      </c>
      <c r="G42" s="217">
        <v>-497436.09</v>
      </c>
      <c r="H42" s="217">
        <v>-645109.56999999995</v>
      </c>
      <c r="I42" s="217">
        <v>-213201.64</v>
      </c>
      <c r="J42" s="217">
        <f t="shared" ref="J42:O42" si="10">J40*J41</f>
        <v>-452512.05923201283</v>
      </c>
      <c r="K42" s="217">
        <f t="shared" si="10"/>
        <v>-390748.57841728319</v>
      </c>
      <c r="L42" s="217">
        <f t="shared" si="10"/>
        <v>-1012786.8617840494</v>
      </c>
      <c r="M42" s="217">
        <f t="shared" si="10"/>
        <v>-418126.77710103558</v>
      </c>
      <c r="N42" s="217">
        <f t="shared" si="10"/>
        <v>-417120.30530194845</v>
      </c>
      <c r="O42" s="217">
        <f t="shared" si="10"/>
        <v>-420700.29655358155</v>
      </c>
      <c r="P42" s="211">
        <f>SUM(D42:O42)</f>
        <v>-6105979.2583899107</v>
      </c>
      <c r="Q42" s="217"/>
      <c r="R42" s="693"/>
    </row>
    <row r="43" spans="1:18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8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8">
      <c r="A45" s="217"/>
      <c r="B45" s="217" t="s">
        <v>568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8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673"/>
      <c r="Q46" s="217"/>
    </row>
    <row r="47" spans="1:18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20"/>
      <c r="Q47" s="217"/>
    </row>
    <row r="48" spans="1:18">
      <c r="A48" s="217"/>
      <c r="B48" s="217" t="s">
        <v>961</v>
      </c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20"/>
      <c r="Q48" s="217"/>
    </row>
    <row r="49" spans="1:17">
      <c r="A49" s="217"/>
      <c r="B49" s="217" t="s">
        <v>1507</v>
      </c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20"/>
      <c r="Q49" s="763"/>
    </row>
    <row r="50" spans="1:17">
      <c r="A50" s="217"/>
      <c r="B50" s="81" t="s">
        <v>1651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633"/>
      <c r="P50" s="220"/>
      <c r="Q50" s="885"/>
    </row>
    <row r="51" spans="1:17">
      <c r="A51" s="217"/>
      <c r="B51" s="217"/>
      <c r="C51" s="388" t="s">
        <v>1360</v>
      </c>
      <c r="D51" s="886">
        <v>3</v>
      </c>
      <c r="E51" s="767">
        <v>4</v>
      </c>
      <c r="F51" s="767">
        <v>5</v>
      </c>
      <c r="G51" s="886">
        <v>6</v>
      </c>
      <c r="H51" s="886">
        <v>7</v>
      </c>
      <c r="I51" s="886">
        <v>8</v>
      </c>
      <c r="J51" s="767">
        <v>9</v>
      </c>
      <c r="K51" s="767">
        <v>10</v>
      </c>
      <c r="L51" s="886">
        <v>11</v>
      </c>
      <c r="M51" s="886">
        <v>12</v>
      </c>
      <c r="N51" s="886">
        <v>13</v>
      </c>
      <c r="O51" s="886">
        <v>14</v>
      </c>
      <c r="P51" s="220"/>
      <c r="Q51" s="885"/>
    </row>
    <row r="52" spans="1:17">
      <c r="A52" s="217"/>
      <c r="B52" s="217"/>
      <c r="C52" s="217"/>
      <c r="D52" s="887"/>
      <c r="E52" s="887"/>
      <c r="F52" s="887"/>
      <c r="G52" s="887"/>
      <c r="H52" s="887"/>
      <c r="I52" s="887"/>
      <c r="J52" s="887"/>
      <c r="K52" s="888"/>
      <c r="L52" s="888"/>
      <c r="M52" s="888"/>
      <c r="N52" s="888"/>
      <c r="O52" s="170"/>
      <c r="P52" s="220"/>
      <c r="Q52" s="885"/>
    </row>
    <row r="53" spans="1:17">
      <c r="A53" s="217"/>
      <c r="B53" s="673"/>
      <c r="C53" s="673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20"/>
      <c r="P53" s="220"/>
      <c r="Q53" s="885"/>
    </row>
    <row r="54" spans="1:17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885"/>
    </row>
    <row r="55" spans="1:17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L55" s="217"/>
      <c r="M55" s="217"/>
      <c r="N55" s="217"/>
      <c r="O55" s="217"/>
      <c r="P55" s="217"/>
      <c r="Q55" s="217"/>
    </row>
    <row r="56" spans="1:17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</row>
    <row r="57" spans="1:17">
      <c r="A57" s="217"/>
      <c r="B57" s="217"/>
      <c r="C57" s="673"/>
      <c r="D57" s="217"/>
      <c r="E57" s="217"/>
      <c r="F57" s="217"/>
      <c r="G57" s="217"/>
      <c r="H57" s="217"/>
      <c r="I57" s="217"/>
      <c r="J57" s="217"/>
      <c r="K57" s="217"/>
      <c r="L57" s="217"/>
      <c r="M57" s="693"/>
      <c r="N57" s="217"/>
      <c r="O57" s="217"/>
      <c r="P57" s="217"/>
      <c r="Q57" s="217"/>
    </row>
    <row r="58" spans="1:17">
      <c r="A58" s="217"/>
      <c r="B58" s="217"/>
      <c r="C58" s="673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</row>
    <row r="59" spans="1:17">
      <c r="O59" s="388"/>
    </row>
    <row r="60" spans="1:17">
      <c r="O60" s="170"/>
    </row>
    <row r="61" spans="1:17">
      <c r="O61" s="170"/>
    </row>
    <row r="63" spans="1:17">
      <c r="C63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Q52"/>
  <sheetViews>
    <sheetView view="pageBreakPreview" topLeftCell="A7" zoomScale="70" zoomScaleNormal="70" zoomScaleSheetLayoutView="70" workbookViewId="0">
      <selection activeCell="C45" sqref="C45:C53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54.21875" style="80" customWidth="1"/>
    <col min="4" max="4" width="13.109375" style="80" bestFit="1" customWidth="1"/>
    <col min="5" max="6" width="11.109375" style="80" customWidth="1"/>
    <col min="7" max="8" width="13.109375" style="80" bestFit="1" customWidth="1"/>
    <col min="9" max="9" width="11.109375" style="80" customWidth="1"/>
    <col min="10" max="10" width="10.88671875" style="80" customWidth="1"/>
    <col min="11" max="14" width="13.10937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</row>
    <row r="5" spans="1:17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</row>
    <row r="6" spans="1:17" ht="15.75">
      <c r="A6" s="234" t="str">
        <f>'C.2.2 B 09'!A6</f>
        <v>Data:___X____Base Period________Forecasted Period</v>
      </c>
      <c r="B6" s="196"/>
      <c r="C6" s="234"/>
      <c r="D6" s="879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1456</v>
      </c>
      <c r="Q6" s="196"/>
    </row>
    <row r="7" spans="1:17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</row>
    <row r="8" spans="1:17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</row>
    <row r="9" spans="1:17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</row>
    <row r="10" spans="1:17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09'!F10</f>
        <v>42795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</row>
    <row r="11" spans="1:17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</row>
    <row r="12" spans="1:17">
      <c r="A12" s="462">
        <v>1</v>
      </c>
      <c r="B12" s="836">
        <v>4030</v>
      </c>
      <c r="C12" s="196" t="s">
        <v>92</v>
      </c>
      <c r="D12" s="599">
        <v>-1.4551915228366852E-11</v>
      </c>
      <c r="E12" s="599">
        <v>-2.9103830456733704E-11</v>
      </c>
      <c r="F12" s="599">
        <v>-1.1641532182693481E-10</v>
      </c>
      <c r="G12" s="599">
        <v>0</v>
      </c>
      <c r="H12" s="599">
        <v>3.637978807091713E-11</v>
      </c>
      <c r="I12" s="599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211">
        <f t="shared" ref="P12:P25" si="0">SUM(D12:O12)</f>
        <v>-1.2369127944111824E-10</v>
      </c>
      <c r="Q12" s="673"/>
    </row>
    <row r="13" spans="1:17">
      <c r="A13" s="876">
        <f>A12+1</f>
        <v>2</v>
      </c>
      <c r="B13" s="366">
        <v>4081</v>
      </c>
      <c r="C13" s="211" t="s">
        <v>869</v>
      </c>
      <c r="D13" s="599">
        <v>-9.9999999678459517E-3</v>
      </c>
      <c r="E13" s="599">
        <v>1.5546675058430992E-11</v>
      </c>
      <c r="F13" s="599">
        <v>1.2732925824820995E-11</v>
      </c>
      <c r="G13" s="599">
        <v>2.9540814239226165E-11</v>
      </c>
      <c r="H13" s="599">
        <v>6.0196292395175988E-12</v>
      </c>
      <c r="I13" s="599">
        <v>1.0000000012951205E-2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211">
        <f t="shared" si="0"/>
        <v>1.0894529722804691E-10</v>
      </c>
      <c r="Q13" s="211"/>
    </row>
    <row r="14" spans="1:17">
      <c r="A14" s="876">
        <f t="shared" ref="A14:A35" si="1">A13+1</f>
        <v>3</v>
      </c>
      <c r="B14" s="366">
        <v>8700</v>
      </c>
      <c r="C14" s="211" t="s">
        <v>921</v>
      </c>
      <c r="D14" s="599">
        <f>0</f>
        <v>0</v>
      </c>
      <c r="E14" s="599">
        <f>0</f>
        <v>0</v>
      </c>
      <c r="F14" s="599">
        <f>0</f>
        <v>0</v>
      </c>
      <c r="G14" s="599">
        <f>0</f>
        <v>0</v>
      </c>
      <c r="H14" s="599">
        <f>0</f>
        <v>0</v>
      </c>
      <c r="I14" s="599">
        <f>0</f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0</v>
      </c>
      <c r="Q14" s="211"/>
    </row>
    <row r="15" spans="1:17">
      <c r="A15" s="876">
        <f t="shared" si="1"/>
        <v>4</v>
      </c>
      <c r="B15" s="366">
        <v>8740</v>
      </c>
      <c r="C15" s="211" t="s">
        <v>923</v>
      </c>
      <c r="D15" s="599">
        <v>2021.33</v>
      </c>
      <c r="E15" s="599">
        <v>1302.98</v>
      </c>
      <c r="F15" s="599">
        <v>1296.21</v>
      </c>
      <c r="G15" s="599">
        <v>1673.07</v>
      </c>
      <c r="H15" s="599">
        <v>1951.15</v>
      </c>
      <c r="I15" s="599">
        <v>1635.9399999999998</v>
      </c>
      <c r="J15" s="96">
        <v>2108.5062218842036</v>
      </c>
      <c r="K15" s="96">
        <v>2108.5062218842036</v>
      </c>
      <c r="L15" s="96">
        <v>2104.5090536910579</v>
      </c>
      <c r="M15" s="96">
        <v>1699.7957741350851</v>
      </c>
      <c r="N15" s="96">
        <v>1699.7957741350851</v>
      </c>
      <c r="O15" s="96">
        <v>1699.7957741350851</v>
      </c>
      <c r="P15" s="211">
        <f t="shared" si="0"/>
        <v>21301.588819864715</v>
      </c>
      <c r="Q15" s="211"/>
    </row>
    <row r="16" spans="1:17">
      <c r="A16" s="876">
        <f t="shared" si="1"/>
        <v>5</v>
      </c>
      <c r="B16" s="366">
        <v>8800</v>
      </c>
      <c r="C16" s="211" t="s">
        <v>929</v>
      </c>
      <c r="D16" s="599">
        <f>0</f>
        <v>0</v>
      </c>
      <c r="E16" s="599">
        <f>0</f>
        <v>0</v>
      </c>
      <c r="F16" s="599">
        <f>0</f>
        <v>0</v>
      </c>
      <c r="G16" s="599">
        <f>0</f>
        <v>0</v>
      </c>
      <c r="H16" s="599">
        <f>0</f>
        <v>0</v>
      </c>
      <c r="I16" s="599">
        <f>0</f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si="0"/>
        <v>0</v>
      </c>
      <c r="Q16" s="211"/>
    </row>
    <row r="17" spans="1:17">
      <c r="A17" s="876">
        <f t="shared" si="1"/>
        <v>6</v>
      </c>
      <c r="B17" s="366">
        <v>9010</v>
      </c>
      <c r="C17" s="211" t="s">
        <v>182</v>
      </c>
      <c r="D17" s="599">
        <v>345788.8</v>
      </c>
      <c r="E17" s="599">
        <v>325501.09999999998</v>
      </c>
      <c r="F17" s="599">
        <v>371262.11</v>
      </c>
      <c r="G17" s="599">
        <v>315776.92000000004</v>
      </c>
      <c r="H17" s="599">
        <v>363030.96000000008</v>
      </c>
      <c r="I17" s="599">
        <v>355088.25</v>
      </c>
      <c r="J17" s="96">
        <v>408249.24118259293</v>
      </c>
      <c r="K17" s="96">
        <v>439921.88623749086</v>
      </c>
      <c r="L17" s="96">
        <v>403566.09011453734</v>
      </c>
      <c r="M17" s="96">
        <v>414715.10003821598</v>
      </c>
      <c r="N17" s="96">
        <v>409418.25585608825</v>
      </c>
      <c r="O17" s="96">
        <v>393911.68921853218</v>
      </c>
      <c r="P17" s="211">
        <f t="shared" si="0"/>
        <v>4546230.402647458</v>
      </c>
      <c r="Q17" s="211"/>
    </row>
    <row r="18" spans="1:17">
      <c r="A18" s="876">
        <f t="shared" si="1"/>
        <v>7</v>
      </c>
      <c r="B18" s="366">
        <v>9020</v>
      </c>
      <c r="C18" s="211" t="s">
        <v>940</v>
      </c>
      <c r="D18" s="599">
        <v>2827.18</v>
      </c>
      <c r="E18" s="599">
        <v>2492.65</v>
      </c>
      <c r="F18" s="599">
        <v>3252.47</v>
      </c>
      <c r="G18" s="599">
        <v>2426.96</v>
      </c>
      <c r="H18" s="599">
        <v>2434.3700000000003</v>
      </c>
      <c r="I18" s="599">
        <v>2598.9900000000002</v>
      </c>
      <c r="J18" s="96">
        <v>3129.6704196327341</v>
      </c>
      <c r="K18" s="96">
        <v>3419.9887260877772</v>
      </c>
      <c r="L18" s="96">
        <v>3129.6704196327341</v>
      </c>
      <c r="M18" s="96">
        <v>3206.8122757935935</v>
      </c>
      <c r="N18" s="96">
        <v>3206.8122757935935</v>
      </c>
      <c r="O18" s="96">
        <v>3061.9902347822399</v>
      </c>
      <c r="P18" s="211">
        <f t="shared" si="0"/>
        <v>35187.564351722671</v>
      </c>
      <c r="Q18" s="211"/>
    </row>
    <row r="19" spans="1:17">
      <c r="A19" s="876">
        <f t="shared" si="1"/>
        <v>8</v>
      </c>
      <c r="B19" s="366">
        <v>9030</v>
      </c>
      <c r="C19" s="211" t="s">
        <v>945</v>
      </c>
      <c r="D19" s="599">
        <v>1596481.55</v>
      </c>
      <c r="E19" s="599">
        <v>1399178.37</v>
      </c>
      <c r="F19" s="599">
        <v>1619284.2600000002</v>
      </c>
      <c r="G19" s="599">
        <v>1395506.2899999998</v>
      </c>
      <c r="H19" s="599">
        <v>1567812.4299999997</v>
      </c>
      <c r="I19" s="599">
        <v>1532666.09</v>
      </c>
      <c r="J19" s="96">
        <v>1809832.3744862846</v>
      </c>
      <c r="K19" s="96">
        <v>1919968.318625456</v>
      </c>
      <c r="L19" s="96">
        <v>1758653.9188195765</v>
      </c>
      <c r="M19" s="96">
        <v>1850067.2927439839</v>
      </c>
      <c r="N19" s="96">
        <v>1798551.2873285485</v>
      </c>
      <c r="O19" s="96">
        <v>1719696.3008250946</v>
      </c>
      <c r="P19" s="211">
        <f t="shared" si="0"/>
        <v>19967698.482828941</v>
      </c>
      <c r="Q19" s="211"/>
    </row>
    <row r="20" spans="1:17">
      <c r="A20" s="876">
        <f t="shared" si="1"/>
        <v>9</v>
      </c>
      <c r="B20" s="366">
        <v>9200</v>
      </c>
      <c r="C20" s="211" t="s">
        <v>183</v>
      </c>
      <c r="D20" s="599">
        <v>445375.62000000005</v>
      </c>
      <c r="E20" s="599">
        <v>369782.82000000007</v>
      </c>
      <c r="F20" s="599">
        <v>424768.47000000009</v>
      </c>
      <c r="G20" s="599">
        <v>278911.63</v>
      </c>
      <c r="H20" s="599">
        <v>332812.16000000003</v>
      </c>
      <c r="I20" s="599">
        <v>307847.19</v>
      </c>
      <c r="J20" s="96">
        <v>421547.86102285853</v>
      </c>
      <c r="K20" s="96">
        <v>460651.99810201593</v>
      </c>
      <c r="L20" s="96">
        <v>421547.86102285853</v>
      </c>
      <c r="M20" s="96">
        <v>431938.40702282987</v>
      </c>
      <c r="N20" s="96">
        <v>431938.40702282987</v>
      </c>
      <c r="O20" s="96">
        <v>412431.7454797065</v>
      </c>
      <c r="P20" s="211">
        <f t="shared" si="0"/>
        <v>4739554.1696730992</v>
      </c>
      <c r="Q20" s="211"/>
    </row>
    <row r="21" spans="1:17">
      <c r="A21" s="876">
        <f t="shared" si="1"/>
        <v>10</v>
      </c>
      <c r="B21" s="366">
        <v>9210</v>
      </c>
      <c r="C21" s="211" t="s">
        <v>952</v>
      </c>
      <c r="D21" s="599">
        <v>744503.11999999988</v>
      </c>
      <c r="E21" s="599">
        <v>642804.87</v>
      </c>
      <c r="F21" s="599">
        <v>706185.25</v>
      </c>
      <c r="G21" s="599">
        <v>673818.10999999952</v>
      </c>
      <c r="H21" s="599">
        <v>750436.9099999998</v>
      </c>
      <c r="I21" s="599">
        <v>967833.5399999998</v>
      </c>
      <c r="J21" s="96">
        <v>189091.6804483103</v>
      </c>
      <c r="K21" s="96">
        <v>187377.3056777684</v>
      </c>
      <c r="L21" s="96">
        <v>168380.20103660104</v>
      </c>
      <c r="M21" s="96">
        <v>206587.02536539073</v>
      </c>
      <c r="N21" s="96">
        <v>197708.2494321322</v>
      </c>
      <c r="O21" s="96">
        <v>202317.90444773136</v>
      </c>
      <c r="P21" s="211">
        <f t="shared" si="0"/>
        <v>5637044.1664079344</v>
      </c>
      <c r="Q21" s="211"/>
    </row>
    <row r="22" spans="1:17">
      <c r="A22" s="876">
        <f t="shared" si="1"/>
        <v>11</v>
      </c>
      <c r="B22" s="366">
        <v>9220</v>
      </c>
      <c r="C22" s="211" t="s">
        <v>953</v>
      </c>
      <c r="D22" s="599">
        <v>-4104410.0699999975</v>
      </c>
      <c r="E22" s="599">
        <v>-3692373.38</v>
      </c>
      <c r="F22" s="599">
        <v>-4255879.66</v>
      </c>
      <c r="G22" s="599">
        <v>-3697685.17</v>
      </c>
      <c r="H22" s="599">
        <v>-4192143.9400000009</v>
      </c>
      <c r="I22" s="599">
        <v>-4117575.1800000025</v>
      </c>
      <c r="J22" s="96">
        <f t="shared" ref="J22:O22" si="2">-(SUM(J12:J21)+SUM(J23:J28))</f>
        <v>-3924136.8900000006</v>
      </c>
      <c r="K22" s="96">
        <f t="shared" si="2"/>
        <v>-4180992.8900000006</v>
      </c>
      <c r="L22" s="96">
        <f t="shared" si="2"/>
        <v>-3839066.290000001</v>
      </c>
      <c r="M22" s="96">
        <f t="shared" si="2"/>
        <v>-3962203.4759000009</v>
      </c>
      <c r="N22" s="96">
        <f t="shared" si="2"/>
        <v>-3907270.1835000012</v>
      </c>
      <c r="O22" s="96">
        <f t="shared" si="2"/>
        <v>-3760952.8256000006</v>
      </c>
      <c r="P22" s="211">
        <f t="shared" si="0"/>
        <v>-47634689.955000006</v>
      </c>
      <c r="Q22" s="673"/>
    </row>
    <row r="23" spans="1:17">
      <c r="A23" s="876">
        <f t="shared" si="1"/>
        <v>12</v>
      </c>
      <c r="B23" s="366">
        <v>9230</v>
      </c>
      <c r="C23" s="211" t="s">
        <v>954</v>
      </c>
      <c r="D23" s="599">
        <v>1419.9699999999993</v>
      </c>
      <c r="E23" s="599">
        <v>69053.959999999992</v>
      </c>
      <c r="F23" s="599">
        <v>109043.51</v>
      </c>
      <c r="G23" s="599">
        <v>110711.93000000001</v>
      </c>
      <c r="H23" s="599">
        <v>79952.899999999994</v>
      </c>
      <c r="I23" s="599">
        <v>53126</v>
      </c>
      <c r="J23" s="96">
        <v>32097.622490204551</v>
      </c>
      <c r="K23" s="96">
        <v>33982.839720064127</v>
      </c>
      <c r="L23" s="96">
        <v>25102.908918406512</v>
      </c>
      <c r="M23" s="96">
        <v>36385.509937096562</v>
      </c>
      <c r="N23" s="96">
        <v>37067.551094822382</v>
      </c>
      <c r="O23" s="96">
        <v>36457.316934983966</v>
      </c>
      <c r="P23" s="211">
        <f t="shared" si="0"/>
        <v>624402.019095578</v>
      </c>
      <c r="Q23" s="211"/>
    </row>
    <row r="24" spans="1:17">
      <c r="A24" s="876">
        <f t="shared" si="1"/>
        <v>13</v>
      </c>
      <c r="B24" s="366">
        <v>9240</v>
      </c>
      <c r="C24" s="211" t="s">
        <v>955</v>
      </c>
      <c r="D24" s="599">
        <v>9998.56</v>
      </c>
      <c r="E24" s="599">
        <v>9998.56</v>
      </c>
      <c r="F24" s="599">
        <v>8105.89</v>
      </c>
      <c r="G24" s="599">
        <v>8105.89</v>
      </c>
      <c r="H24" s="599">
        <v>8105.89</v>
      </c>
      <c r="I24" s="599">
        <v>8105.89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211">
        <f t="shared" si="0"/>
        <v>52420.68</v>
      </c>
      <c r="Q24" s="211"/>
    </row>
    <row r="25" spans="1:17">
      <c r="A25" s="876">
        <f t="shared" si="1"/>
        <v>14</v>
      </c>
      <c r="B25" s="366">
        <v>9250</v>
      </c>
      <c r="C25" s="80" t="s">
        <v>956</v>
      </c>
      <c r="D25" s="599">
        <v>0</v>
      </c>
      <c r="E25" s="599">
        <v>0</v>
      </c>
      <c r="F25" s="599">
        <v>0</v>
      </c>
      <c r="G25" s="599">
        <v>17.690000000000001</v>
      </c>
      <c r="H25" s="599">
        <v>17.28</v>
      </c>
      <c r="I25" s="599">
        <v>17.28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211">
        <f t="shared" si="0"/>
        <v>52.25</v>
      </c>
      <c r="Q25" s="211"/>
    </row>
    <row r="26" spans="1:17">
      <c r="A26" s="876">
        <f t="shared" si="1"/>
        <v>15</v>
      </c>
      <c r="B26" s="366">
        <v>9260</v>
      </c>
      <c r="C26" s="211" t="s">
        <v>957</v>
      </c>
      <c r="D26" s="599">
        <v>801817.73</v>
      </c>
      <c r="E26" s="599">
        <v>713976.82</v>
      </c>
      <c r="F26" s="599">
        <v>858462.23</v>
      </c>
      <c r="G26" s="599">
        <v>672241.46000000008</v>
      </c>
      <c r="H26" s="599">
        <v>835509.42000000027</v>
      </c>
      <c r="I26" s="599">
        <v>734230.03000000014</v>
      </c>
      <c r="J26" s="96">
        <v>925073.20376203989</v>
      </c>
      <c r="K26" s="96">
        <v>1004151.5709340967</v>
      </c>
      <c r="L26" s="96">
        <v>927170.27475365496</v>
      </c>
      <c r="M26" s="96">
        <v>882489.88069282833</v>
      </c>
      <c r="N26" s="96">
        <v>893033.15406569128</v>
      </c>
      <c r="O26" s="96">
        <v>850375.73900060658</v>
      </c>
      <c r="P26" s="211">
        <f>SUM(D26:O26)</f>
        <v>10098531.513208918</v>
      </c>
      <c r="Q26" s="211"/>
    </row>
    <row r="27" spans="1:17">
      <c r="A27" s="876">
        <f t="shared" si="1"/>
        <v>16</v>
      </c>
      <c r="B27" s="366">
        <v>9310</v>
      </c>
      <c r="C27" s="211" t="s">
        <v>185</v>
      </c>
      <c r="D27" s="599">
        <v>153533.72000000003</v>
      </c>
      <c r="E27" s="599">
        <v>154542.82</v>
      </c>
      <c r="F27" s="599">
        <v>153235.66</v>
      </c>
      <c r="G27" s="599">
        <v>153107.31</v>
      </c>
      <c r="H27" s="599">
        <v>153617.66</v>
      </c>
      <c r="I27" s="599">
        <v>154426.03</v>
      </c>
      <c r="J27" s="96">
        <v>133002.55921508768</v>
      </c>
      <c r="K27" s="96">
        <v>129406.30500403115</v>
      </c>
      <c r="L27" s="96">
        <v>129406.30500403115</v>
      </c>
      <c r="M27" s="96">
        <v>135098.72117732372</v>
      </c>
      <c r="N27" s="96">
        <v>134643.15597206212</v>
      </c>
      <c r="O27" s="96">
        <v>140991.97614756582</v>
      </c>
      <c r="P27" s="211">
        <f>SUM(D27:O27)</f>
        <v>1725012.2225201016</v>
      </c>
      <c r="Q27" s="211"/>
    </row>
    <row r="28" spans="1:17">
      <c r="A28" s="876">
        <f t="shared" si="1"/>
        <v>17</v>
      </c>
      <c r="B28" s="366">
        <v>9320</v>
      </c>
      <c r="C28" s="211" t="s">
        <v>186</v>
      </c>
      <c r="D28" s="599">
        <v>642.48</v>
      </c>
      <c r="E28" s="599">
        <v>3738.4300000000003</v>
      </c>
      <c r="F28" s="599">
        <v>983.61000000000013</v>
      </c>
      <c r="G28" s="599">
        <v>323.14</v>
      </c>
      <c r="H28" s="599">
        <v>5.41</v>
      </c>
      <c r="I28" s="599">
        <v>0</v>
      </c>
      <c r="J28" s="96">
        <v>4.170751105494154</v>
      </c>
      <c r="K28" s="96">
        <v>4.170751105494154</v>
      </c>
      <c r="L28" s="96">
        <v>4.5508570114880023</v>
      </c>
      <c r="M28" s="96">
        <v>14.930872403251541</v>
      </c>
      <c r="N28" s="96">
        <v>3.5146778978883315</v>
      </c>
      <c r="O28" s="96">
        <v>8.3675368620837762</v>
      </c>
      <c r="P28" s="211">
        <f>SUM(D28:O28)</f>
        <v>5732.7754463857</v>
      </c>
      <c r="Q28" s="211"/>
    </row>
    <row r="29" spans="1:17">
      <c r="A29" s="876">
        <f t="shared" si="1"/>
        <v>18</v>
      </c>
      <c r="B29" s="21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217"/>
      <c r="Q29" s="217"/>
    </row>
    <row r="30" spans="1:17" ht="15.75" thickBot="1">
      <c r="A30" s="876">
        <f t="shared" si="1"/>
        <v>19</v>
      </c>
      <c r="B30" s="217" t="s">
        <v>741</v>
      </c>
      <c r="C30" s="884"/>
      <c r="D30" s="653">
        <f>SUM(D12:D28)</f>
        <v>-1.9999997613467713E-2</v>
      </c>
      <c r="E30" s="653">
        <f t="shared" ref="E30:P30" si="3">SUM(E12:E29)</f>
        <v>1.2369127944111824E-10</v>
      </c>
      <c r="F30" s="653">
        <f t="shared" si="3"/>
        <v>9.9999998778912413E-3</v>
      </c>
      <c r="G30" s="653">
        <f t="shared" si="3"/>
        <v>-85064.77000000079</v>
      </c>
      <c r="H30" s="653">
        <f t="shared" si="3"/>
        <v>-96457.400000001246</v>
      </c>
      <c r="I30" s="653">
        <f t="shared" si="3"/>
        <v>5.9999997465638444E-2</v>
      </c>
      <c r="J30" s="653">
        <f t="shared" si="3"/>
        <v>3.1507507713968153E-10</v>
      </c>
      <c r="K30" s="653">
        <f t="shared" si="3"/>
        <v>-1.6513812539642458E-10</v>
      </c>
      <c r="L30" s="653">
        <f t="shared" si="3"/>
        <v>3.6106584389017371E-10</v>
      </c>
      <c r="M30" s="653">
        <f t="shared" si="3"/>
        <v>2.8272495455894386E-10</v>
      </c>
      <c r="N30" s="653">
        <f t="shared" si="3"/>
        <v>-5.1359805297579442E-11</v>
      </c>
      <c r="O30" s="653">
        <f t="shared" si="3"/>
        <v>-5.9880989056182443E-12</v>
      </c>
      <c r="P30" s="653">
        <f t="shared" si="3"/>
        <v>-181522.12000000072</v>
      </c>
      <c r="Q30" s="654"/>
    </row>
    <row r="31" spans="1:17" ht="15.75" thickTop="1">
      <c r="A31" s="876">
        <f t="shared" si="1"/>
        <v>20</v>
      </c>
      <c r="B31" s="217"/>
      <c r="C31" s="884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1:17">
      <c r="A32" s="876">
        <f t="shared" si="1"/>
        <v>21</v>
      </c>
      <c r="B32" s="366">
        <f>B22</f>
        <v>9220</v>
      </c>
      <c r="C32" s="369" t="str">
        <f>C22</f>
        <v>A&amp;G-Administrative expense transferred-Credit</v>
      </c>
      <c r="D32" s="367">
        <f>D22</f>
        <v>-4104410.0699999975</v>
      </c>
      <c r="E32" s="367">
        <f t="shared" ref="E32:I32" si="4">E22</f>
        <v>-3692373.38</v>
      </c>
      <c r="F32" s="367">
        <f t="shared" si="4"/>
        <v>-4255879.66</v>
      </c>
      <c r="G32" s="367">
        <f t="shared" si="4"/>
        <v>-3697685.17</v>
      </c>
      <c r="H32" s="367">
        <f t="shared" si="4"/>
        <v>-4192143.9400000009</v>
      </c>
      <c r="I32" s="367">
        <f t="shared" si="4"/>
        <v>-4117575.1800000025</v>
      </c>
      <c r="J32" s="367">
        <f t="shared" ref="J32:K32" si="5">-(J30-J22)</f>
        <v>-3924136.8900000011</v>
      </c>
      <c r="K32" s="367">
        <f t="shared" si="5"/>
        <v>-4180992.8900000006</v>
      </c>
      <c r="L32" s="370">
        <f>L22</f>
        <v>-3839066.290000001</v>
      </c>
      <c r="M32" s="370">
        <f>M22</f>
        <v>-3962203.4759000009</v>
      </c>
      <c r="N32" s="370">
        <f>N22</f>
        <v>-3907270.1835000012</v>
      </c>
      <c r="O32" s="370">
        <f>O22</f>
        <v>-3760952.8256000006</v>
      </c>
      <c r="P32" s="211">
        <f t="shared" ref="P32" si="6">SUM(D32:O32)</f>
        <v>-47634689.955000006</v>
      </c>
      <c r="Q32" s="217"/>
    </row>
    <row r="33" spans="1:17">
      <c r="A33" s="876">
        <f t="shared" si="1"/>
        <v>22</v>
      </c>
      <c r="B33" s="217"/>
      <c r="C33" s="368" t="s">
        <v>196</v>
      </c>
      <c r="D33" s="387">
        <f>D34/D32</f>
        <v>4.7357553627676421E-2</v>
      </c>
      <c r="E33" s="387">
        <f t="shared" ref="E33:I33" si="7">E34/E32</f>
        <v>4.5989533702033139E-2</v>
      </c>
      <c r="F33" s="387">
        <f t="shared" si="7"/>
        <v>4.6503060662199266E-2</v>
      </c>
      <c r="G33" s="387">
        <f t="shared" si="7"/>
        <v>4.6696233470844679E-2</v>
      </c>
      <c r="H33" s="387">
        <f t="shared" si="7"/>
        <v>4.7647505156991336E-2</v>
      </c>
      <c r="I33" s="387">
        <f t="shared" si="7"/>
        <v>4.4969269996425393E-2</v>
      </c>
      <c r="J33" s="387">
        <f>Allocation!$I$15</f>
        <v>5.67090596975168E-2</v>
      </c>
      <c r="K33" s="387">
        <f>Allocation!$I$15</f>
        <v>5.67090596975168E-2</v>
      </c>
      <c r="L33" s="387">
        <f>Allocation!$I$15</f>
        <v>5.67090596975168E-2</v>
      </c>
      <c r="M33" s="387">
        <f>Allocation!$I$15</f>
        <v>5.67090596975168E-2</v>
      </c>
      <c r="N33" s="387">
        <f>Allocation!$I$15</f>
        <v>5.67090596975168E-2</v>
      </c>
      <c r="O33" s="387">
        <f>Allocation!$I$15</f>
        <v>5.67090596975168E-2</v>
      </c>
      <c r="P33" s="387">
        <f t="shared" ref="P33" si="8">P34/P32</f>
        <v>5.157100802248564E-2</v>
      </c>
      <c r="Q33" s="217"/>
    </row>
    <row r="34" spans="1:17">
      <c r="A34" s="876">
        <f t="shared" si="1"/>
        <v>23</v>
      </c>
      <c r="B34" s="217"/>
      <c r="C34" s="217" t="s">
        <v>211</v>
      </c>
      <c r="D34" s="217">
        <v>-194374.82</v>
      </c>
      <c r="E34" s="217">
        <v>-169810.53</v>
      </c>
      <c r="F34" s="217">
        <v>-197911.43</v>
      </c>
      <c r="G34" s="217">
        <v>-172667.97</v>
      </c>
      <c r="H34" s="217">
        <v>-199745.2</v>
      </c>
      <c r="I34" s="217">
        <v>-185164.35</v>
      </c>
      <c r="J34" s="217">
        <f t="shared" ref="J34:O34" si="9">J32*J33</f>
        <v>-222534.11315623799</v>
      </c>
      <c r="K34" s="217">
        <f t="shared" si="9"/>
        <v>-237100.17539390334</v>
      </c>
      <c r="L34" s="217">
        <f t="shared" si="9"/>
        <v>-217709.83942233439</v>
      </c>
      <c r="M34" s="217">
        <f t="shared" si="9"/>
        <v>-224692.83344852171</v>
      </c>
      <c r="N34" s="217">
        <f t="shared" si="9"/>
        <v>-221577.61809042899</v>
      </c>
      <c r="O34" s="217">
        <f t="shared" si="9"/>
        <v>-213280.09830649491</v>
      </c>
      <c r="P34" s="211">
        <f>SUM(D34:O34)</f>
        <v>-2456568.9778179214</v>
      </c>
      <c r="Q34" s="217"/>
    </row>
    <row r="35" spans="1:17">
      <c r="A35" s="876">
        <f t="shared" si="1"/>
        <v>24</v>
      </c>
      <c r="B35" s="217"/>
      <c r="C35" s="884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20"/>
      <c r="P35" s="890"/>
      <c r="Q35" s="217"/>
    </row>
    <row r="36" spans="1:17">
      <c r="A36" s="217"/>
      <c r="B36" s="217"/>
      <c r="C36" s="884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20"/>
      <c r="P36" s="220"/>
      <c r="Q36" s="217"/>
    </row>
    <row r="37" spans="1:17">
      <c r="A37" s="217"/>
      <c r="B37" s="217" t="s">
        <v>568</v>
      </c>
      <c r="C37" s="884"/>
      <c r="D37" s="654"/>
      <c r="E37" s="654"/>
      <c r="F37" s="654"/>
      <c r="G37" s="654"/>
      <c r="H37" s="654"/>
      <c r="I37" s="654"/>
      <c r="J37" s="217"/>
      <c r="K37" s="217"/>
      <c r="L37" s="217"/>
      <c r="M37" s="217"/>
      <c r="N37" s="217"/>
      <c r="O37" s="217"/>
      <c r="P37" s="654"/>
      <c r="Q37" s="217"/>
    </row>
    <row r="38" spans="1:17">
      <c r="A38" s="217"/>
      <c r="B38" s="217"/>
      <c r="C38" s="217"/>
      <c r="D38" s="220"/>
      <c r="E38" s="220"/>
      <c r="F38" s="220"/>
      <c r="G38" s="220"/>
      <c r="H38" s="220"/>
      <c r="I38" s="220"/>
      <c r="J38" s="217"/>
      <c r="K38" s="220"/>
      <c r="L38" s="220"/>
      <c r="M38" s="220"/>
      <c r="N38" s="220"/>
      <c r="O38" s="220"/>
      <c r="P38" s="220"/>
      <c r="Q38" s="220"/>
    </row>
    <row r="39" spans="1:17">
      <c r="A39" s="217"/>
      <c r="B39" s="217"/>
      <c r="C39" s="21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673"/>
      <c r="Q39" s="220"/>
    </row>
    <row r="40" spans="1:17">
      <c r="A40" s="217"/>
      <c r="B40" s="217" t="s">
        <v>961</v>
      </c>
      <c r="C40" s="217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1:17">
      <c r="A41" s="217"/>
      <c r="B41" s="217" t="s">
        <v>1670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763"/>
      <c r="Q41" s="217"/>
    </row>
    <row r="42" spans="1:17">
      <c r="A42" s="217"/>
      <c r="B42" s="81" t="s">
        <v>1651</v>
      </c>
      <c r="C42" s="217"/>
      <c r="D42" s="763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</row>
    <row r="43" spans="1:17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20"/>
      <c r="P43" s="220"/>
      <c r="Q43" s="217"/>
    </row>
    <row r="44" spans="1:17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20"/>
      <c r="P44" s="220"/>
      <c r="Q44" s="217"/>
    </row>
    <row r="45" spans="1:17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20"/>
      <c r="P45" s="220"/>
      <c r="Q45" s="217"/>
    </row>
    <row r="46" spans="1:17">
      <c r="A46" s="217"/>
      <c r="B46" s="217"/>
      <c r="C46" s="673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</row>
    <row r="48" spans="1:17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</row>
    <row r="49" spans="1:17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</row>
    <row r="50" spans="1:17">
      <c r="A50" s="217"/>
    </row>
    <row r="52" spans="1:17">
      <c r="C52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63" header="0.5" footer="0.25"/>
  <pageSetup scale="47" fitToHeight="2" orientation="landscape" verticalDpi="300" r:id="rId1"/>
  <headerFooter alignWithMargins="0">
    <oddFooter>&amp;RSchedule &amp;A
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/>
  <dimension ref="A1:R74"/>
  <sheetViews>
    <sheetView view="pageBreakPreview" zoomScale="60" zoomScaleNormal="70" workbookViewId="0">
      <pane xSplit="3" ySplit="11" topLeftCell="D31" activePane="bottomRight" state="frozen"/>
      <selection activeCell="F55" sqref="F55"/>
      <selection pane="topRight" activeCell="F55" sqref="F55"/>
      <selection pane="bottomLeft" activeCell="F55" sqref="F55"/>
      <selection pane="bottomRight" activeCell="M74" sqref="M74"/>
    </sheetView>
  </sheetViews>
  <sheetFormatPr defaultColWidth="7.109375" defaultRowHeight="15"/>
  <cols>
    <col min="1" max="1" width="6.2187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2.44140625" style="80" customWidth="1"/>
    <col min="15" max="15" width="10.5546875" style="80" bestFit="1" customWidth="1"/>
    <col min="16" max="16" width="12.44140625" style="80" customWidth="1"/>
    <col min="17" max="17" width="12.5546875" style="80" customWidth="1"/>
    <col min="18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  <c r="R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</row>
    <row r="4" spans="1:18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96"/>
      <c r="R4" s="196"/>
    </row>
    <row r="5" spans="1:18">
      <c r="A5" s="81"/>
      <c r="B5" s="150"/>
      <c r="C5" s="150"/>
      <c r="D5" s="150"/>
      <c r="E5" s="150"/>
      <c r="F5" s="150"/>
      <c r="G5" s="878"/>
      <c r="H5" s="202"/>
      <c r="I5" s="202"/>
      <c r="J5" s="202"/>
      <c r="K5" s="202"/>
      <c r="L5" s="202"/>
      <c r="M5" s="202"/>
      <c r="N5" s="202"/>
      <c r="O5" s="202"/>
      <c r="P5" s="196"/>
      <c r="Q5" s="196"/>
      <c r="R5" s="196"/>
    </row>
    <row r="6" spans="1:18" ht="15.75">
      <c r="A6" s="234" t="str">
        <f>'C.2.2 B 09'!A6</f>
        <v>Data:___X____Base Period________Forecasted Period</v>
      </c>
      <c r="B6" s="196"/>
      <c r="C6" s="234"/>
      <c r="D6" s="196"/>
      <c r="E6" s="196"/>
      <c r="F6" s="879"/>
      <c r="G6" s="196"/>
      <c r="H6" s="196"/>
      <c r="I6" s="196"/>
      <c r="J6" s="196"/>
      <c r="K6" s="196"/>
      <c r="L6" s="196"/>
      <c r="M6" s="196"/>
      <c r="N6" s="196"/>
      <c r="O6" s="196"/>
      <c r="P6" s="507" t="s">
        <v>1456</v>
      </c>
      <c r="Q6" s="196"/>
      <c r="R6" s="196"/>
    </row>
    <row r="7" spans="1:18">
      <c r="A7" s="234" t="str">
        <f>'C.2.2 B 09'!A7</f>
        <v>Type of Filing:___X____Original________Updated ________Revised</v>
      </c>
      <c r="B7" s="196"/>
      <c r="C7" s="234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508" t="s">
        <v>38</v>
      </c>
      <c r="Q7" s="196"/>
      <c r="R7" s="196"/>
    </row>
    <row r="8" spans="1:18">
      <c r="A8" s="314" t="str">
        <f>'C.2.2 B 09'!A8</f>
        <v>Workpaper Reference No(s).____________________</v>
      </c>
      <c r="B8" s="238"/>
      <c r="C8" s="881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38"/>
      <c r="O8" s="238"/>
      <c r="P8" s="509" t="str">
        <f>C.1!J9</f>
        <v>Witness: Waller, Martin</v>
      </c>
      <c r="Q8" s="196"/>
      <c r="R8" s="196"/>
    </row>
    <row r="9" spans="1:18">
      <c r="A9" s="869" t="s">
        <v>94</v>
      </c>
      <c r="B9" s="870" t="s">
        <v>101</v>
      </c>
      <c r="C9" s="871"/>
      <c r="D9" s="296" t="str">
        <f>'C.2.2 B 09'!D9</f>
        <v>actual</v>
      </c>
      <c r="E9" s="296" t="str">
        <f>'C.2.2 B 09'!F9</f>
        <v>actual</v>
      </c>
      <c r="F9" s="296" t="str">
        <f>'C.2.2 B 09'!F9</f>
        <v>actual</v>
      </c>
      <c r="G9" s="296" t="str">
        <f>'C.2.2 B 09'!G9</f>
        <v>actual</v>
      </c>
      <c r="H9" s="296" t="str">
        <f>'C.2.2 B 09'!H9</f>
        <v>actual</v>
      </c>
      <c r="I9" s="296" t="str">
        <f>'C.2.2 B 09'!I9</f>
        <v>actual</v>
      </c>
      <c r="J9" s="296" t="str">
        <f>'C.2.2 B 09'!J9</f>
        <v>Forecasted</v>
      </c>
      <c r="K9" s="296" t="str">
        <f>'C.2.2 B 09'!K9</f>
        <v>Forecasted</v>
      </c>
      <c r="L9" s="296" t="str">
        <f>'C.2.2 B 09'!L9</f>
        <v>Forecasted</v>
      </c>
      <c r="M9" s="296" t="str">
        <f>'C.2.2 B 09'!M9</f>
        <v>Budgeted</v>
      </c>
      <c r="N9" s="296" t="str">
        <f>'C.2.2 B 09'!N9</f>
        <v>Budgeted</v>
      </c>
      <c r="O9" s="296" t="str">
        <f>'C.2.2 B 09'!O9</f>
        <v>Budgeted</v>
      </c>
      <c r="P9" s="882"/>
      <c r="Q9" s="462"/>
      <c r="R9" s="462"/>
    </row>
    <row r="10" spans="1:18">
      <c r="A10" s="872" t="s">
        <v>100</v>
      </c>
      <c r="B10" s="873" t="s">
        <v>100</v>
      </c>
      <c r="C10" s="874" t="s">
        <v>960</v>
      </c>
      <c r="D10" s="208">
        <f>'C.2.2 B 09'!D10</f>
        <v>42736</v>
      </c>
      <c r="E10" s="208">
        <f>'C.2.2 B 09'!E10</f>
        <v>42767</v>
      </c>
      <c r="F10" s="208">
        <f>'C.2.2 B 09'!F10</f>
        <v>42795</v>
      </c>
      <c r="G10" s="208">
        <f>'C.2.2 B 09'!G10</f>
        <v>42826</v>
      </c>
      <c r="H10" s="208">
        <f>'C.2.2 B 09'!H10</f>
        <v>42856</v>
      </c>
      <c r="I10" s="208">
        <f>'C.2.2 B 09'!I10</f>
        <v>42887</v>
      </c>
      <c r="J10" s="208">
        <f>'C.2.2 B 09'!J10</f>
        <v>42917</v>
      </c>
      <c r="K10" s="208">
        <f>'C.2.2 B 09'!K10</f>
        <v>42948</v>
      </c>
      <c r="L10" s="208">
        <f>'C.2.2 B 09'!L10</f>
        <v>42979</v>
      </c>
      <c r="M10" s="208">
        <f>'C.2.2 B 09'!M10</f>
        <v>43009</v>
      </c>
      <c r="N10" s="208">
        <f>'C.2.2 B 09'!N10</f>
        <v>43040</v>
      </c>
      <c r="O10" s="208">
        <f>'C.2.2 B 09'!O10</f>
        <v>43070</v>
      </c>
      <c r="P10" s="208" t="str">
        <f>'C.2.2 B 09'!P10</f>
        <v>Total</v>
      </c>
      <c r="Q10" s="889"/>
      <c r="R10" s="462"/>
    </row>
    <row r="11" spans="1:18">
      <c r="A11" s="196"/>
      <c r="B11" s="196"/>
      <c r="C11" s="196"/>
      <c r="D11" s="210" t="s">
        <v>147</v>
      </c>
      <c r="E11" s="210" t="s">
        <v>147</v>
      </c>
      <c r="F11" s="210" t="s">
        <v>147</v>
      </c>
      <c r="G11" s="210" t="s">
        <v>147</v>
      </c>
      <c r="H11" s="210" t="s">
        <v>147</v>
      </c>
      <c r="I11" s="210" t="s">
        <v>147</v>
      </c>
      <c r="J11" s="210" t="s">
        <v>147</v>
      </c>
      <c r="K11" s="210" t="s">
        <v>147</v>
      </c>
      <c r="L11" s="210" t="s">
        <v>147</v>
      </c>
      <c r="M11" s="210" t="s">
        <v>147</v>
      </c>
      <c r="N11" s="210" t="s">
        <v>147</v>
      </c>
      <c r="O11" s="210" t="s">
        <v>147</v>
      </c>
      <c r="P11" s="210" t="s">
        <v>147</v>
      </c>
      <c r="Q11" s="210"/>
      <c r="R11" s="196"/>
    </row>
    <row r="12" spans="1:18">
      <c r="A12" s="196"/>
      <c r="B12" s="836" t="s">
        <v>740</v>
      </c>
      <c r="C12" s="103" t="s">
        <v>731</v>
      </c>
      <c r="D12" s="599">
        <v>5426768.3300000001</v>
      </c>
      <c r="E12" s="599">
        <v>3782311.2399999998</v>
      </c>
      <c r="F12" s="599">
        <v>2891979.9100000006</v>
      </c>
      <c r="G12" s="599">
        <v>1810941.75</v>
      </c>
      <c r="H12" s="599">
        <v>761290.12</v>
      </c>
      <c r="I12" s="599">
        <v>1666564.2499999998</v>
      </c>
      <c r="J12" s="599"/>
      <c r="K12" s="96"/>
      <c r="L12" s="96"/>
      <c r="M12" s="96"/>
      <c r="N12" s="96"/>
      <c r="O12" s="96"/>
      <c r="P12" s="211">
        <f t="shared" ref="P12:P15" si="0">SUM(D12:O12)</f>
        <v>16339855.6</v>
      </c>
      <c r="Q12" s="210"/>
      <c r="R12" s="196"/>
    </row>
    <row r="13" spans="1:18">
      <c r="A13" s="196"/>
      <c r="B13" s="196"/>
      <c r="C13" s="196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1">
        <f t="shared" si="0"/>
        <v>0</v>
      </c>
      <c r="Q13" s="210"/>
      <c r="R13" s="196"/>
    </row>
    <row r="14" spans="1:18">
      <c r="A14" s="462">
        <v>1</v>
      </c>
      <c r="B14" s="836">
        <v>4030</v>
      </c>
      <c r="C14" s="196" t="s">
        <v>92</v>
      </c>
      <c r="D14" s="599">
        <v>-9.0949470177292824E-13</v>
      </c>
      <c r="E14" s="599">
        <v>1.4210854715202004E-13</v>
      </c>
      <c r="F14" s="599">
        <v>0</v>
      </c>
      <c r="G14" s="599">
        <v>-1.7053025658242404E-13</v>
      </c>
      <c r="H14" s="599">
        <v>-3.1263880373444408E-13</v>
      </c>
      <c r="I14" s="599">
        <v>-4.1211478674085811E-13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211">
        <f t="shared" si="0"/>
        <v>-1.6626700016786344E-12</v>
      </c>
      <c r="Q14" s="673"/>
      <c r="R14" s="211"/>
    </row>
    <row r="15" spans="1:18">
      <c r="A15" s="462">
        <f>A14+1</f>
        <v>2</v>
      </c>
      <c r="B15" s="836" t="s">
        <v>1411</v>
      </c>
      <c r="C15" s="196" t="s">
        <v>868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96"/>
      <c r="K15" s="96"/>
      <c r="L15" s="96"/>
      <c r="M15" s="96"/>
      <c r="N15" s="96"/>
      <c r="O15" s="96"/>
      <c r="P15" s="211">
        <f t="shared" si="0"/>
        <v>0</v>
      </c>
      <c r="Q15" s="673"/>
      <c r="R15" s="211"/>
    </row>
    <row r="16" spans="1:18">
      <c r="A16" s="462">
        <f t="shared" ref="A16:A56" si="1">A15+1</f>
        <v>3</v>
      </c>
      <c r="B16" s="366">
        <v>4081</v>
      </c>
      <c r="C16" s="196" t="s">
        <v>869</v>
      </c>
      <c r="D16" s="599">
        <v>-1.000000002568413E-2</v>
      </c>
      <c r="E16" s="599">
        <v>1.9999999990268691E-2</v>
      </c>
      <c r="F16" s="599">
        <v>-5.9117155615240335E-12</v>
      </c>
      <c r="G16" s="599">
        <v>240932.20000000007</v>
      </c>
      <c r="H16" s="599">
        <v>-240932.21</v>
      </c>
      <c r="I16" s="599">
        <v>-2.9786034749790247E-12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211">
        <f t="shared" ref="P16:P50" si="2">SUM(D16:O16)</f>
        <v>2.6125226981754679E-11</v>
      </c>
      <c r="Q16" s="211"/>
      <c r="R16" s="211"/>
    </row>
    <row r="17" spans="1:18">
      <c r="A17" s="462">
        <f t="shared" si="1"/>
        <v>4</v>
      </c>
      <c r="B17" s="366">
        <v>8170</v>
      </c>
      <c r="C17" s="196" t="s">
        <v>894</v>
      </c>
      <c r="D17" s="599">
        <v>38.979999999999997</v>
      </c>
      <c r="E17" s="599">
        <v>41.37</v>
      </c>
      <c r="F17" s="599">
        <v>41.85</v>
      </c>
      <c r="G17" s="599">
        <v>39.78</v>
      </c>
      <c r="H17" s="599">
        <v>40.81</v>
      </c>
      <c r="I17" s="599">
        <v>46.65</v>
      </c>
      <c r="J17" s="96">
        <v>47.535253756182058</v>
      </c>
      <c r="K17" s="96">
        <v>47.076993715176023</v>
      </c>
      <c r="L17" s="96">
        <v>47.159209184374923</v>
      </c>
      <c r="M17" s="96">
        <v>40.749447604237574</v>
      </c>
      <c r="N17" s="96">
        <v>41.422094957848472</v>
      </c>
      <c r="O17" s="96">
        <v>40.995310145974692</v>
      </c>
      <c r="P17" s="211">
        <f t="shared" si="2"/>
        <v>514.37830936379362</v>
      </c>
      <c r="Q17" s="211"/>
      <c r="R17" s="211"/>
    </row>
    <row r="18" spans="1:18">
      <c r="A18" s="462">
        <f t="shared" si="1"/>
        <v>5</v>
      </c>
      <c r="B18" s="366">
        <v>8180</v>
      </c>
      <c r="C18" s="196" t="s">
        <v>895</v>
      </c>
      <c r="D18" s="599">
        <v>40.56</v>
      </c>
      <c r="E18" s="599">
        <v>43.050000000000011</v>
      </c>
      <c r="F18" s="599">
        <v>43.849999999999994</v>
      </c>
      <c r="G18" s="599">
        <v>41.389999999999986</v>
      </c>
      <c r="H18" s="599">
        <v>42.460000000000036</v>
      </c>
      <c r="I18" s="599">
        <v>48.539999999999964</v>
      </c>
      <c r="J18" s="96">
        <v>49.519065460807838</v>
      </c>
      <c r="K18" s="96">
        <v>49.041680632170028</v>
      </c>
      <c r="L18" s="96">
        <v>49.127327239255237</v>
      </c>
      <c r="M18" s="96">
        <v>42.450063983166842</v>
      </c>
      <c r="N18" s="96">
        <v>43.150783253675939</v>
      </c>
      <c r="O18" s="96">
        <v>42.706187225110341</v>
      </c>
      <c r="P18" s="211">
        <f t="shared" si="2"/>
        <v>535.84510779418633</v>
      </c>
      <c r="Q18" s="211"/>
      <c r="R18" s="211"/>
    </row>
    <row r="19" spans="1:18">
      <c r="A19" s="462">
        <f t="shared" si="1"/>
        <v>6</v>
      </c>
      <c r="B19" s="366">
        <v>8190</v>
      </c>
      <c r="C19" s="196" t="s">
        <v>896</v>
      </c>
      <c r="D19" s="599">
        <v>128.16</v>
      </c>
      <c r="E19" s="599">
        <v>845.37</v>
      </c>
      <c r="F19" s="599">
        <v>139.44999999999999</v>
      </c>
      <c r="G19" s="599">
        <v>9.6199999999999992</v>
      </c>
      <c r="H19" s="599">
        <v>12.11</v>
      </c>
      <c r="I19" s="599">
        <v>1762.6</v>
      </c>
      <c r="J19" s="96">
        <v>552.13424494998333</v>
      </c>
      <c r="K19" s="96">
        <v>546.8114362608909</v>
      </c>
      <c r="L19" s="96">
        <v>547.7663901618879</v>
      </c>
      <c r="M19" s="96">
        <v>473.3153545471198</v>
      </c>
      <c r="N19" s="96">
        <v>481.1283272222737</v>
      </c>
      <c r="O19" s="96">
        <v>476.17111144577422</v>
      </c>
      <c r="P19" s="211">
        <f t="shared" si="2"/>
        <v>5974.6368645879284</v>
      </c>
      <c r="Q19" s="211"/>
      <c r="R19" s="211"/>
    </row>
    <row r="20" spans="1:18">
      <c r="A20" s="462">
        <f t="shared" si="1"/>
        <v>7</v>
      </c>
      <c r="B20" s="366">
        <v>8210</v>
      </c>
      <c r="C20" s="196" t="s">
        <v>898</v>
      </c>
      <c r="D20" s="599">
        <v>541.9799999999999</v>
      </c>
      <c r="E20" s="599">
        <v>411.51</v>
      </c>
      <c r="F20" s="599">
        <v>340.43</v>
      </c>
      <c r="G20" s="599">
        <v>175.55</v>
      </c>
      <c r="H20" s="599">
        <v>119.37</v>
      </c>
      <c r="I20" s="599">
        <v>128.78</v>
      </c>
      <c r="J20" s="96">
        <v>327.32321422664131</v>
      </c>
      <c r="K20" s="96">
        <v>324.16767938205834</v>
      </c>
      <c r="L20" s="96">
        <v>324.73380724529363</v>
      </c>
      <c r="M20" s="96">
        <v>280.59680161157206</v>
      </c>
      <c r="N20" s="96">
        <v>285.22858700088068</v>
      </c>
      <c r="O20" s="96">
        <v>282.28978757588612</v>
      </c>
      <c r="P20" s="211">
        <f t="shared" si="2"/>
        <v>3541.9598770423318</v>
      </c>
      <c r="Q20" s="211"/>
      <c r="R20" s="211"/>
    </row>
    <row r="21" spans="1:18">
      <c r="A21" s="462">
        <f t="shared" si="1"/>
        <v>8</v>
      </c>
      <c r="B21" s="366">
        <v>8240</v>
      </c>
      <c r="C21" s="196" t="s">
        <v>899</v>
      </c>
      <c r="D21" s="599">
        <f>0</f>
        <v>0</v>
      </c>
      <c r="E21" s="599">
        <f>0</f>
        <v>0</v>
      </c>
      <c r="F21" s="599">
        <f>0</f>
        <v>0</v>
      </c>
      <c r="G21" s="599">
        <f>0</f>
        <v>0</v>
      </c>
      <c r="H21" s="599">
        <f>0</f>
        <v>0</v>
      </c>
      <c r="I21" s="599">
        <f>0</f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211">
        <f t="shared" si="2"/>
        <v>0</v>
      </c>
      <c r="Q21" s="211"/>
      <c r="R21" s="211"/>
    </row>
    <row r="22" spans="1:18">
      <c r="A22" s="462">
        <f t="shared" si="1"/>
        <v>9</v>
      </c>
      <c r="B22" s="366">
        <v>8250</v>
      </c>
      <c r="C22" s="196" t="s">
        <v>911</v>
      </c>
      <c r="D22" s="599">
        <v>2034.2600000000002</v>
      </c>
      <c r="E22" s="599">
        <v>-180.12</v>
      </c>
      <c r="F22" s="599">
        <v>1203.19</v>
      </c>
      <c r="G22" s="599">
        <v>2816.67</v>
      </c>
      <c r="H22" s="599">
        <v>1847.3300000000004</v>
      </c>
      <c r="I22" s="599">
        <v>708.87</v>
      </c>
      <c r="J22" s="96">
        <v>1606.5254017614097</v>
      </c>
      <c r="K22" s="96">
        <v>1591.0378143749076</v>
      </c>
      <c r="L22" s="96">
        <v>1593.8164098224725</v>
      </c>
      <c r="M22" s="96">
        <v>1377.1888758548896</v>
      </c>
      <c r="N22" s="96">
        <v>1399.9220049456953</v>
      </c>
      <c r="O22" s="96">
        <v>1385.4981702717923</v>
      </c>
      <c r="P22" s="211">
        <f t="shared" si="2"/>
        <v>17384.188677031168</v>
      </c>
      <c r="Q22" s="211"/>
      <c r="R22" s="211"/>
    </row>
    <row r="23" spans="1:18">
      <c r="A23" s="462"/>
      <c r="B23" s="366">
        <v>8500</v>
      </c>
      <c r="C23" s="196" t="s">
        <v>916</v>
      </c>
      <c r="D23" s="599">
        <v>4.38</v>
      </c>
      <c r="E23" s="599">
        <v>29.66</v>
      </c>
      <c r="F23" s="599">
        <v>0</v>
      </c>
      <c r="G23" s="599">
        <v>0</v>
      </c>
      <c r="H23" s="599">
        <v>8377.74</v>
      </c>
      <c r="I23" s="599">
        <v>0</v>
      </c>
      <c r="J23" s="96">
        <v>6320.0316370470173</v>
      </c>
      <c r="K23" s="96">
        <v>6417.1027489923435</v>
      </c>
      <c r="L23" s="96">
        <v>6659.2576150724317</v>
      </c>
      <c r="M23" s="96">
        <v>6696.4044167520033</v>
      </c>
      <c r="N23" s="96">
        <v>6860.1139119980571</v>
      </c>
      <c r="O23" s="96">
        <v>6987.1158933009101</v>
      </c>
      <c r="P23" s="211">
        <f t="shared" si="2"/>
        <v>48351.806223162755</v>
      </c>
      <c r="Q23" s="211"/>
      <c r="R23" s="211"/>
    </row>
    <row r="24" spans="1:18">
      <c r="A24" s="462">
        <f>A22+1</f>
        <v>10</v>
      </c>
      <c r="B24" s="366">
        <v>8560</v>
      </c>
      <c r="C24" s="196" t="s">
        <v>917</v>
      </c>
      <c r="D24" s="599">
        <v>52.150000000000034</v>
      </c>
      <c r="E24" s="599">
        <v>55.350000000000023</v>
      </c>
      <c r="F24" s="599">
        <v>-5.5900000000000318</v>
      </c>
      <c r="G24" s="599">
        <v>115.19</v>
      </c>
      <c r="H24" s="599">
        <v>188.96999999999997</v>
      </c>
      <c r="I24" s="599">
        <v>62.399999999999977</v>
      </c>
      <c r="J24" s="96">
        <v>71.357679008849502</v>
      </c>
      <c r="K24" s="96">
        <v>89.142879193792652</v>
      </c>
      <c r="L24" s="96">
        <v>99.581167574902651</v>
      </c>
      <c r="M24" s="96">
        <v>78.863754640246754</v>
      </c>
      <c r="N24" s="96">
        <v>84.160059462032748</v>
      </c>
      <c r="O24" s="96">
        <v>65.919388769020557</v>
      </c>
      <c r="P24" s="211">
        <f t="shared" si="2"/>
        <v>957.49492864884485</v>
      </c>
      <c r="Q24" s="211"/>
      <c r="R24" s="211"/>
    </row>
    <row r="25" spans="1:18">
      <c r="A25" s="462">
        <f t="shared" si="1"/>
        <v>11</v>
      </c>
      <c r="B25" s="366">
        <v>8570</v>
      </c>
      <c r="C25" s="196" t="s">
        <v>918</v>
      </c>
      <c r="D25" s="599">
        <v>77.97</v>
      </c>
      <c r="E25" s="599">
        <v>82.74</v>
      </c>
      <c r="F25" s="599">
        <v>83.69</v>
      </c>
      <c r="G25" s="599">
        <v>79.56</v>
      </c>
      <c r="H25" s="599">
        <v>81.62</v>
      </c>
      <c r="I25" s="599">
        <v>93.29</v>
      </c>
      <c r="J25" s="96">
        <v>95.068601833493204</v>
      </c>
      <c r="K25" s="96">
        <v>94.152100123035055</v>
      </c>
      <c r="L25" s="96">
        <v>94.316527765431047</v>
      </c>
      <c r="M25" s="96">
        <v>81.497261571223532</v>
      </c>
      <c r="N25" s="96">
        <v>82.842529312146681</v>
      </c>
      <c r="O25" s="96">
        <v>81.988976798117363</v>
      </c>
      <c r="P25" s="211">
        <f t="shared" si="2"/>
        <v>1028.7359974034468</v>
      </c>
      <c r="Q25" s="211"/>
      <c r="R25" s="891"/>
    </row>
    <row r="26" spans="1:18">
      <c r="A26" s="462">
        <f t="shared" si="1"/>
        <v>12</v>
      </c>
      <c r="B26" s="366">
        <v>8650</v>
      </c>
      <c r="C26" s="661" t="s">
        <v>1430</v>
      </c>
      <c r="D26" s="599">
        <v>0</v>
      </c>
      <c r="E26" s="599">
        <v>0</v>
      </c>
      <c r="F26" s="599">
        <v>0</v>
      </c>
      <c r="G26" s="599">
        <v>5332.5</v>
      </c>
      <c r="H26" s="599">
        <v>0</v>
      </c>
      <c r="I26" s="599">
        <v>0</v>
      </c>
      <c r="J26" s="96">
        <v>4023.9077890941535</v>
      </c>
      <c r="K26" s="96">
        <v>4084.5749080028245</v>
      </c>
      <c r="L26" s="96">
        <v>4239.1592945024722</v>
      </c>
      <c r="M26" s="96">
        <v>4264.3130924060515</v>
      </c>
      <c r="N26" s="96">
        <v>4363.3947468683791</v>
      </c>
      <c r="O26" s="96">
        <v>4449.1890820726312</v>
      </c>
      <c r="P26" s="211">
        <f t="shared" si="2"/>
        <v>30757.038912946511</v>
      </c>
      <c r="Q26" s="211"/>
      <c r="R26" s="891"/>
    </row>
    <row r="27" spans="1:18">
      <c r="A27" s="462">
        <f t="shared" si="1"/>
        <v>13</v>
      </c>
      <c r="B27" s="366">
        <v>8700</v>
      </c>
      <c r="C27" s="196" t="s">
        <v>921</v>
      </c>
      <c r="D27" s="599">
        <v>284070.41000000009</v>
      </c>
      <c r="E27" s="599">
        <v>213573.84000000005</v>
      </c>
      <c r="F27" s="599">
        <v>232792.85000000003</v>
      </c>
      <c r="G27" s="599">
        <v>266021.45999999985</v>
      </c>
      <c r="H27" s="599">
        <v>223520.58</v>
      </c>
      <c r="I27" s="599">
        <v>229136.60999999993</v>
      </c>
      <c r="J27" s="96">
        <v>277585.56687904592</v>
      </c>
      <c r="K27" s="96">
        <v>309507.96918270743</v>
      </c>
      <c r="L27" s="96">
        <v>315310.28808785614</v>
      </c>
      <c r="M27" s="96">
        <v>259992.46693498504</v>
      </c>
      <c r="N27" s="96">
        <v>304990.55807713856</v>
      </c>
      <c r="O27" s="96">
        <v>263558.44228247023</v>
      </c>
      <c r="P27" s="211">
        <f t="shared" si="2"/>
        <v>3180061.0414442029</v>
      </c>
      <c r="Q27" s="211"/>
      <c r="R27" s="891"/>
    </row>
    <row r="28" spans="1:18">
      <c r="A28" s="462">
        <f t="shared" si="1"/>
        <v>14</v>
      </c>
      <c r="B28" s="366">
        <v>8711</v>
      </c>
      <c r="C28" s="196" t="s">
        <v>190</v>
      </c>
      <c r="D28" s="599">
        <v>11656.150000000001</v>
      </c>
      <c r="E28" s="599">
        <v>3070.17</v>
      </c>
      <c r="F28" s="599">
        <v>19229.599999999999</v>
      </c>
      <c r="G28" s="599">
        <v>4460.67</v>
      </c>
      <c r="H28" s="599">
        <v>0</v>
      </c>
      <c r="I28" s="599">
        <v>6557.9699999999993</v>
      </c>
      <c r="J28" s="96">
        <v>2573.9898582355681</v>
      </c>
      <c r="K28" s="96">
        <v>8731.7947727328283</v>
      </c>
      <c r="L28" s="96">
        <v>12188.447569604032</v>
      </c>
      <c r="M28" s="96">
        <v>8127.9410753636785</v>
      </c>
      <c r="N28" s="96">
        <v>9598.9980041400049</v>
      </c>
      <c r="O28" s="96">
        <v>3685.4852452222749</v>
      </c>
      <c r="P28" s="211">
        <f t="shared" si="2"/>
        <v>89881.216525298383</v>
      </c>
      <c r="Q28" s="211"/>
      <c r="R28" s="891"/>
    </row>
    <row r="29" spans="1:18">
      <c r="A29" s="462">
        <f t="shared" si="1"/>
        <v>15</v>
      </c>
      <c r="B29" s="366">
        <v>8740</v>
      </c>
      <c r="C29" s="196" t="s">
        <v>923</v>
      </c>
      <c r="D29" s="599">
        <v>10200.090000000002</v>
      </c>
      <c r="E29" s="599">
        <v>9564.3299999999981</v>
      </c>
      <c r="F29" s="599">
        <v>4077.5199999999986</v>
      </c>
      <c r="G29" s="599">
        <v>7526.2899999999991</v>
      </c>
      <c r="H29" s="599">
        <v>11353.000000000002</v>
      </c>
      <c r="I29" s="599">
        <v>9116.6899999999987</v>
      </c>
      <c r="J29" s="96">
        <v>2306.8534449320514</v>
      </c>
      <c r="K29" s="96">
        <v>2555.7007167880374</v>
      </c>
      <c r="L29" s="96">
        <v>3556.0894908454443</v>
      </c>
      <c r="M29" s="96">
        <v>1748.759481340657</v>
      </c>
      <c r="N29" s="96">
        <v>2213.4161061606551</v>
      </c>
      <c r="O29" s="96">
        <v>1844.6534552949045</v>
      </c>
      <c r="P29" s="211">
        <f t="shared" si="2"/>
        <v>66063.392695361748</v>
      </c>
      <c r="Q29" s="211"/>
      <c r="R29" s="891"/>
    </row>
    <row r="30" spans="1:18">
      <c r="A30" s="462">
        <f t="shared" si="1"/>
        <v>16</v>
      </c>
      <c r="B30" s="366">
        <v>8750</v>
      </c>
      <c r="C30" s="196" t="s">
        <v>924</v>
      </c>
      <c r="D30" s="599">
        <v>7224.27</v>
      </c>
      <c r="E30" s="599">
        <v>9359.5400000000009</v>
      </c>
      <c r="F30" s="599">
        <v>10704.849999999999</v>
      </c>
      <c r="G30" s="599">
        <v>9177.7899999999991</v>
      </c>
      <c r="H30" s="599">
        <v>17655.87</v>
      </c>
      <c r="I30" s="599">
        <v>10259</v>
      </c>
      <c r="J30" s="96">
        <v>15439.551821733447</v>
      </c>
      <c r="K30" s="96">
        <v>19027.780130014351</v>
      </c>
      <c r="L30" s="96">
        <v>19050.116256029454</v>
      </c>
      <c r="M30" s="96">
        <v>17435.631774128415</v>
      </c>
      <c r="N30" s="96">
        <v>18735.165286343774</v>
      </c>
      <c r="O30" s="96">
        <v>15285.677649070971</v>
      </c>
      <c r="P30" s="211">
        <f t="shared" si="2"/>
        <v>169355.2429173204</v>
      </c>
      <c r="Q30" s="211"/>
      <c r="R30" s="891"/>
    </row>
    <row r="31" spans="1:18">
      <c r="A31" s="462">
        <f t="shared" si="1"/>
        <v>17</v>
      </c>
      <c r="B31" s="366">
        <v>8760</v>
      </c>
      <c r="C31" s="80" t="s">
        <v>925</v>
      </c>
      <c r="D31" s="599">
        <v>5809.56</v>
      </c>
      <c r="E31" s="599">
        <v>-6411.82</v>
      </c>
      <c r="F31" s="599">
        <v>0</v>
      </c>
      <c r="G31" s="599">
        <v>0</v>
      </c>
      <c r="H31" s="599">
        <v>0</v>
      </c>
      <c r="I31" s="599">
        <v>0</v>
      </c>
      <c r="J31" s="96">
        <v>-34.468622528401639</v>
      </c>
      <c r="K31" s="96">
        <v>-116.92856405545864</v>
      </c>
      <c r="L31" s="96">
        <v>-163.21703721547729</v>
      </c>
      <c r="M31" s="96">
        <v>-108.84228310512705</v>
      </c>
      <c r="N31" s="96">
        <v>-128.54139179957184</v>
      </c>
      <c r="O31" s="96">
        <v>-49.352797310025153</v>
      </c>
      <c r="P31" s="211">
        <f t="shared" si="2"/>
        <v>-1203.6106960140607</v>
      </c>
      <c r="Q31" s="211"/>
      <c r="R31" s="891"/>
    </row>
    <row r="32" spans="1:18">
      <c r="A32" s="462">
        <f t="shared" si="1"/>
        <v>18</v>
      </c>
      <c r="B32" s="366">
        <v>8770</v>
      </c>
      <c r="C32" s="196" t="s">
        <v>926</v>
      </c>
      <c r="D32" s="599">
        <v>0</v>
      </c>
      <c r="E32" s="599">
        <v>0</v>
      </c>
      <c r="F32" s="599">
        <v>21.24</v>
      </c>
      <c r="G32" s="599">
        <v>154.77000000000001</v>
      </c>
      <c r="H32" s="599">
        <v>197.76</v>
      </c>
      <c r="I32" s="599">
        <v>-19.96</v>
      </c>
      <c r="J32" s="96">
        <v>20.249299865131</v>
      </c>
      <c r="K32" s="96">
        <v>68.692085226416935</v>
      </c>
      <c r="L32" s="96">
        <v>95.885198979191841</v>
      </c>
      <c r="M32" s="96">
        <v>63.941633489564374</v>
      </c>
      <c r="N32" s="96">
        <v>75.514279269097329</v>
      </c>
      <c r="O32" s="96">
        <v>28.993313878158961</v>
      </c>
      <c r="P32" s="211">
        <f t="shared" si="2"/>
        <v>707.08581070756043</v>
      </c>
      <c r="Q32" s="211"/>
      <c r="R32" s="891"/>
    </row>
    <row r="33" spans="1:18">
      <c r="A33" s="462">
        <f t="shared" si="1"/>
        <v>19</v>
      </c>
      <c r="B33" s="366">
        <v>8800</v>
      </c>
      <c r="C33" s="196" t="s">
        <v>929</v>
      </c>
      <c r="D33" s="599">
        <v>7.22</v>
      </c>
      <c r="E33" s="599">
        <v>0</v>
      </c>
      <c r="F33" s="599">
        <v>201.67</v>
      </c>
      <c r="G33" s="599">
        <v>0</v>
      </c>
      <c r="H33" s="599">
        <v>0</v>
      </c>
      <c r="I33" s="599">
        <v>0</v>
      </c>
      <c r="J33" s="96">
        <v>43.722599860356887</v>
      </c>
      <c r="K33" s="96">
        <v>51.526180305346564</v>
      </c>
      <c r="L33" s="96">
        <v>50.725774603207604</v>
      </c>
      <c r="M33" s="96">
        <v>42.221944945934013</v>
      </c>
      <c r="N33" s="96">
        <v>75.016584643669106</v>
      </c>
      <c r="O33" s="96">
        <v>45.726111016051902</v>
      </c>
      <c r="P33" s="211">
        <f t="shared" si="2"/>
        <v>517.8291953745661</v>
      </c>
      <c r="Q33" s="211"/>
      <c r="R33" s="891"/>
    </row>
    <row r="34" spans="1:18">
      <c r="A34" s="462">
        <f t="shared" si="1"/>
        <v>20</v>
      </c>
      <c r="B34" s="366">
        <v>8810</v>
      </c>
      <c r="C34" s="196" t="s">
        <v>930</v>
      </c>
      <c r="D34" s="599">
        <v>26101.8</v>
      </c>
      <c r="E34" s="599">
        <v>39903.569999999992</v>
      </c>
      <c r="F34" s="599">
        <v>7661.8200000000015</v>
      </c>
      <c r="G34" s="599">
        <v>22113.65</v>
      </c>
      <c r="H34" s="599">
        <v>23129.929999999997</v>
      </c>
      <c r="I34" s="599">
        <v>22121.93</v>
      </c>
      <c r="J34" s="96">
        <v>26876.303649853653</v>
      </c>
      <c r="K34" s="96">
        <v>26617.204664585886</v>
      </c>
      <c r="L34" s="96">
        <v>26663.689068061231</v>
      </c>
      <c r="M34" s="96">
        <v>23039.627241557715</v>
      </c>
      <c r="N34" s="96">
        <v>23419.940232367524</v>
      </c>
      <c r="O34" s="96">
        <v>23178.637256351038</v>
      </c>
      <c r="P34" s="211">
        <f t="shared" si="2"/>
        <v>290828.10211277707</v>
      </c>
      <c r="Q34" s="211"/>
      <c r="R34" s="891"/>
    </row>
    <row r="35" spans="1:18">
      <c r="A35" s="462">
        <f t="shared" si="1"/>
        <v>21</v>
      </c>
      <c r="B35" s="366">
        <v>9010</v>
      </c>
      <c r="C35" s="80" t="s">
        <v>182</v>
      </c>
      <c r="D35" s="599">
        <v>2224.7800000000002</v>
      </c>
      <c r="E35" s="599">
        <v>2129.21</v>
      </c>
      <c r="F35" s="599">
        <v>2392.91</v>
      </c>
      <c r="G35" s="599">
        <v>2130.86</v>
      </c>
      <c r="H35" s="599">
        <v>2375.35</v>
      </c>
      <c r="I35" s="599">
        <v>1986.12</v>
      </c>
      <c r="J35" s="96">
        <v>2027.0635994460692</v>
      </c>
      <c r="K35" s="96">
        <v>2227.4906203635287</v>
      </c>
      <c r="L35" s="96">
        <v>2042.2348812632815</v>
      </c>
      <c r="M35" s="96">
        <v>1876.7858203186709</v>
      </c>
      <c r="N35" s="96">
        <v>1950.2287772661598</v>
      </c>
      <c r="O35" s="96">
        <v>1803.4902502132636</v>
      </c>
      <c r="P35" s="211">
        <f t="shared" si="2"/>
        <v>25166.52394887097</v>
      </c>
      <c r="Q35" s="211"/>
      <c r="R35" s="891"/>
    </row>
    <row r="36" spans="1:18">
      <c r="A36" s="462"/>
      <c r="B36" s="366">
        <v>9020</v>
      </c>
      <c r="C36" s="80" t="s">
        <v>940</v>
      </c>
      <c r="D36" s="599">
        <v>0</v>
      </c>
      <c r="E36" s="599">
        <v>0</v>
      </c>
      <c r="F36" s="599">
        <v>0</v>
      </c>
      <c r="G36" s="599">
        <v>0</v>
      </c>
      <c r="H36" s="599">
        <v>-90</v>
      </c>
      <c r="I36" s="599">
        <v>0</v>
      </c>
      <c r="J36" s="96">
        <v>-67.914055512137608</v>
      </c>
      <c r="K36" s="96">
        <v>-68.937973130849372</v>
      </c>
      <c r="L36" s="96">
        <v>-71.546992312278007</v>
      </c>
      <c r="M36" s="96">
        <v>-71.971528985756137</v>
      </c>
      <c r="N36" s="96">
        <v>-73.643793196090783</v>
      </c>
      <c r="O36" s="96">
        <v>-75.091798853546521</v>
      </c>
      <c r="P36" s="211">
        <f t="shared" si="2"/>
        <v>-519.10614199065844</v>
      </c>
      <c r="Q36" s="211"/>
      <c r="R36" s="891"/>
    </row>
    <row r="37" spans="1:18">
      <c r="A37" s="462">
        <f>A35+1</f>
        <v>22</v>
      </c>
      <c r="B37" s="366">
        <v>9030</v>
      </c>
      <c r="C37" s="196" t="s">
        <v>945</v>
      </c>
      <c r="D37" s="599">
        <v>258815.49</v>
      </c>
      <c r="E37" s="599">
        <v>236243.71</v>
      </c>
      <c r="F37" s="599">
        <v>-219998.26999999996</v>
      </c>
      <c r="G37" s="599">
        <v>155498.62</v>
      </c>
      <c r="H37" s="599">
        <v>160887.69</v>
      </c>
      <c r="I37" s="599">
        <v>154332.61000000002</v>
      </c>
      <c r="J37" s="96">
        <v>297001.53863653279</v>
      </c>
      <c r="K37" s="96">
        <v>306785.26802791713</v>
      </c>
      <c r="L37" s="96">
        <v>309333.1114503782</v>
      </c>
      <c r="M37" s="96">
        <v>305777.71600617748</v>
      </c>
      <c r="N37" s="96">
        <v>311450.9170103338</v>
      </c>
      <c r="O37" s="96">
        <v>313593.40017580951</v>
      </c>
      <c r="P37" s="211">
        <f t="shared" si="2"/>
        <v>2589721.8013071488</v>
      </c>
      <c r="Q37" s="211"/>
      <c r="R37" s="891"/>
    </row>
    <row r="38" spans="1:18">
      <c r="A38" s="462">
        <f t="shared" si="1"/>
        <v>23</v>
      </c>
      <c r="B38" s="366">
        <v>9100</v>
      </c>
      <c r="C38" s="196" t="s">
        <v>948</v>
      </c>
      <c r="D38" s="599">
        <v>204.4</v>
      </c>
      <c r="E38" s="599">
        <v>150.75</v>
      </c>
      <c r="F38" s="599">
        <v>130.11000000000001</v>
      </c>
      <c r="G38" s="599">
        <v>108.7</v>
      </c>
      <c r="H38" s="599">
        <v>10.050000000000001</v>
      </c>
      <c r="I38" s="599">
        <v>0</v>
      </c>
      <c r="J38" s="96">
        <v>53.684474199866678</v>
      </c>
      <c r="K38" s="96">
        <v>187.51491475779758</v>
      </c>
      <c r="L38" s="96">
        <v>149.8854460570829</v>
      </c>
      <c r="M38" s="96">
        <v>103.84502342344136</v>
      </c>
      <c r="N38" s="96">
        <v>102.59100089985874</v>
      </c>
      <c r="O38" s="96">
        <v>93.093067977990714</v>
      </c>
      <c r="P38" s="211">
        <f t="shared" si="2"/>
        <v>1294.6239273160379</v>
      </c>
      <c r="Q38" s="211"/>
      <c r="R38" s="891"/>
    </row>
    <row r="39" spans="1:18">
      <c r="A39" s="462">
        <f t="shared" si="1"/>
        <v>24</v>
      </c>
      <c r="B39" s="366">
        <v>9110</v>
      </c>
      <c r="C39" s="196" t="s">
        <v>949</v>
      </c>
      <c r="D39" s="599">
        <v>9137.02</v>
      </c>
      <c r="E39" s="599">
        <v>9790.74</v>
      </c>
      <c r="F39" s="599">
        <v>8775.6</v>
      </c>
      <c r="G39" s="599">
        <v>15140.27</v>
      </c>
      <c r="H39" s="599">
        <v>7192.99</v>
      </c>
      <c r="I39" s="599">
        <v>12703.889999999998</v>
      </c>
      <c r="J39" s="96">
        <v>10347.698747033826</v>
      </c>
      <c r="K39" s="96">
        <v>11701.150244974573</v>
      </c>
      <c r="L39" s="96">
        <v>10923.464012732249</v>
      </c>
      <c r="M39" s="96">
        <v>9686.5078576716405</v>
      </c>
      <c r="N39" s="96">
        <v>12085.522334394489</v>
      </c>
      <c r="O39" s="96">
        <v>9618.3420813806097</v>
      </c>
      <c r="P39" s="211">
        <f t="shared" si="2"/>
        <v>127103.19527818738</v>
      </c>
      <c r="Q39" s="211"/>
      <c r="R39" s="891"/>
    </row>
    <row r="40" spans="1:18">
      <c r="A40" s="462">
        <f t="shared" si="1"/>
        <v>25</v>
      </c>
      <c r="B40" s="366">
        <v>9120</v>
      </c>
      <c r="C40" s="196" t="s">
        <v>950</v>
      </c>
      <c r="D40" s="599">
        <v>395</v>
      </c>
      <c r="E40" s="599">
        <v>0</v>
      </c>
      <c r="F40" s="599">
        <v>0</v>
      </c>
      <c r="G40" s="599">
        <v>0</v>
      </c>
      <c r="H40" s="599">
        <v>0</v>
      </c>
      <c r="I40" s="599">
        <v>0</v>
      </c>
      <c r="J40" s="96">
        <v>35.107642769072257</v>
      </c>
      <c r="K40" s="96">
        <v>122.62775670821682</v>
      </c>
      <c r="L40" s="96">
        <v>98.019488406727945</v>
      </c>
      <c r="M40" s="96">
        <v>67.910770106884542</v>
      </c>
      <c r="N40" s="96">
        <v>67.090686173149791</v>
      </c>
      <c r="O40" s="96">
        <v>60.87939247910851</v>
      </c>
      <c r="P40" s="211">
        <f t="shared" si="2"/>
        <v>846.63573664316004</v>
      </c>
      <c r="Q40" s="211"/>
      <c r="R40" s="891"/>
    </row>
    <row r="41" spans="1:18">
      <c r="A41" s="462">
        <f t="shared" si="1"/>
        <v>26</v>
      </c>
      <c r="B41" s="366">
        <v>9130</v>
      </c>
      <c r="C41" s="196" t="s">
        <v>951</v>
      </c>
      <c r="D41" s="599">
        <v>92.5</v>
      </c>
      <c r="E41" s="599">
        <v>0</v>
      </c>
      <c r="F41" s="599">
        <v>0</v>
      </c>
      <c r="G41" s="599">
        <v>206.34</v>
      </c>
      <c r="H41" s="599">
        <v>0</v>
      </c>
      <c r="I41" s="599">
        <v>0</v>
      </c>
      <c r="J41" s="96">
        <v>26.560931557239378</v>
      </c>
      <c r="K41" s="96">
        <v>92.774883075148125</v>
      </c>
      <c r="L41" s="96">
        <v>74.157326368269821</v>
      </c>
      <c r="M41" s="96">
        <v>51.378365920864248</v>
      </c>
      <c r="N41" s="96">
        <v>50.757925711352108</v>
      </c>
      <c r="O41" s="96">
        <v>46.05872822394123</v>
      </c>
      <c r="P41" s="211">
        <f t="shared" si="2"/>
        <v>640.52816085681491</v>
      </c>
      <c r="Q41" s="211"/>
      <c r="R41" s="891"/>
    </row>
    <row r="42" spans="1:18">
      <c r="A42" s="462">
        <f t="shared" si="1"/>
        <v>27</v>
      </c>
      <c r="B42" s="366">
        <v>9200</v>
      </c>
      <c r="C42" s="196" t="s">
        <v>183</v>
      </c>
      <c r="D42" s="599">
        <v>-4731.29</v>
      </c>
      <c r="E42" s="599">
        <v>-25367.87</v>
      </c>
      <c r="F42" s="599">
        <v>-6325.79</v>
      </c>
      <c r="G42" s="599">
        <v>-4895.53</v>
      </c>
      <c r="H42" s="599">
        <v>-26382.78</v>
      </c>
      <c r="I42" s="599">
        <v>-5662.56</v>
      </c>
      <c r="J42" s="96">
        <v>270.62672350969581</v>
      </c>
      <c r="K42" s="96">
        <v>-64.86095026265437</v>
      </c>
      <c r="L42" s="96">
        <v>-69.334119246285709</v>
      </c>
      <c r="M42" s="96">
        <v>9231.9994590432507</v>
      </c>
      <c r="N42" s="96">
        <v>8908.3813391689655</v>
      </c>
      <c r="O42" s="96">
        <v>8869.8966534767424</v>
      </c>
      <c r="P42" s="211">
        <f t="shared" si="2"/>
        <v>-46219.110894310288</v>
      </c>
      <c r="Q42" s="211"/>
      <c r="R42" s="891"/>
    </row>
    <row r="43" spans="1:18">
      <c r="A43" s="462">
        <f t="shared" si="1"/>
        <v>28</v>
      </c>
      <c r="B43" s="366">
        <v>9210</v>
      </c>
      <c r="C43" s="196" t="s">
        <v>952</v>
      </c>
      <c r="D43" s="599">
        <v>0</v>
      </c>
      <c r="E43" s="599">
        <v>1331.8400000000001</v>
      </c>
      <c r="F43" s="599">
        <v>7.58</v>
      </c>
      <c r="G43" s="599">
        <v>0</v>
      </c>
      <c r="H43" s="599">
        <v>9.56</v>
      </c>
      <c r="I43" s="599">
        <v>0</v>
      </c>
      <c r="J43" s="96">
        <v>236.39356481530194</v>
      </c>
      <c r="K43" s="96">
        <v>359.18360560210397</v>
      </c>
      <c r="L43" s="96">
        <v>332.1151378826973</v>
      </c>
      <c r="M43" s="96">
        <v>261.16839866612747</v>
      </c>
      <c r="N43" s="96">
        <v>411.65701625794969</v>
      </c>
      <c r="O43" s="96">
        <v>270.19209505575674</v>
      </c>
      <c r="P43" s="211">
        <f t="shared" si="2"/>
        <v>3219.6898182799368</v>
      </c>
      <c r="Q43" s="211"/>
      <c r="R43" s="211"/>
    </row>
    <row r="44" spans="1:18">
      <c r="A44" s="462">
        <f t="shared" si="1"/>
        <v>29</v>
      </c>
      <c r="B44" s="366">
        <v>9220</v>
      </c>
      <c r="C44" s="196" t="s">
        <v>953</v>
      </c>
      <c r="D44" s="599">
        <v>-831246.35</v>
      </c>
      <c r="E44" s="599">
        <v>-694191.90999999968</v>
      </c>
      <c r="F44" s="599">
        <v>-477225.28000000044</v>
      </c>
      <c r="G44" s="599">
        <v>-708629.43999999983</v>
      </c>
      <c r="H44" s="599">
        <v>-704519.55000000016</v>
      </c>
      <c r="I44" s="599">
        <v>-482659.37999999989</v>
      </c>
      <c r="J44" s="96">
        <f t="shared" ref="J44:O44" si="3">-(SUM(J14:J43,J45:J50))</f>
        <v>-1029942.3200000002</v>
      </c>
      <c r="K44" s="96">
        <f t="shared" si="3"/>
        <v>-915016.71999999986</v>
      </c>
      <c r="L44" s="96">
        <f t="shared" si="3"/>
        <v>-914981.66000000015</v>
      </c>
      <c r="M44" s="96">
        <f t="shared" si="3"/>
        <v>-873623.95509999979</v>
      </c>
      <c r="N44" s="96">
        <f t="shared" si="3"/>
        <v>-946536.62390000012</v>
      </c>
      <c r="O44" s="96">
        <f t="shared" si="3"/>
        <v>-904541.72340000002</v>
      </c>
      <c r="P44" s="211">
        <f t="shared" si="2"/>
        <v>-9483114.9124000017</v>
      </c>
      <c r="Q44" s="673"/>
      <c r="R44" s="211"/>
    </row>
    <row r="45" spans="1:18">
      <c r="A45" s="462">
        <f t="shared" si="1"/>
        <v>30</v>
      </c>
      <c r="B45" s="366">
        <v>9230</v>
      </c>
      <c r="C45" s="196" t="s">
        <v>954</v>
      </c>
      <c r="D45" s="599">
        <v>6769.3</v>
      </c>
      <c r="E45" s="599">
        <v>4064.37</v>
      </c>
      <c r="F45" s="599">
        <v>5669.0599999999995</v>
      </c>
      <c r="G45" s="599">
        <v>7466.16</v>
      </c>
      <c r="H45" s="599">
        <v>8921.7900000000009</v>
      </c>
      <c r="I45" s="599">
        <v>12968.37</v>
      </c>
      <c r="J45" s="96">
        <v>34605.267415932161</v>
      </c>
      <c r="K45" s="96">
        <v>35126.999518958641</v>
      </c>
      <c r="L45" s="96">
        <v>36456.412197759702</v>
      </c>
      <c r="M45" s="96">
        <v>36672.732737047118</v>
      </c>
      <c r="N45" s="96">
        <v>37524.826604102083</v>
      </c>
      <c r="O45" s="96">
        <v>38262.650646830371</v>
      </c>
      <c r="P45" s="211">
        <f t="shared" si="2"/>
        <v>264507.93912063009</v>
      </c>
      <c r="Q45" s="211"/>
      <c r="R45" s="211"/>
    </row>
    <row r="46" spans="1:18">
      <c r="A46" s="462">
        <f t="shared" si="1"/>
        <v>31</v>
      </c>
      <c r="B46" s="366">
        <v>9240</v>
      </c>
      <c r="C46" s="196" t="s">
        <v>955</v>
      </c>
      <c r="D46" s="599">
        <v>-1252.8800000000001</v>
      </c>
      <c r="E46" s="599">
        <v>-958.93999999999994</v>
      </c>
      <c r="F46" s="599">
        <v>-970.97</v>
      </c>
      <c r="G46" s="599">
        <v>-1169.99</v>
      </c>
      <c r="H46" s="599">
        <v>-1134.3499999999999</v>
      </c>
      <c r="I46" s="599">
        <v>-1172.28</v>
      </c>
      <c r="J46" s="96">
        <v>-16584.03179757113</v>
      </c>
      <c r="K46" s="96">
        <v>-16374.171145973101</v>
      </c>
      <c r="L46" s="96">
        <v>-16514.841932087937</v>
      </c>
      <c r="M46" s="96">
        <v>-15235.058526163692</v>
      </c>
      <c r="N46" s="96">
        <v>-15471.953628513438</v>
      </c>
      <c r="O46" s="96">
        <v>-15767.957953693192</v>
      </c>
      <c r="P46" s="211">
        <f t="shared" si="2"/>
        <v>-102607.42498400249</v>
      </c>
      <c r="Q46" s="211"/>
      <c r="R46" s="211"/>
    </row>
    <row r="47" spans="1:18">
      <c r="A47" s="462">
        <f t="shared" si="1"/>
        <v>32</v>
      </c>
      <c r="B47" s="366">
        <v>9250</v>
      </c>
      <c r="C47" s="196" t="s">
        <v>956</v>
      </c>
      <c r="D47" s="599">
        <v>21554.92</v>
      </c>
      <c r="E47" s="599">
        <v>27630.63</v>
      </c>
      <c r="F47" s="599">
        <v>21837.949999999997</v>
      </c>
      <c r="G47" s="599">
        <v>21426.63</v>
      </c>
      <c r="H47" s="599">
        <v>21366.97</v>
      </c>
      <c r="I47" s="599">
        <v>5987.1699999999983</v>
      </c>
      <c r="J47" s="96">
        <v>58529.840846592459</v>
      </c>
      <c r="K47" s="96">
        <v>59766.208232222314</v>
      </c>
      <c r="L47" s="96">
        <v>58373.698811667135</v>
      </c>
      <c r="M47" s="96">
        <v>50209.154273451823</v>
      </c>
      <c r="N47" s="96">
        <v>50712.129979235004</v>
      </c>
      <c r="O47" s="96">
        <v>50738.335097487332</v>
      </c>
      <c r="P47" s="211">
        <f t="shared" si="2"/>
        <v>448133.63724065607</v>
      </c>
      <c r="Q47" s="211"/>
      <c r="R47" s="211"/>
    </row>
    <row r="48" spans="1:18">
      <c r="A48" s="462">
        <f t="shared" si="1"/>
        <v>33</v>
      </c>
      <c r="B48" s="892">
        <v>9260</v>
      </c>
      <c r="C48" s="196" t="s">
        <v>957</v>
      </c>
      <c r="D48" s="599">
        <v>190049.16000000003</v>
      </c>
      <c r="E48" s="599">
        <v>168788.92</v>
      </c>
      <c r="F48" s="599">
        <v>389170.68000000028</v>
      </c>
      <c r="G48" s="599">
        <v>194652.47</v>
      </c>
      <c r="H48" s="599">
        <v>237294.73000000004</v>
      </c>
      <c r="I48" s="599">
        <v>21492.699999999946</v>
      </c>
      <c r="J48" s="96">
        <v>285829.07863994618</v>
      </c>
      <c r="K48" s="96">
        <v>114741.74414167361</v>
      </c>
      <c r="L48" s="96">
        <v>110594.62454687276</v>
      </c>
      <c r="M48" s="96">
        <v>145657.33497298477</v>
      </c>
      <c r="N48" s="96">
        <v>160395.38571089462</v>
      </c>
      <c r="O48" s="96">
        <v>168295.710101456</v>
      </c>
      <c r="P48" s="211">
        <f t="shared" si="2"/>
        <v>2186962.5381138283</v>
      </c>
      <c r="Q48" s="211"/>
      <c r="R48" s="211"/>
    </row>
    <row r="49" spans="1:18">
      <c r="A49" s="462">
        <f t="shared" si="1"/>
        <v>34</v>
      </c>
      <c r="B49" s="366">
        <v>9302</v>
      </c>
      <c r="C49" s="196" t="s">
        <v>864</v>
      </c>
      <c r="D49" s="599">
        <v>0</v>
      </c>
      <c r="E49" s="599">
        <v>0</v>
      </c>
      <c r="F49" s="599">
        <v>0</v>
      </c>
      <c r="G49" s="599">
        <v>0</v>
      </c>
      <c r="H49" s="599">
        <v>7500</v>
      </c>
      <c r="I49" s="599">
        <v>0</v>
      </c>
      <c r="J49" s="96">
        <v>19726.232812612481</v>
      </c>
      <c r="K49" s="96">
        <v>20726.88071413145</v>
      </c>
      <c r="L49" s="96">
        <v>12852.717586926787</v>
      </c>
      <c r="M49" s="96">
        <v>5657.3245986610036</v>
      </c>
      <c r="N49" s="96">
        <v>5801.3027139874739</v>
      </c>
      <c r="O49" s="96">
        <v>7342.588438557339</v>
      </c>
      <c r="P49" s="211">
        <f t="shared" si="2"/>
        <v>79607.046864876538</v>
      </c>
      <c r="Q49" s="211"/>
      <c r="R49" s="211"/>
    </row>
    <row r="50" spans="1:18">
      <c r="A50" s="462">
        <f t="shared" si="1"/>
        <v>35</v>
      </c>
      <c r="B50" s="366">
        <v>9310</v>
      </c>
      <c r="C50" s="196" t="s">
        <v>185</v>
      </c>
      <c r="D50" s="599">
        <f>0</f>
        <v>0</v>
      </c>
      <c r="E50" s="599">
        <f>0</f>
        <v>0</v>
      </c>
      <c r="F50" s="599">
        <f>0</f>
        <v>0</v>
      </c>
      <c r="G50" s="599">
        <f>0</f>
        <v>0</v>
      </c>
      <c r="H50" s="599">
        <f>0</f>
        <v>0</v>
      </c>
      <c r="I50" s="599">
        <f>0</f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211">
        <f t="shared" si="2"/>
        <v>0</v>
      </c>
      <c r="Q50" s="211"/>
      <c r="R50" s="211"/>
    </row>
    <row r="51" spans="1:18">
      <c r="A51" s="462">
        <f t="shared" si="1"/>
        <v>36</v>
      </c>
      <c r="B51" s="211"/>
      <c r="C51" s="884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217"/>
      <c r="P51" s="217"/>
      <c r="Q51" s="217"/>
      <c r="R51" s="217"/>
    </row>
    <row r="52" spans="1:18" ht="15.75" thickBot="1">
      <c r="A52" s="462">
        <f t="shared" si="1"/>
        <v>37</v>
      </c>
      <c r="B52" s="217" t="s">
        <v>741</v>
      </c>
      <c r="C52" s="884"/>
      <c r="D52" s="653">
        <f t="shared" ref="D52:O52" si="4">SUM(D14:D51)</f>
        <v>-1.9999999785795808E-2</v>
      </c>
      <c r="E52" s="653">
        <f t="shared" si="4"/>
        <v>3.0000000348081812E-2</v>
      </c>
      <c r="F52" s="653">
        <f t="shared" si="4"/>
        <v>-1.1641532182693481E-10</v>
      </c>
      <c r="G52" s="653">
        <f t="shared" si="4"/>
        <v>240932.18000000005</v>
      </c>
      <c r="H52" s="653">
        <f t="shared" si="4"/>
        <v>-240932.21000000014</v>
      </c>
      <c r="I52" s="653">
        <f t="shared" si="4"/>
        <v>1.0000000052968971E-2</v>
      </c>
      <c r="J52" s="653">
        <f t="shared" si="4"/>
        <v>4.7293724492192268E-11</v>
      </c>
      <c r="K52" s="653">
        <f t="shared" si="4"/>
        <v>-1.0913936421275139E-11</v>
      </c>
      <c r="L52" s="653">
        <f t="shared" si="4"/>
        <v>-1.1095835361629725E-10</v>
      </c>
      <c r="M52" s="653">
        <f t="shared" si="4"/>
        <v>4.9112713895738125E-11</v>
      </c>
      <c r="N52" s="653">
        <f t="shared" si="4"/>
        <v>2.0190782379359007E-10</v>
      </c>
      <c r="O52" s="653">
        <f t="shared" si="4"/>
        <v>8.1854523159563541E-11</v>
      </c>
      <c r="P52" s="653">
        <f>SUM(P12:P51)</f>
        <v>16339855.589999992</v>
      </c>
      <c r="Q52" s="217"/>
      <c r="R52" s="217"/>
    </row>
    <row r="53" spans="1:18" ht="15.75" thickTop="1">
      <c r="A53" s="462">
        <f t="shared" si="1"/>
        <v>38</v>
      </c>
      <c r="B53" s="217"/>
      <c r="C53" s="884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</row>
    <row r="54" spans="1:18">
      <c r="A54" s="462">
        <f t="shared" si="1"/>
        <v>39</v>
      </c>
      <c r="B54" s="366">
        <f>B44</f>
        <v>9220</v>
      </c>
      <c r="C54" s="887" t="str">
        <f>C44</f>
        <v>A&amp;G-Administrative expense transferred-Credit</v>
      </c>
      <c r="D54" s="367">
        <f t="shared" ref="D54:K54" si="5">-(D52-D44)</f>
        <v>-831246.33000000019</v>
      </c>
      <c r="E54" s="367">
        <f t="shared" si="5"/>
        <v>-694191.94000000006</v>
      </c>
      <c r="F54" s="367">
        <f t="shared" si="5"/>
        <v>-477225.28000000032</v>
      </c>
      <c r="G54" s="367">
        <f t="shared" si="5"/>
        <v>-949561.61999999988</v>
      </c>
      <c r="H54" s="367">
        <f t="shared" si="5"/>
        <v>-463587.34</v>
      </c>
      <c r="I54" s="367">
        <f t="shared" si="5"/>
        <v>-482659.38999999996</v>
      </c>
      <c r="J54" s="367">
        <f t="shared" si="5"/>
        <v>-1029942.3200000002</v>
      </c>
      <c r="K54" s="367">
        <f t="shared" si="5"/>
        <v>-915016.71999999986</v>
      </c>
      <c r="L54" s="887">
        <f>L44</f>
        <v>-914981.66000000015</v>
      </c>
      <c r="M54" s="887">
        <f>M44</f>
        <v>-873623.95509999979</v>
      </c>
      <c r="N54" s="887">
        <f>N44</f>
        <v>-946536.62390000012</v>
      </c>
      <c r="O54" s="887">
        <f>O44</f>
        <v>-904541.72340000002</v>
      </c>
      <c r="P54" s="211">
        <f t="shared" ref="P54" si="6">SUM(D54:O54)</f>
        <v>-9483114.9024000019</v>
      </c>
      <c r="Q54" s="217"/>
      <c r="R54" s="217"/>
    </row>
    <row r="55" spans="1:18">
      <c r="A55" s="462">
        <f t="shared" si="1"/>
        <v>40</v>
      </c>
      <c r="B55" s="217"/>
      <c r="C55" s="368" t="s">
        <v>196</v>
      </c>
      <c r="D55" s="387">
        <f>D56/D54</f>
        <v>0.50250001103764252</v>
      </c>
      <c r="E55" s="387">
        <f t="shared" ref="E55:I55" si="7">E56/E54</f>
        <v>0.50249998581084065</v>
      </c>
      <c r="F55" s="387">
        <f t="shared" si="7"/>
        <v>0.50249999329457118</v>
      </c>
      <c r="G55" s="387">
        <f t="shared" si="7"/>
        <v>0.37500070822154763</v>
      </c>
      <c r="H55" s="387">
        <f t="shared" si="7"/>
        <v>0.76365560370997188</v>
      </c>
      <c r="I55" s="387">
        <f t="shared" si="7"/>
        <v>0.50249999280030588</v>
      </c>
      <c r="J55" s="387">
        <f>Allocation!$I$17</f>
        <v>0.49440000000000001</v>
      </c>
      <c r="K55" s="387">
        <f>Allocation!$I$17</f>
        <v>0.49440000000000001</v>
      </c>
      <c r="L55" s="387">
        <f>Allocation!$I$17</f>
        <v>0.49440000000000001</v>
      </c>
      <c r="M55" s="387">
        <f>Allocation!$I$17</f>
        <v>0.49440000000000001</v>
      </c>
      <c r="N55" s="387">
        <f>Allocation!$I$17</f>
        <v>0.49440000000000001</v>
      </c>
      <c r="O55" s="387">
        <f>Allocation!$I$17</f>
        <v>0.49440000000000001</v>
      </c>
      <c r="P55" s="387">
        <f t="shared" ref="P55" si="8">P56/P54</f>
        <v>0.4977298776789057</v>
      </c>
      <c r="Q55" s="217"/>
      <c r="R55" s="217"/>
    </row>
    <row r="56" spans="1:18">
      <c r="A56" s="462">
        <f t="shared" si="1"/>
        <v>41</v>
      </c>
      <c r="B56" s="217"/>
      <c r="C56" s="217" t="s">
        <v>211</v>
      </c>
      <c r="D56" s="217">
        <v>-417701.29</v>
      </c>
      <c r="E56" s="217">
        <v>-348831.44</v>
      </c>
      <c r="F56" s="217">
        <v>-239805.7</v>
      </c>
      <c r="G56" s="217">
        <v>-356086.28</v>
      </c>
      <c r="H56" s="217">
        <v>-354021.07</v>
      </c>
      <c r="I56" s="217">
        <v>-242536.34</v>
      </c>
      <c r="J56" s="217">
        <f t="shared" ref="J56:O56" si="9">J54*J55</f>
        <v>-509203.48300800007</v>
      </c>
      <c r="K56" s="217">
        <f t="shared" si="9"/>
        <v>-452384.26636799995</v>
      </c>
      <c r="L56" s="217">
        <f t="shared" si="9"/>
        <v>-452366.93270400009</v>
      </c>
      <c r="M56" s="217">
        <f t="shared" si="9"/>
        <v>-431919.68340143992</v>
      </c>
      <c r="N56" s="217">
        <f t="shared" si="9"/>
        <v>-467967.70685616008</v>
      </c>
      <c r="O56" s="217">
        <f t="shared" si="9"/>
        <v>-447205.42804895999</v>
      </c>
      <c r="P56" s="211">
        <f>SUM(D56:O56)</f>
        <v>-4720029.6203865604</v>
      </c>
      <c r="Q56" s="217"/>
      <c r="R56" s="217"/>
    </row>
    <row r="57" spans="1:18">
      <c r="A57" s="217"/>
      <c r="B57" s="217"/>
      <c r="C57" s="884"/>
      <c r="D57" s="652"/>
      <c r="E57" s="652"/>
      <c r="F57" s="652"/>
      <c r="G57" s="652"/>
      <c r="H57" s="652"/>
      <c r="I57" s="652"/>
      <c r="J57" s="220"/>
      <c r="K57" s="220"/>
      <c r="L57" s="220"/>
      <c r="M57" s="220"/>
      <c r="N57" s="220"/>
      <c r="O57" s="220"/>
      <c r="P57" s="220"/>
      <c r="Q57" s="217"/>
      <c r="R57" s="217"/>
    </row>
    <row r="58" spans="1:18">
      <c r="A58" s="217"/>
      <c r="B58" s="217"/>
      <c r="C58" s="884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20"/>
      <c r="O58" s="220"/>
      <c r="P58" s="217"/>
      <c r="Q58" s="217"/>
      <c r="R58" s="217"/>
    </row>
    <row r="59" spans="1:18">
      <c r="A59" s="217"/>
      <c r="B59" s="217" t="s">
        <v>568</v>
      </c>
      <c r="C59" s="884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20"/>
      <c r="O59" s="220"/>
      <c r="P59" s="217"/>
      <c r="Q59" s="217"/>
      <c r="R59" s="217"/>
    </row>
    <row r="60" spans="1:18">
      <c r="A60" s="217"/>
      <c r="B60" s="217"/>
      <c r="C60" s="884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20"/>
      <c r="O60" s="220"/>
      <c r="P60" s="217"/>
      <c r="Q60" s="217"/>
      <c r="R60" s="217"/>
    </row>
    <row r="61" spans="1:18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Q61" s="217"/>
      <c r="R61" s="217"/>
    </row>
    <row r="62" spans="1:18">
      <c r="A62" s="217"/>
      <c r="B62" s="217" t="s">
        <v>961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</row>
    <row r="63" spans="1:18">
      <c r="A63" s="217"/>
      <c r="B63" s="217" t="s">
        <v>1659</v>
      </c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103"/>
      <c r="Q63" s="763"/>
      <c r="R63" s="217"/>
    </row>
    <row r="64" spans="1:18">
      <c r="A64" s="217"/>
      <c r="B64" s="81" t="s">
        <v>1651</v>
      </c>
      <c r="C64" s="217"/>
      <c r="D64" s="217"/>
      <c r="E64" s="763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</row>
    <row r="65" spans="1:18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388"/>
      <c r="P65" s="217"/>
      <c r="Q65" s="217"/>
      <c r="R65" s="217"/>
    </row>
    <row r="66" spans="1:18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170"/>
      <c r="P66" s="217"/>
      <c r="Q66" s="217"/>
      <c r="R66" s="217"/>
    </row>
    <row r="67" spans="1:18">
      <c r="A67" s="217"/>
      <c r="B67" s="217"/>
      <c r="C67" s="673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170"/>
      <c r="P67" s="217"/>
      <c r="Q67" s="673"/>
      <c r="R67" s="217"/>
    </row>
    <row r="68" spans="1:18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388"/>
      <c r="P68" s="217"/>
      <c r="Q68" s="217"/>
      <c r="R68" s="217"/>
    </row>
    <row r="69" spans="1:18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170"/>
      <c r="P69" s="217"/>
      <c r="Q69" s="217"/>
      <c r="R69" s="217"/>
    </row>
    <row r="70" spans="1:18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170"/>
      <c r="P70" s="217"/>
      <c r="Q70" s="217"/>
      <c r="R70" s="217"/>
    </row>
    <row r="71" spans="1:18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4" spans="1:18">
      <c r="C74" s="673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9" header="0.5" footer="0.25"/>
  <pageSetup scale="50" fitToHeight="2" orientation="landscape" verticalDpi="300" r:id="rId1"/>
  <headerFooter alignWithMargins="0">
    <oddFooter>&amp;RSchedule &amp;A
Page &amp;P of &amp;N</oddFooter>
  </headerFooter>
  <rowBreaks count="1" manualBreakCount="1">
    <brk id="60" max="1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128"/>
  <sheetViews>
    <sheetView view="pageBreakPreview" zoomScale="60" zoomScaleNormal="75" workbookViewId="0">
      <pane xSplit="3" ySplit="10" topLeftCell="D11" activePane="bottomRight" state="frozen"/>
      <selection activeCell="H20" sqref="H20"/>
      <selection pane="topRight" activeCell="H20" sqref="H20"/>
      <selection pane="bottomLeft" activeCell="H20" sqref="H20"/>
      <selection pane="bottomRight" activeCell="S50" sqref="S50"/>
    </sheetView>
  </sheetViews>
  <sheetFormatPr defaultColWidth="7.109375" defaultRowHeight="15"/>
  <cols>
    <col min="1" max="1" width="4.6640625" style="80" customWidth="1"/>
    <col min="2" max="2" width="9.109375" style="80" customWidth="1"/>
    <col min="3" max="3" width="42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5.21875" style="80" customWidth="1"/>
    <col min="10" max="10" width="12.5546875" style="80" customWidth="1"/>
    <col min="11" max="11" width="11.33203125" style="80" bestFit="1" customWidth="1"/>
    <col min="12" max="13" width="12.44140625" style="80" bestFit="1" customWidth="1"/>
    <col min="14" max="14" width="11.33203125" style="80" bestFit="1" customWidth="1"/>
    <col min="15" max="15" width="12.44140625" style="80" customWidth="1"/>
    <col min="16" max="16" width="13.44140625" style="80" bestFit="1" customWidth="1"/>
    <col min="17" max="17" width="12.44140625" style="80" customWidth="1"/>
    <col min="18" max="18" width="10" style="80" customWidth="1"/>
    <col min="19" max="19" width="13.109375" style="80" customWidth="1"/>
    <col min="20" max="20" width="11.21875" style="80" customWidth="1"/>
    <col min="21" max="16384" width="7.109375" style="80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  <c r="R1" s="81"/>
      <c r="S1" s="81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R2" s="81"/>
      <c r="S2" s="81"/>
    </row>
    <row r="3" spans="1:19">
      <c r="A3" s="1172" t="s">
        <v>423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  <c r="R3" s="81"/>
      <c r="S3" s="81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  <c r="R4" s="81"/>
      <c r="S4" s="81"/>
    </row>
    <row r="5" spans="1:19">
      <c r="A5" s="859"/>
      <c r="B5" s="859"/>
      <c r="C5" s="859"/>
      <c r="D5" s="893"/>
      <c r="E5" s="894"/>
      <c r="F5" s="893"/>
      <c r="G5" s="895"/>
      <c r="H5" s="895"/>
      <c r="I5" s="895"/>
      <c r="J5" s="895"/>
      <c r="K5" s="895"/>
      <c r="L5" s="893"/>
      <c r="M5" s="896"/>
      <c r="N5" s="893"/>
      <c r="O5" s="894"/>
      <c r="P5" s="859"/>
      <c r="Q5" s="81"/>
      <c r="R5" s="81"/>
      <c r="S5" s="81"/>
    </row>
    <row r="6" spans="1:19">
      <c r="A6" s="88" t="str">
        <f>'C.2.1 F'!A6</f>
        <v>Data:________Base Period___X____Forecasted Period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  <c r="R6" s="81"/>
      <c r="S6" s="81"/>
    </row>
    <row r="7" spans="1:19">
      <c r="A7" s="88" t="str">
        <f>'C.2.1 F'!A7</f>
        <v>Type of Filing:___X____Original________Updated ________Revised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  <c r="R7" s="81"/>
      <c r="S7" s="81"/>
    </row>
    <row r="8" spans="1:19">
      <c r="A8" s="392" t="str">
        <f>'C.2.1 F'!A8</f>
        <v>Workpaper Reference No(s).____________________</v>
      </c>
      <c r="B8" s="81"/>
      <c r="C8" s="81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511" t="str">
        <f>'C.2.2 B 09'!P8</f>
        <v>Witness: Waller, Martin</v>
      </c>
      <c r="Q8" s="81"/>
      <c r="R8" s="81"/>
      <c r="S8" s="81"/>
    </row>
    <row r="9" spans="1:19">
      <c r="A9" s="897" t="s">
        <v>94</v>
      </c>
      <c r="B9" s="898" t="s">
        <v>101</v>
      </c>
      <c r="C9" s="899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01"/>
      <c r="Q9" s="859"/>
      <c r="R9" s="859"/>
      <c r="S9" s="859"/>
    </row>
    <row r="10" spans="1:19">
      <c r="A10" s="902" t="s">
        <v>100</v>
      </c>
      <c r="B10" s="522" t="s">
        <v>100</v>
      </c>
      <c r="C10" s="903" t="s">
        <v>960</v>
      </c>
      <c r="D10" s="615">
        <v>43191</v>
      </c>
      <c r="E10" s="615">
        <v>43221</v>
      </c>
      <c r="F10" s="615">
        <v>43252</v>
      </c>
      <c r="G10" s="615">
        <v>43282</v>
      </c>
      <c r="H10" s="615">
        <v>43313</v>
      </c>
      <c r="I10" s="615">
        <v>43344</v>
      </c>
      <c r="J10" s="615">
        <v>43374</v>
      </c>
      <c r="K10" s="615">
        <v>43405</v>
      </c>
      <c r="L10" s="615">
        <v>43435</v>
      </c>
      <c r="M10" s="615">
        <v>43466</v>
      </c>
      <c r="N10" s="615">
        <v>43497</v>
      </c>
      <c r="O10" s="615">
        <v>43525</v>
      </c>
      <c r="P10" s="904" t="s">
        <v>97</v>
      </c>
      <c r="Q10" s="76"/>
      <c r="R10" s="859"/>
      <c r="S10" s="859"/>
    </row>
    <row r="11" spans="1:19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  <c r="R11" s="81"/>
      <c r="S11" s="81"/>
    </row>
    <row r="12" spans="1:19">
      <c r="A12" s="859">
        <v>1</v>
      </c>
      <c r="B12" s="709">
        <v>4091</v>
      </c>
      <c r="C12" s="840" t="s">
        <v>674</v>
      </c>
      <c r="D12" s="399">
        <f>E!$G$23/12</f>
        <v>916786.37288583245</v>
      </c>
      <c r="E12" s="399">
        <f>E!$G$23/12</f>
        <v>916786.37288583245</v>
      </c>
      <c r="F12" s="399">
        <f>E!$G$23/12</f>
        <v>916786.37288583245</v>
      </c>
      <c r="G12" s="399">
        <f>E!$G$23/12</f>
        <v>916786.37288583245</v>
      </c>
      <c r="H12" s="399">
        <f>E!$G$23/12</f>
        <v>916786.37288583245</v>
      </c>
      <c r="I12" s="399">
        <f>E!$G$23/12</f>
        <v>916786.37288583245</v>
      </c>
      <c r="J12" s="399">
        <f>E!$G$23/12</f>
        <v>916786.37288583245</v>
      </c>
      <c r="K12" s="399">
        <f>E!$G$23/12</f>
        <v>916786.37288583245</v>
      </c>
      <c r="L12" s="399">
        <f>E!$G$23/12</f>
        <v>916786.37288583245</v>
      </c>
      <c r="M12" s="399">
        <f>E!$G$23/12</f>
        <v>916786.37288583245</v>
      </c>
      <c r="N12" s="399">
        <f>E!$G$23/12</f>
        <v>916786.37288583245</v>
      </c>
      <c r="O12" s="399">
        <f>E!$G$23/12</f>
        <v>916786.37288583245</v>
      </c>
      <c r="P12" s="81">
        <f>SUM(D12:O12)</f>
        <v>11001436.474629989</v>
      </c>
      <c r="Q12" s="673"/>
      <c r="S12" s="673"/>
    </row>
    <row r="13" spans="1:19">
      <c r="A13" s="859">
        <f>A12+1</f>
        <v>2</v>
      </c>
      <c r="B13" s="709"/>
      <c r="C13" s="840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81"/>
      <c r="Q13" s="81"/>
      <c r="S13" s="81"/>
    </row>
    <row r="14" spans="1:19">
      <c r="A14" s="859">
        <f t="shared" ref="A14:A77" si="0">A13+1</f>
        <v>3</v>
      </c>
      <c r="B14" s="709">
        <v>4030</v>
      </c>
      <c r="C14" s="81" t="s">
        <v>92</v>
      </c>
      <c r="D14" s="96">
        <f>'B.3.1 F'!$H$261/12</f>
        <v>1791900.4855124915</v>
      </c>
      <c r="E14" s="96">
        <f>'B.3.1 F'!$H$261/12</f>
        <v>1791900.4855124915</v>
      </c>
      <c r="F14" s="96">
        <f>'B.3.1 F'!$H$261/12</f>
        <v>1791900.4855124915</v>
      </c>
      <c r="G14" s="96">
        <f>'B.3.1 F'!$H$261/12</f>
        <v>1791900.4855124915</v>
      </c>
      <c r="H14" s="96">
        <f>'B.3.1 F'!$H$261/12</f>
        <v>1791900.4855124915</v>
      </c>
      <c r="I14" s="96">
        <f>'B.3.1 F'!$H$261/12</f>
        <v>1791900.4855124915</v>
      </c>
      <c r="J14" s="96">
        <f>'B.3.1 F'!$H$261/12</f>
        <v>1791900.4855124915</v>
      </c>
      <c r="K14" s="96">
        <f>'B.3.1 F'!$H$261/12</f>
        <v>1791900.4855124915</v>
      </c>
      <c r="L14" s="96">
        <f>'B.3.1 F'!$H$261/12</f>
        <v>1791900.4855124915</v>
      </c>
      <c r="M14" s="96">
        <f>'B.3.1 F'!$H$261/12</f>
        <v>1791900.4855124915</v>
      </c>
      <c r="N14" s="96">
        <f>'B.3.1 F'!$H$261/12</f>
        <v>1791900.4855124915</v>
      </c>
      <c r="O14" s="96">
        <f>'B.3.1 F'!$H$261/12</f>
        <v>1791900.4855124915</v>
      </c>
      <c r="P14" s="81">
        <f t="shared" ref="P14:P23" si="1">SUM(D14:O14)</f>
        <v>21502805.8261499</v>
      </c>
      <c r="Q14" s="673"/>
      <c r="S14" s="673"/>
    </row>
    <row r="15" spans="1:19">
      <c r="A15" s="859">
        <f t="shared" si="0"/>
        <v>4</v>
      </c>
      <c r="B15" s="709">
        <v>4060</v>
      </c>
      <c r="C15" s="81" t="s">
        <v>868</v>
      </c>
      <c r="D15" s="96">
        <f>'C.2.2 B 09'!O15</f>
        <v>0</v>
      </c>
      <c r="E15" s="96">
        <f>D15</f>
        <v>0</v>
      </c>
      <c r="F15" s="96">
        <f t="shared" ref="F15:O15" si="2">E15</f>
        <v>0</v>
      </c>
      <c r="G15" s="96">
        <f t="shared" si="2"/>
        <v>0</v>
      </c>
      <c r="H15" s="96">
        <f t="shared" si="2"/>
        <v>0</v>
      </c>
      <c r="I15" s="96">
        <f t="shared" si="2"/>
        <v>0</v>
      </c>
      <c r="J15" s="96">
        <f t="shared" si="2"/>
        <v>0</v>
      </c>
      <c r="K15" s="96">
        <f t="shared" si="2"/>
        <v>0</v>
      </c>
      <c r="L15" s="96">
        <f t="shared" si="2"/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81">
        <f t="shared" si="1"/>
        <v>0</v>
      </c>
      <c r="Q15" s="81"/>
      <c r="S15" s="81"/>
    </row>
    <row r="16" spans="1:19">
      <c r="A16" s="859">
        <f t="shared" si="0"/>
        <v>5</v>
      </c>
      <c r="B16" s="709">
        <v>4081</v>
      </c>
      <c r="C16" s="211" t="s">
        <v>869</v>
      </c>
      <c r="D16" s="96">
        <f>'C.2.3 F'!C25</f>
        <v>549365.96762920462</v>
      </c>
      <c r="E16" s="96">
        <f>'C.2.3 F'!D25</f>
        <v>528505.49124831858</v>
      </c>
      <c r="F16" s="96">
        <f>'C.2.3 F'!E25</f>
        <v>567441.21322444209</v>
      </c>
      <c r="G16" s="96">
        <f>'C.2.3 F'!F25</f>
        <v>546885.44581732666</v>
      </c>
      <c r="H16" s="96">
        <f>'C.2.3 F'!G25</f>
        <v>503118.31581732671</v>
      </c>
      <c r="I16" s="96">
        <f>'C.2.3 F'!H25</f>
        <v>579573.70581732679</v>
      </c>
      <c r="J16" s="96">
        <f>'C.2.3 F'!I25</f>
        <v>522616.15900597244</v>
      </c>
      <c r="K16" s="96">
        <f>'C.2.3 F'!J25</f>
        <v>558276.72900597239</v>
      </c>
      <c r="L16" s="96">
        <f>'C.2.3 F'!K25</f>
        <v>501757.9890059724</v>
      </c>
      <c r="M16" s="96">
        <f>'C.2.3 F'!L25</f>
        <v>610061.54119128466</v>
      </c>
      <c r="N16" s="96">
        <f>'C.2.3 F'!M25</f>
        <v>526932.49168206635</v>
      </c>
      <c r="O16" s="96">
        <f>'C.2.3 F'!N25</f>
        <v>556048.07763740222</v>
      </c>
      <c r="P16" s="81">
        <f t="shared" si="1"/>
        <v>6550583.127082617</v>
      </c>
      <c r="Q16" s="673"/>
      <c r="S16" s="673"/>
    </row>
    <row r="17" spans="1:19">
      <c r="A17" s="859">
        <f t="shared" si="0"/>
        <v>6</v>
      </c>
      <c r="B17" s="709">
        <v>4800</v>
      </c>
      <c r="C17" s="363" t="s">
        <v>870</v>
      </c>
      <c r="D17" s="96">
        <v>-8441558.6012300886</v>
      </c>
      <c r="E17" s="96">
        <v>-5661644.2309731487</v>
      </c>
      <c r="F17" s="96">
        <v>-4284846.0528626004</v>
      </c>
      <c r="G17" s="96">
        <v>-3943264.9044156806</v>
      </c>
      <c r="H17" s="96">
        <v>-3962200.1912761992</v>
      </c>
      <c r="I17" s="96">
        <v>-3926560.0249840179</v>
      </c>
      <c r="J17" s="96">
        <v>-5042313.5464182133</v>
      </c>
      <c r="K17" s="96">
        <v>-8401387.8863512427</v>
      </c>
      <c r="L17" s="96">
        <v>-12512630.078639716</v>
      </c>
      <c r="M17" s="96">
        <v>-14998860.639884859</v>
      </c>
      <c r="N17" s="96">
        <v>-15393651.511947451</v>
      </c>
      <c r="O17" s="96">
        <v>-11809001.746209055</v>
      </c>
      <c r="P17" s="96">
        <f t="shared" si="1"/>
        <v>-98377919.415192276</v>
      </c>
    </row>
    <row r="18" spans="1:19">
      <c r="A18" s="859">
        <f t="shared" si="0"/>
        <v>7</v>
      </c>
      <c r="B18" s="709">
        <v>4805</v>
      </c>
      <c r="C18" s="363" t="s">
        <v>1333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9">
      <c r="A19" s="859">
        <f t="shared" si="0"/>
        <v>8</v>
      </c>
      <c r="B19" s="709">
        <v>4811</v>
      </c>
      <c r="C19" s="363" t="s">
        <v>1408</v>
      </c>
      <c r="D19" s="96">
        <v>-3482514.1213973574</v>
      </c>
      <c r="E19" s="96">
        <v>-2514682.8433252801</v>
      </c>
      <c r="F19" s="96">
        <v>-1993667.060705516</v>
      </c>
      <c r="G19" s="96">
        <v>-1848367.0350045138</v>
      </c>
      <c r="H19" s="96">
        <v>-1858090.3072460247</v>
      </c>
      <c r="I19" s="96">
        <v>-1838613.2123923136</v>
      </c>
      <c r="J19" s="96">
        <v>-2198265.0002901242</v>
      </c>
      <c r="K19" s="96">
        <v>-3461162.4368507904</v>
      </c>
      <c r="L19" s="96">
        <v>-4909965.3595049419</v>
      </c>
      <c r="M19" s="96">
        <v>-5849828.4347833237</v>
      </c>
      <c r="N19" s="96">
        <v>-5979381.7154239211</v>
      </c>
      <c r="O19" s="96">
        <v>-4702526.2102799257</v>
      </c>
      <c r="P19" s="96">
        <f t="shared" si="1"/>
        <v>-40637063.73720403</v>
      </c>
    </row>
    <row r="20" spans="1:19">
      <c r="A20" s="859">
        <f t="shared" si="0"/>
        <v>9</v>
      </c>
      <c r="B20" s="709">
        <v>4812</v>
      </c>
      <c r="C20" s="81" t="s">
        <v>1409</v>
      </c>
      <c r="D20" s="96">
        <v>-333869.94577730913</v>
      </c>
      <c r="E20" s="96">
        <v>-336503.9047936704</v>
      </c>
      <c r="F20" s="96">
        <v>-257495.02753932757</v>
      </c>
      <c r="G20" s="96">
        <v>-367460.01923376077</v>
      </c>
      <c r="H20" s="96">
        <v>-280518.25992199586</v>
      </c>
      <c r="I20" s="96">
        <v>-313148.57953810971</v>
      </c>
      <c r="J20" s="96">
        <v>-248255.96019136364</v>
      </c>
      <c r="K20" s="96">
        <v>-306059.20820625068</v>
      </c>
      <c r="L20" s="96">
        <v>-660778.19755295315</v>
      </c>
      <c r="M20" s="96">
        <v>-961516.7613888284</v>
      </c>
      <c r="N20" s="96">
        <v>-661147.60418456118</v>
      </c>
      <c r="O20" s="96">
        <v>-560001.87102494435</v>
      </c>
      <c r="P20" s="96">
        <f t="shared" si="1"/>
        <v>-5286755.3393530753</v>
      </c>
      <c r="Q20" s="81"/>
      <c r="R20" s="673"/>
    </row>
    <row r="21" spans="1:19">
      <c r="A21" s="859">
        <f t="shared" si="0"/>
        <v>10</v>
      </c>
      <c r="B21" s="836">
        <v>4815</v>
      </c>
      <c r="C21" s="211" t="s">
        <v>1334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81"/>
      <c r="R21" s="673"/>
    </row>
    <row r="22" spans="1:19">
      <c r="A22" s="859">
        <f t="shared" si="0"/>
        <v>11</v>
      </c>
      <c r="B22" s="836">
        <v>4816</v>
      </c>
      <c r="C22" s="211" t="s">
        <v>1365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81"/>
      <c r="R22" s="673"/>
    </row>
    <row r="23" spans="1:19" ht="15.75">
      <c r="A23" s="859">
        <f t="shared" si="0"/>
        <v>12</v>
      </c>
      <c r="B23" s="709">
        <v>4820</v>
      </c>
      <c r="C23" s="81" t="s">
        <v>871</v>
      </c>
      <c r="D23" s="96">
        <v>-574640.72676783078</v>
      </c>
      <c r="E23" s="96">
        <v>-377720.56029893842</v>
      </c>
      <c r="F23" s="96">
        <v>-265144.9171492898</v>
      </c>
      <c r="G23" s="96">
        <v>-241180.15568729438</v>
      </c>
      <c r="H23" s="96">
        <v>-252076.25869578484</v>
      </c>
      <c r="I23" s="96">
        <v>-242677.8163083338</v>
      </c>
      <c r="J23" s="96">
        <v>-337345.19457652222</v>
      </c>
      <c r="K23" s="96">
        <v>-603236.78757413372</v>
      </c>
      <c r="L23" s="96">
        <v>-905038.2690203411</v>
      </c>
      <c r="M23" s="96">
        <v>-1087494.3411898718</v>
      </c>
      <c r="N23" s="96">
        <v>-1113251.6898061384</v>
      </c>
      <c r="O23" s="96">
        <v>-847565.66995055904</v>
      </c>
      <c r="P23" s="96">
        <f t="shared" si="1"/>
        <v>-6847372.3870250378</v>
      </c>
      <c r="Q23" s="81"/>
      <c r="R23" s="905"/>
    </row>
    <row r="24" spans="1:19" ht="15.75">
      <c r="A24" s="859">
        <f t="shared" si="0"/>
        <v>13</v>
      </c>
      <c r="B24" s="836">
        <v>4825</v>
      </c>
      <c r="C24" s="211" t="s">
        <v>1335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81"/>
      <c r="R24" s="905"/>
    </row>
    <row r="25" spans="1:19">
      <c r="A25" s="859">
        <f t="shared" si="0"/>
        <v>14</v>
      </c>
      <c r="B25" s="709">
        <v>4870</v>
      </c>
      <c r="C25" s="81" t="s">
        <v>231</v>
      </c>
      <c r="D25" s="96">
        <v>-154727.82135485311</v>
      </c>
      <c r="E25" s="96">
        <v>-111173.430378629</v>
      </c>
      <c r="F25" s="96">
        <v>-76088.821679641362</v>
      </c>
      <c r="G25" s="96">
        <v>-58230.972263950251</v>
      </c>
      <c r="H25" s="96">
        <v>-53684.395756861937</v>
      </c>
      <c r="I25" s="96">
        <v>-54034.705322374044</v>
      </c>
      <c r="J25" s="96">
        <v>-53460.619677659743</v>
      </c>
      <c r="K25" s="96">
        <v>-67434.49078735373</v>
      </c>
      <c r="L25" s="96">
        <v>-110915.66308377551</v>
      </c>
      <c r="M25" s="96">
        <v>-163043.36831648159</v>
      </c>
      <c r="N25" s="96">
        <v>-195126.14829354855</v>
      </c>
      <c r="O25" s="96">
        <v>-200043.74278253785</v>
      </c>
      <c r="P25" s="96">
        <f t="shared" ref="P25:P57" si="3">SUM(D25:O25)</f>
        <v>-1297964.1796976668</v>
      </c>
      <c r="Q25" s="81"/>
      <c r="R25" s="81"/>
    </row>
    <row r="26" spans="1:19">
      <c r="A26" s="859">
        <f t="shared" si="0"/>
        <v>15</v>
      </c>
      <c r="B26" s="709">
        <v>4880</v>
      </c>
      <c r="C26" s="81" t="s">
        <v>872</v>
      </c>
      <c r="D26" s="96">
        <v>-49919</v>
      </c>
      <c r="E26" s="96">
        <v>-53628</v>
      </c>
      <c r="F26" s="96">
        <v>-55397</v>
      </c>
      <c r="G26" s="96">
        <v>-45327</v>
      </c>
      <c r="H26" s="96">
        <v>-57173</v>
      </c>
      <c r="I26" s="96">
        <v>-55395</v>
      </c>
      <c r="J26" s="96">
        <v>-88176</v>
      </c>
      <c r="K26" s="96">
        <v>-126545</v>
      </c>
      <c r="L26" s="96">
        <v>-87101</v>
      </c>
      <c r="M26" s="96">
        <v>-58133</v>
      </c>
      <c r="N26" s="96">
        <v>-54439</v>
      </c>
      <c r="O26" s="96">
        <v>-74821</v>
      </c>
      <c r="P26" s="96">
        <f t="shared" si="3"/>
        <v>-806054</v>
      </c>
      <c r="Q26" s="81"/>
      <c r="R26" s="81"/>
    </row>
    <row r="27" spans="1:19">
      <c r="A27" s="859">
        <f t="shared" si="0"/>
        <v>16</v>
      </c>
      <c r="B27" s="709">
        <v>4893</v>
      </c>
      <c r="C27" s="81" t="s">
        <v>873</v>
      </c>
      <c r="D27" s="96">
        <v>-1186285.1811271033</v>
      </c>
      <c r="E27" s="96">
        <v>-1211422.5728380762</v>
      </c>
      <c r="F27" s="96">
        <v>-1162348.0418893297</v>
      </c>
      <c r="G27" s="96">
        <v>-1031165.1010687258</v>
      </c>
      <c r="H27" s="96">
        <v>-1125835.1251621114</v>
      </c>
      <c r="I27" s="96">
        <v>-1137038.5377952971</v>
      </c>
      <c r="J27" s="96">
        <v>-1217906.5070548751</v>
      </c>
      <c r="K27" s="96">
        <v>-1335583.0520690915</v>
      </c>
      <c r="L27" s="96">
        <v>-1505273.8931012994</v>
      </c>
      <c r="M27" s="96">
        <v>-1523596.7860310171</v>
      </c>
      <c r="N27" s="96">
        <v>-1334402.3335029918</v>
      </c>
      <c r="O27" s="96">
        <v>-1431230.0610257264</v>
      </c>
      <c r="P27" s="96">
        <f t="shared" si="3"/>
        <v>-15202087.192665644</v>
      </c>
      <c r="Q27" s="839"/>
    </row>
    <row r="28" spans="1:19">
      <c r="A28" s="859">
        <f t="shared" si="0"/>
        <v>17</v>
      </c>
      <c r="B28" s="709">
        <v>4950</v>
      </c>
      <c r="C28" s="81" t="s">
        <v>668</v>
      </c>
      <c r="D28" s="96">
        <v>-174643.87153331196</v>
      </c>
      <c r="E28" s="96">
        <v>-170439.53524474136</v>
      </c>
      <c r="F28" s="96">
        <v>-149118.70479717723</v>
      </c>
      <c r="G28" s="96">
        <v>-183286.57023593987</v>
      </c>
      <c r="H28" s="96">
        <v>-180802.14429106572</v>
      </c>
      <c r="I28" s="96">
        <v>-183627.60898165885</v>
      </c>
      <c r="J28" s="96">
        <v>-198676.93726818013</v>
      </c>
      <c r="K28" s="96">
        <v>-196958.77298331514</v>
      </c>
      <c r="L28" s="96">
        <v>-230122.0238050755</v>
      </c>
      <c r="M28" s="96">
        <v>-221910.06617049334</v>
      </c>
      <c r="N28" s="96">
        <v>-186721.56078293792</v>
      </c>
      <c r="O28" s="96">
        <v>-197751.86418905575</v>
      </c>
      <c r="P28" s="96">
        <f t="shared" si="3"/>
        <v>-2274059.6602829527</v>
      </c>
      <c r="Q28" s="673"/>
      <c r="R28" s="673"/>
    </row>
    <row r="29" spans="1:19">
      <c r="A29" s="859">
        <f t="shared" si="0"/>
        <v>18</v>
      </c>
      <c r="B29" s="836">
        <v>7560</v>
      </c>
      <c r="C29" s="80" t="s">
        <v>1412</v>
      </c>
      <c r="D29" s="399">
        <v>0</v>
      </c>
      <c r="E29" s="399">
        <v>0</v>
      </c>
      <c r="F29" s="399">
        <v>0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O29" s="399">
        <v>0</v>
      </c>
      <c r="P29" s="96">
        <f t="shared" si="3"/>
        <v>0</v>
      </c>
      <c r="Q29" s="693"/>
      <c r="R29" s="673"/>
    </row>
    <row r="30" spans="1:19">
      <c r="A30" s="859">
        <f t="shared" si="0"/>
        <v>19</v>
      </c>
      <c r="B30" s="836">
        <v>7590</v>
      </c>
      <c r="C30" s="103" t="s">
        <v>1369</v>
      </c>
      <c r="D30" s="399">
        <v>0</v>
      </c>
      <c r="E30" s="399">
        <v>0</v>
      </c>
      <c r="F30" s="399">
        <v>0</v>
      </c>
      <c r="G30" s="399">
        <v>0</v>
      </c>
      <c r="H30" s="399">
        <v>0</v>
      </c>
      <c r="I30" s="399">
        <v>0</v>
      </c>
      <c r="J30" s="399">
        <v>0</v>
      </c>
      <c r="K30" s="399">
        <v>0</v>
      </c>
      <c r="L30" s="399">
        <v>0</v>
      </c>
      <c r="M30" s="399">
        <v>0</v>
      </c>
      <c r="N30" s="399">
        <v>0</v>
      </c>
      <c r="O30" s="399">
        <v>0</v>
      </c>
      <c r="P30" s="96">
        <f t="shared" si="3"/>
        <v>0</v>
      </c>
      <c r="Q30" s="693"/>
      <c r="R30" s="673"/>
    </row>
    <row r="31" spans="1:19">
      <c r="A31" s="859">
        <f t="shared" si="0"/>
        <v>20</v>
      </c>
      <c r="B31" s="709">
        <v>8001</v>
      </c>
      <c r="C31" s="81" t="s">
        <v>874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f t="shared" si="3"/>
        <v>0</v>
      </c>
      <c r="Q31" s="81"/>
      <c r="R31" s="673"/>
      <c r="S31" s="81"/>
    </row>
    <row r="32" spans="1:19">
      <c r="A32" s="859">
        <f t="shared" si="0"/>
        <v>21</v>
      </c>
      <c r="B32" s="709">
        <v>8010</v>
      </c>
      <c r="C32" s="81" t="s">
        <v>1218</v>
      </c>
      <c r="D32" s="96">
        <v>5286.4127931039575</v>
      </c>
      <c r="E32" s="96">
        <v>8710.1173719114722</v>
      </c>
      <c r="F32" s="96">
        <v>5038.3232695054112</v>
      </c>
      <c r="G32" s="96">
        <v>5572.7063108054899</v>
      </c>
      <c r="H32" s="96">
        <v>14164.47016680776</v>
      </c>
      <c r="I32" s="96">
        <v>7861.7439954091278</v>
      </c>
      <c r="J32" s="96">
        <v>6254.2868953616353</v>
      </c>
      <c r="K32" s="96">
        <v>7245.4698067383652</v>
      </c>
      <c r="L32" s="96">
        <v>3883.6604893328226</v>
      </c>
      <c r="M32" s="96">
        <v>5662.8646110343843</v>
      </c>
      <c r="N32" s="96">
        <v>6841.4352693205483</v>
      </c>
      <c r="O32" s="96">
        <v>4750.6462660509942</v>
      </c>
      <c r="P32" s="96">
        <f t="shared" si="3"/>
        <v>81272.137245381979</v>
      </c>
      <c r="Q32" s="81"/>
      <c r="R32" s="673"/>
      <c r="S32" s="81"/>
    </row>
    <row r="33" spans="1:25">
      <c r="A33" s="859">
        <f t="shared" si="0"/>
        <v>22</v>
      </c>
      <c r="B33" s="709">
        <v>8040</v>
      </c>
      <c r="C33" s="81" t="s">
        <v>875</v>
      </c>
      <c r="D33" s="96">
        <v>1136067.0562997661</v>
      </c>
      <c r="E33" s="96">
        <v>7942879.5329601886</v>
      </c>
      <c r="F33" s="96">
        <v>4418216.4535287535</v>
      </c>
      <c r="G33" s="96">
        <v>3912572.3252810393</v>
      </c>
      <c r="H33" s="96">
        <v>5951211.0380950049</v>
      </c>
      <c r="I33" s="96">
        <v>4730451.5833085207</v>
      </c>
      <c r="J33" s="96">
        <v>5807069.5767435636</v>
      </c>
      <c r="K33" s="96">
        <v>8102268.1639921144</v>
      </c>
      <c r="L33" s="96">
        <v>1260828.6237944912</v>
      </c>
      <c r="M33" s="96">
        <v>5991515.1194934594</v>
      </c>
      <c r="N33" s="96">
        <v>7237555.2211249536</v>
      </c>
      <c r="O33" s="96">
        <v>501352.88924362388</v>
      </c>
      <c r="P33" s="96">
        <f t="shared" si="3"/>
        <v>56991987.583865479</v>
      </c>
      <c r="Q33" s="81"/>
      <c r="R33" s="81"/>
      <c r="S33" s="81"/>
    </row>
    <row r="34" spans="1:25">
      <c r="A34" s="859">
        <f t="shared" si="0"/>
        <v>23</v>
      </c>
      <c r="B34" s="709">
        <v>8050</v>
      </c>
      <c r="C34" s="81" t="s">
        <v>876</v>
      </c>
      <c r="D34" s="96">
        <v>-102.167332510162</v>
      </c>
      <c r="E34" s="96">
        <v>-2437.7391495200332</v>
      </c>
      <c r="F34" s="96">
        <v>-841.1109262625987</v>
      </c>
      <c r="G34" s="96">
        <v>-754.82595977232802</v>
      </c>
      <c r="H34" s="96">
        <v>-912.64172943700635</v>
      </c>
      <c r="I34" s="96">
        <v>-752.41072729285872</v>
      </c>
      <c r="J34" s="96">
        <v>-4262.6697092489931</v>
      </c>
      <c r="K34" s="96">
        <v>-677.23765899818602</v>
      </c>
      <c r="L34" s="96">
        <v>-5006.9178063506197</v>
      </c>
      <c r="M34" s="96">
        <v>-948.2132854821499</v>
      </c>
      <c r="N34" s="96">
        <v>-517.00991270398799</v>
      </c>
      <c r="O34" s="96">
        <v>-339.01791174540875</v>
      </c>
      <c r="P34" s="96">
        <f t="shared" si="3"/>
        <v>-17551.962109324333</v>
      </c>
      <c r="Q34" s="81"/>
      <c r="R34" s="81"/>
      <c r="S34" s="81"/>
    </row>
    <row r="35" spans="1:25">
      <c r="A35" s="859">
        <f t="shared" si="0"/>
        <v>24</v>
      </c>
      <c r="B35" s="709">
        <v>8051</v>
      </c>
      <c r="C35" s="81" t="s">
        <v>877</v>
      </c>
      <c r="D35" s="96">
        <v>4970598.2506078864</v>
      </c>
      <c r="E35" s="96">
        <v>2057759.3723232783</v>
      </c>
      <c r="F35" s="96">
        <v>1101473.2537888468</v>
      </c>
      <c r="G35" s="96">
        <v>760741.5085483744</v>
      </c>
      <c r="H35" s="96">
        <v>791202.39979744831</v>
      </c>
      <c r="I35" s="96">
        <v>740531.33458783838</v>
      </c>
      <c r="J35" s="96">
        <v>1003885.1485672233</v>
      </c>
      <c r="K35" s="96">
        <v>2586527.7571109147</v>
      </c>
      <c r="L35" s="96">
        <v>5709864.2018586816</v>
      </c>
      <c r="M35" s="96">
        <v>8592214.8938080203</v>
      </c>
      <c r="N35" s="96">
        <v>10368788.21051125</v>
      </c>
      <c r="O35" s="96">
        <v>6752855.1803603964</v>
      </c>
      <c r="P35" s="96">
        <f t="shared" si="3"/>
        <v>45436441.511870168</v>
      </c>
      <c r="Q35" s="81"/>
      <c r="R35" s="81"/>
      <c r="S35" s="81"/>
    </row>
    <row r="36" spans="1:25">
      <c r="A36" s="859">
        <f t="shared" si="0"/>
        <v>25</v>
      </c>
      <c r="B36" s="709">
        <v>8052</v>
      </c>
      <c r="C36" s="81" t="s">
        <v>878</v>
      </c>
      <c r="D36" s="96">
        <v>2287648.8504220438</v>
      </c>
      <c r="E36" s="96">
        <v>1328474.6776430081</v>
      </c>
      <c r="F36" s="96">
        <v>849109.00100519916</v>
      </c>
      <c r="G36" s="96">
        <v>735658.7200223729</v>
      </c>
      <c r="H36" s="96">
        <v>781943.32074138126</v>
      </c>
      <c r="I36" s="96">
        <v>793744.10978095199</v>
      </c>
      <c r="J36" s="96">
        <v>1104030.8557052109</v>
      </c>
      <c r="K36" s="96">
        <v>1294475.6054442485</v>
      </c>
      <c r="L36" s="96">
        <v>2435494.4882331346</v>
      </c>
      <c r="M36" s="96">
        <v>3938158.3664231678</v>
      </c>
      <c r="N36" s="96">
        <v>4729999.7931923009</v>
      </c>
      <c r="O36" s="96">
        <v>3172706.863746237</v>
      </c>
      <c r="P36" s="96">
        <f t="shared" si="3"/>
        <v>23451444.652359258</v>
      </c>
      <c r="Q36" s="81"/>
      <c r="R36" s="673"/>
      <c r="S36" s="81"/>
    </row>
    <row r="37" spans="1:25" ht="15.75">
      <c r="A37" s="859">
        <f t="shared" si="0"/>
        <v>26</v>
      </c>
      <c r="B37" s="709">
        <v>8053</v>
      </c>
      <c r="C37" s="81" t="s">
        <v>879</v>
      </c>
      <c r="D37" s="96">
        <v>670263.97966764064</v>
      </c>
      <c r="E37" s="96">
        <v>606448.54150041658</v>
      </c>
      <c r="F37" s="96">
        <v>599691.56216938968</v>
      </c>
      <c r="G37" s="96">
        <v>271407.88244846527</v>
      </c>
      <c r="H37" s="96">
        <v>232387.66037756088</v>
      </c>
      <c r="I37" s="96">
        <v>226159.3027049652</v>
      </c>
      <c r="J37" s="96">
        <v>200352.00150539301</v>
      </c>
      <c r="K37" s="96">
        <v>332932.13367518265</v>
      </c>
      <c r="L37" s="96">
        <v>367554.73478945927</v>
      </c>
      <c r="M37" s="96">
        <v>719679.84630821703</v>
      </c>
      <c r="N37" s="96">
        <v>1104205.3510991121</v>
      </c>
      <c r="O37" s="96">
        <v>1142315.3740988034</v>
      </c>
      <c r="P37" s="96">
        <f t="shared" si="3"/>
        <v>6473398.3703446072</v>
      </c>
      <c r="Q37" s="81"/>
      <c r="R37" s="905"/>
      <c r="S37" s="81"/>
    </row>
    <row r="38" spans="1:25">
      <c r="A38" s="859">
        <f t="shared" si="0"/>
        <v>27</v>
      </c>
      <c r="B38" s="709">
        <v>8054</v>
      </c>
      <c r="C38" s="81" t="s">
        <v>880</v>
      </c>
      <c r="D38" s="96">
        <v>488062.44044149161</v>
      </c>
      <c r="E38" s="96">
        <v>262831.5568730181</v>
      </c>
      <c r="F38" s="96">
        <v>151561.43348439448</v>
      </c>
      <c r="G38" s="96">
        <v>101821.37375531789</v>
      </c>
      <c r="H38" s="96">
        <v>124872.73650941775</v>
      </c>
      <c r="I38" s="96">
        <v>138338.59415316739</v>
      </c>
      <c r="J38" s="96">
        <v>157878.44201254169</v>
      </c>
      <c r="K38" s="96">
        <v>301624.83997104189</v>
      </c>
      <c r="L38" s="96">
        <v>506941.01558583154</v>
      </c>
      <c r="M38" s="96">
        <v>751321.73338847049</v>
      </c>
      <c r="N38" s="96">
        <v>920677.62391453248</v>
      </c>
      <c r="O38" s="96">
        <v>646085.79837980075</v>
      </c>
      <c r="P38" s="96">
        <f t="shared" si="3"/>
        <v>4552017.5884690257</v>
      </c>
      <c r="Q38" s="81"/>
      <c r="R38" s="693"/>
      <c r="S38" s="81"/>
    </row>
    <row r="39" spans="1:25">
      <c r="A39" s="859">
        <f t="shared" si="0"/>
        <v>28</v>
      </c>
      <c r="B39" s="709">
        <v>8058</v>
      </c>
      <c r="C39" s="81" t="s">
        <v>881</v>
      </c>
      <c r="D39" s="96">
        <v>-1712164.1448643713</v>
      </c>
      <c r="E39" s="96">
        <v>-523995.52079642203</v>
      </c>
      <c r="F39" s="96">
        <v>-514193.77082977031</v>
      </c>
      <c r="G39" s="96">
        <v>65225.621321997161</v>
      </c>
      <c r="H39" s="96">
        <v>-55009.794440724843</v>
      </c>
      <c r="I39" s="96">
        <v>-775.32690094509132</v>
      </c>
      <c r="J39" s="96">
        <v>589397.65281972114</v>
      </c>
      <c r="K39" s="96">
        <v>2189797.1154716173</v>
      </c>
      <c r="L39" s="96">
        <v>2363830.128539891</v>
      </c>
      <c r="M39" s="96">
        <v>346802.16982731258</v>
      </c>
      <c r="N39" s="96">
        <v>-2693770.3695110511</v>
      </c>
      <c r="O39" s="96">
        <v>-1237398.8204913465</v>
      </c>
      <c r="P39" s="96">
        <f t="shared" si="3"/>
        <v>-1182255.0598540921</v>
      </c>
      <c r="Q39" s="81"/>
      <c r="R39" s="81"/>
      <c r="S39" s="81"/>
    </row>
    <row r="40" spans="1:25">
      <c r="A40" s="859">
        <f t="shared" si="0"/>
        <v>29</v>
      </c>
      <c r="B40" s="709">
        <v>8059</v>
      </c>
      <c r="C40" s="81" t="s">
        <v>882</v>
      </c>
      <c r="D40" s="96">
        <v>-11361900.47434173</v>
      </c>
      <c r="E40" s="96">
        <v>-5660994.7965627359</v>
      </c>
      <c r="F40" s="96">
        <v>-3869645.219424923</v>
      </c>
      <c r="G40" s="96">
        <v>-2821359.4526127134</v>
      </c>
      <c r="H40" s="96">
        <v>-4699259.9237386696</v>
      </c>
      <c r="I40" s="96">
        <v>-2881427.0158929885</v>
      </c>
      <c r="J40" s="96">
        <v>-3672553.2553509413</v>
      </c>
      <c r="K40" s="96">
        <v>-5780797.5131403962</v>
      </c>
      <c r="L40" s="96">
        <v>-6077941.8274138169</v>
      </c>
      <c r="M40" s="96">
        <v>-12128655.025181919</v>
      </c>
      <c r="N40" s="96">
        <v>-20512277.595289767</v>
      </c>
      <c r="O40" s="96">
        <v>-13185018.839574886</v>
      </c>
      <c r="P40" s="96">
        <f t="shared" si="3"/>
        <v>-92651830.938525483</v>
      </c>
      <c r="Q40" s="81"/>
      <c r="R40" s="81"/>
      <c r="S40" s="81"/>
    </row>
    <row r="41" spans="1:25">
      <c r="A41" s="859">
        <f t="shared" si="0"/>
        <v>30</v>
      </c>
      <c r="B41" s="709">
        <v>8060</v>
      </c>
      <c r="C41" s="81" t="s">
        <v>883</v>
      </c>
      <c r="D41" s="96">
        <v>3150643.7405185029</v>
      </c>
      <c r="E41" s="96">
        <v>-2552872.8349554124</v>
      </c>
      <c r="F41" s="96">
        <v>-592198.19048676745</v>
      </c>
      <c r="G41" s="96">
        <v>-1248679.8444171865</v>
      </c>
      <c r="H41" s="96">
        <v>-581875.41970635578</v>
      </c>
      <c r="I41" s="96">
        <v>-1531625.0545346532</v>
      </c>
      <c r="J41" s="96">
        <v>-1564266.9603863049</v>
      </c>
      <c r="K41" s="96">
        <v>-1737941.444323801</v>
      </c>
      <c r="L41" s="96">
        <v>1484125.671818566</v>
      </c>
      <c r="M41" s="96">
        <v>1065099.5223002788</v>
      </c>
      <c r="N41" s="96">
        <v>5060781.34520688</v>
      </c>
      <c r="O41" s="96">
        <v>5299169.5699769063</v>
      </c>
      <c r="P41" s="96">
        <f t="shared" si="3"/>
        <v>6250360.1010106523</v>
      </c>
      <c r="Q41" s="81"/>
      <c r="R41" s="81"/>
      <c r="S41" s="81"/>
    </row>
    <row r="42" spans="1:25">
      <c r="A42" s="859">
        <f t="shared" si="0"/>
        <v>31</v>
      </c>
      <c r="B42" s="709">
        <v>8081</v>
      </c>
      <c r="C42" s="81" t="s">
        <v>884</v>
      </c>
      <c r="D42" s="96">
        <v>3611015.3888441729</v>
      </c>
      <c r="E42" s="96">
        <v>13219.19591089116</v>
      </c>
      <c r="F42" s="96">
        <v>10746.090999438002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1058902.4047091573</v>
      </c>
      <c r="M42" s="96">
        <v>2415311.2977469945</v>
      </c>
      <c r="N42" s="96">
        <v>3952112.4352866197</v>
      </c>
      <c r="O42" s="96">
        <v>4009332.5191630474</v>
      </c>
      <c r="P42" s="96">
        <f t="shared" si="3"/>
        <v>15070639.332660321</v>
      </c>
      <c r="Q42" s="839"/>
      <c r="R42" s="81"/>
      <c r="S42" s="81"/>
    </row>
    <row r="43" spans="1:25">
      <c r="A43" s="859">
        <f t="shared" si="0"/>
        <v>32</v>
      </c>
      <c r="B43" s="709">
        <v>8082</v>
      </c>
      <c r="C43" s="81" t="s">
        <v>885</v>
      </c>
      <c r="D43" s="96">
        <v>-146068.63528977861</v>
      </c>
      <c r="E43" s="96">
        <v>-2498398.6057525231</v>
      </c>
      <c r="F43" s="96">
        <v>-1756401.7894047746</v>
      </c>
      <c r="G43" s="96">
        <v>-1745614.4835071671</v>
      </c>
      <c r="H43" s="96">
        <v>-2880825.7683470789</v>
      </c>
      <c r="I43" s="96">
        <v>-2075276.943864868</v>
      </c>
      <c r="J43" s="96">
        <v>-2619986.7904700958</v>
      </c>
      <c r="K43" s="96">
        <v>-3772616.0348233739</v>
      </c>
      <c r="L43" s="96">
        <v>-2011.2753014476937</v>
      </c>
      <c r="M43" s="96">
        <v>-24385.593284712901</v>
      </c>
      <c r="N43" s="96">
        <v>-9268.5151245332727</v>
      </c>
      <c r="O43" s="96">
        <v>-15896.554336642503</v>
      </c>
      <c r="P43" s="96">
        <f t="shared" si="3"/>
        <v>-17546750.989506993</v>
      </c>
      <c r="R43" s="81"/>
      <c r="S43" s="81"/>
    </row>
    <row r="44" spans="1:25" ht="15.75">
      <c r="A44" s="859">
        <f t="shared" si="0"/>
        <v>33</v>
      </c>
      <c r="B44" s="709">
        <v>8120</v>
      </c>
      <c r="C44" s="81" t="s">
        <v>886</v>
      </c>
      <c r="D44" s="96">
        <v>-3456.5234192320063</v>
      </c>
      <c r="E44" s="96">
        <v>-143.91546407671069</v>
      </c>
      <c r="F44" s="96">
        <v>-1631.6635069364179</v>
      </c>
      <c r="G44" s="96">
        <v>1124.7425964827623</v>
      </c>
      <c r="H44" s="96">
        <v>-2248.4183472918453</v>
      </c>
      <c r="I44" s="96">
        <v>723.79281739350188</v>
      </c>
      <c r="J44" s="96">
        <v>91.0210333404778</v>
      </c>
      <c r="K44" s="96">
        <v>-1972.4143911806073</v>
      </c>
      <c r="L44" s="96">
        <v>-8624.5634525191508</v>
      </c>
      <c r="M44" s="96">
        <v>-5635.2824049591782</v>
      </c>
      <c r="N44" s="96">
        <v>-1719.9242988778972</v>
      </c>
      <c r="O44" s="96">
        <v>1563.3284579422432</v>
      </c>
      <c r="P44" s="96">
        <f t="shared" si="3"/>
        <v>-21929.820379914829</v>
      </c>
      <c r="Q44" s="81"/>
      <c r="R44" s="879"/>
    </row>
    <row r="45" spans="1:25">
      <c r="A45" s="859">
        <f t="shared" si="0"/>
        <v>34</v>
      </c>
      <c r="B45" s="709">
        <v>8580</v>
      </c>
      <c r="C45" s="81" t="s">
        <v>1219</v>
      </c>
      <c r="D45" s="96">
        <v>3605058.6785084712</v>
      </c>
      <c r="E45" s="96">
        <v>2749895.1301772008</v>
      </c>
      <c r="F45" s="96">
        <v>1785085.4424450304</v>
      </c>
      <c r="G45" s="96">
        <v>1898263.574904995</v>
      </c>
      <c r="H45" s="96">
        <v>2197498.2452597278</v>
      </c>
      <c r="I45" s="96">
        <v>1750768.0977158733</v>
      </c>
      <c r="J45" s="96">
        <v>2047745.8122776665</v>
      </c>
      <c r="K45" s="96">
        <v>3182518.5961477165</v>
      </c>
      <c r="L45" s="96">
        <v>2277219.6597100683</v>
      </c>
      <c r="M45" s="96">
        <v>2676400.0276003475</v>
      </c>
      <c r="N45" s="96">
        <v>4264772.683439224</v>
      </c>
      <c r="O45" s="96">
        <v>3386648.7871736442</v>
      </c>
      <c r="P45" s="96">
        <f t="shared" si="3"/>
        <v>31821874.735359967</v>
      </c>
      <c r="Q45" s="673"/>
      <c r="R45" s="673"/>
      <c r="S45" s="673"/>
      <c r="T45" s="673"/>
    </row>
    <row r="46" spans="1:25">
      <c r="A46" s="859">
        <f t="shared" si="0"/>
        <v>35</v>
      </c>
      <c r="B46" s="709">
        <v>8140</v>
      </c>
      <c r="C46" s="81" t="s">
        <v>887</v>
      </c>
      <c r="D46" s="399">
        <v>0</v>
      </c>
      <c r="E46" s="399">
        <v>0</v>
      </c>
      <c r="F46" s="399">
        <v>0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0</v>
      </c>
      <c r="M46" s="399">
        <v>0</v>
      </c>
      <c r="N46" s="399">
        <v>0</v>
      </c>
      <c r="O46" s="399">
        <v>0</v>
      </c>
      <c r="P46" s="81">
        <f t="shared" si="3"/>
        <v>0</v>
      </c>
      <c r="Q46" s="673"/>
      <c r="R46" s="673"/>
      <c r="S46" s="81"/>
      <c r="Y46" s="906"/>
    </row>
    <row r="47" spans="1:25">
      <c r="A47" s="859">
        <f t="shared" si="0"/>
        <v>36</v>
      </c>
      <c r="B47" s="709">
        <v>8160</v>
      </c>
      <c r="C47" s="81" t="s">
        <v>888</v>
      </c>
      <c r="D47" s="399">
        <v>10619.263995131569</v>
      </c>
      <c r="E47" s="399">
        <v>10126.764364035515</v>
      </c>
      <c r="F47" s="399">
        <v>19170.60221859975</v>
      </c>
      <c r="G47" s="399">
        <v>17292.069558200797</v>
      </c>
      <c r="H47" s="399">
        <v>11608.462065569549</v>
      </c>
      <c r="I47" s="399">
        <v>11284.75363990579</v>
      </c>
      <c r="J47" s="399">
        <v>10248.217369480275</v>
      </c>
      <c r="K47" s="399">
        <v>10693.197683059334</v>
      </c>
      <c r="L47" s="399">
        <v>8154.4860953869538</v>
      </c>
      <c r="M47" s="399">
        <v>9097.6828507670161</v>
      </c>
      <c r="N47" s="399">
        <v>8338.1927822122252</v>
      </c>
      <c r="O47" s="399">
        <v>9316.1018170471652</v>
      </c>
      <c r="P47" s="81">
        <f t="shared" si="3"/>
        <v>135949.79443939595</v>
      </c>
      <c r="Q47" s="81"/>
      <c r="R47" s="81"/>
      <c r="S47" s="81"/>
      <c r="Y47" s="906"/>
    </row>
    <row r="48" spans="1:25">
      <c r="A48" s="859">
        <f t="shared" si="0"/>
        <v>37</v>
      </c>
      <c r="B48" s="709">
        <v>8170</v>
      </c>
      <c r="C48" s="81" t="s">
        <v>894</v>
      </c>
      <c r="D48" s="399">
        <v>2788.8718455510989</v>
      </c>
      <c r="E48" s="399">
        <v>3016.8408050709786</v>
      </c>
      <c r="F48" s="399">
        <v>2843.2217839997697</v>
      </c>
      <c r="G48" s="399">
        <v>2937.477168084838</v>
      </c>
      <c r="H48" s="399">
        <v>3030.0894073606737</v>
      </c>
      <c r="I48" s="399">
        <v>2679.4428012167195</v>
      </c>
      <c r="J48" s="399">
        <v>2959.5975207816364</v>
      </c>
      <c r="K48" s="399">
        <v>2984.1398533495226</v>
      </c>
      <c r="L48" s="399">
        <v>2868.0327807631475</v>
      </c>
      <c r="M48" s="399">
        <v>3115.3149327107908</v>
      </c>
      <c r="N48" s="399">
        <v>2802.5940107543643</v>
      </c>
      <c r="O48" s="399">
        <v>2988.6755158838696</v>
      </c>
      <c r="P48" s="81">
        <f t="shared" si="3"/>
        <v>35014.298425527413</v>
      </c>
      <c r="Q48" s="81"/>
      <c r="R48" s="81"/>
      <c r="S48" s="81"/>
      <c r="Y48" s="906"/>
    </row>
    <row r="49" spans="1:25">
      <c r="A49" s="859">
        <f t="shared" si="0"/>
        <v>38</v>
      </c>
      <c r="B49" s="709">
        <v>8180</v>
      </c>
      <c r="C49" s="81" t="s">
        <v>895</v>
      </c>
      <c r="D49" s="399">
        <v>2666.777493674882</v>
      </c>
      <c r="E49" s="399">
        <v>2937.9803436802376</v>
      </c>
      <c r="F49" s="399">
        <v>3401.3304382354941</v>
      </c>
      <c r="G49" s="399">
        <v>3490.384389416985</v>
      </c>
      <c r="H49" s="399">
        <v>3193.4353025998512</v>
      </c>
      <c r="I49" s="399">
        <v>2696.9965177997879</v>
      </c>
      <c r="J49" s="399">
        <v>2536.9436137917978</v>
      </c>
      <c r="K49" s="399">
        <v>2689.6886472743463</v>
      </c>
      <c r="L49" s="399">
        <v>2812.5620486942998</v>
      </c>
      <c r="M49" s="399">
        <v>3158.1578392536721</v>
      </c>
      <c r="N49" s="399">
        <v>3167.6445111152407</v>
      </c>
      <c r="O49" s="399">
        <v>2880.6574819771427</v>
      </c>
      <c r="P49" s="81">
        <f t="shared" si="3"/>
        <v>35632.558627513739</v>
      </c>
      <c r="Q49" s="81"/>
      <c r="R49" s="81"/>
      <c r="S49" s="81"/>
      <c r="Y49" s="906"/>
    </row>
    <row r="50" spans="1:25">
      <c r="A50" s="859">
        <f t="shared" si="0"/>
        <v>39</v>
      </c>
      <c r="B50" s="709">
        <v>8190</v>
      </c>
      <c r="C50" s="81" t="s">
        <v>896</v>
      </c>
      <c r="D50" s="399">
        <v>81.217074952527966</v>
      </c>
      <c r="E50" s="399">
        <v>85.388368189764918</v>
      </c>
      <c r="F50" s="399">
        <v>87.955662277127772</v>
      </c>
      <c r="G50" s="399">
        <v>80.292008737978492</v>
      </c>
      <c r="H50" s="399">
        <v>84.196523654923723</v>
      </c>
      <c r="I50" s="399">
        <v>75.974152929312567</v>
      </c>
      <c r="J50" s="399">
        <v>81.086603650364225</v>
      </c>
      <c r="K50" s="399">
        <v>89.470308005517069</v>
      </c>
      <c r="L50" s="399">
        <v>78.107518484372804</v>
      </c>
      <c r="M50" s="399">
        <v>87.391281576156359</v>
      </c>
      <c r="N50" s="399">
        <v>87.445831170300494</v>
      </c>
      <c r="O50" s="399">
        <v>84.934693890658792</v>
      </c>
      <c r="P50" s="81">
        <f t="shared" si="3"/>
        <v>1003.4600275190052</v>
      </c>
      <c r="Q50" s="81"/>
      <c r="R50" s="81"/>
      <c r="S50" s="81"/>
      <c r="Y50" s="906"/>
    </row>
    <row r="51" spans="1:25">
      <c r="A51" s="859">
        <f t="shared" si="0"/>
        <v>40</v>
      </c>
      <c r="B51" s="709">
        <v>8200</v>
      </c>
      <c r="C51" s="81" t="s">
        <v>897</v>
      </c>
      <c r="D51" s="399">
        <v>280.17045659415783</v>
      </c>
      <c r="E51" s="399">
        <v>299.12344428585106</v>
      </c>
      <c r="F51" s="399">
        <v>291.02568481167043</v>
      </c>
      <c r="G51" s="399">
        <v>284.79698151423503</v>
      </c>
      <c r="H51" s="399">
        <v>297.20349522200712</v>
      </c>
      <c r="I51" s="399">
        <v>265.60751621342882</v>
      </c>
      <c r="J51" s="399">
        <v>290.74062292003742</v>
      </c>
      <c r="K51" s="399">
        <v>304.24597941383979</v>
      </c>
      <c r="L51" s="399">
        <v>279.6413770063449</v>
      </c>
      <c r="M51" s="399">
        <v>307.19707397684164</v>
      </c>
      <c r="N51" s="399">
        <v>288.38430070679726</v>
      </c>
      <c r="O51" s="399">
        <v>296.93953312893069</v>
      </c>
      <c r="P51" s="81">
        <f t="shared" si="3"/>
        <v>3485.0764657941422</v>
      </c>
      <c r="Q51" s="81"/>
      <c r="R51" s="81"/>
      <c r="S51" s="81"/>
      <c r="Y51" s="906"/>
    </row>
    <row r="52" spans="1:25">
      <c r="A52" s="859">
        <f t="shared" si="0"/>
        <v>41</v>
      </c>
      <c r="B52" s="709">
        <v>8210</v>
      </c>
      <c r="C52" s="81" t="s">
        <v>898</v>
      </c>
      <c r="D52" s="399">
        <v>1941.561896504182</v>
      </c>
      <c r="E52" s="399">
        <v>2141.9852236477609</v>
      </c>
      <c r="F52" s="399">
        <v>2468.9067461862041</v>
      </c>
      <c r="G52" s="399">
        <v>2525.5941432727368</v>
      </c>
      <c r="H52" s="399">
        <v>2328.243392161588</v>
      </c>
      <c r="I52" s="399">
        <v>1957.885998387638</v>
      </c>
      <c r="J52" s="399">
        <v>1825.6482910060251</v>
      </c>
      <c r="K52" s="399">
        <v>1956.4623016411556</v>
      </c>
      <c r="L52" s="399">
        <v>2054.2442242140146</v>
      </c>
      <c r="M52" s="399">
        <v>2315.2047905871705</v>
      </c>
      <c r="N52" s="399">
        <v>2353.9896696128976</v>
      </c>
      <c r="O52" s="399">
        <v>2104.3008596043514</v>
      </c>
      <c r="P52" s="81">
        <f t="shared" si="3"/>
        <v>25974.027536825721</v>
      </c>
      <c r="Q52" s="81"/>
      <c r="R52" s="81"/>
      <c r="S52" s="81"/>
      <c r="Y52" s="906"/>
    </row>
    <row r="53" spans="1:25">
      <c r="A53" s="859">
        <f t="shared" si="0"/>
        <v>42</v>
      </c>
      <c r="B53" s="709">
        <v>8240</v>
      </c>
      <c r="C53" s="81" t="s">
        <v>899</v>
      </c>
      <c r="D53" s="399">
        <v>0</v>
      </c>
      <c r="E53" s="399">
        <v>0</v>
      </c>
      <c r="F53" s="399">
        <v>0</v>
      </c>
      <c r="G53" s="399">
        <v>0</v>
      </c>
      <c r="H53" s="399">
        <v>0</v>
      </c>
      <c r="I53" s="399"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81">
        <f t="shared" si="3"/>
        <v>0</v>
      </c>
      <c r="Q53" s="81"/>
      <c r="R53" s="81"/>
      <c r="S53" s="81"/>
      <c r="Y53" s="906"/>
    </row>
    <row r="54" spans="1:25">
      <c r="A54" s="859">
        <f t="shared" si="0"/>
        <v>43</v>
      </c>
      <c r="B54" s="709">
        <v>8250</v>
      </c>
      <c r="C54" s="81" t="s">
        <v>911</v>
      </c>
      <c r="D54" s="399">
        <v>700.71792890717393</v>
      </c>
      <c r="E54" s="399">
        <v>1241.0254657261651</v>
      </c>
      <c r="F54" s="399">
        <v>867.38293213052884</v>
      </c>
      <c r="G54" s="399">
        <v>710.46364165398404</v>
      </c>
      <c r="H54" s="399">
        <v>722.65669983275018</v>
      </c>
      <c r="I54" s="399">
        <v>666.18945025071991</v>
      </c>
      <c r="J54" s="399">
        <v>735.13148750329526</v>
      </c>
      <c r="K54" s="399">
        <v>802.2083264115987</v>
      </c>
      <c r="L54" s="399">
        <v>687.8857628995014</v>
      </c>
      <c r="M54" s="399">
        <v>756.48169835492956</v>
      </c>
      <c r="N54" s="399">
        <v>756.1995203381266</v>
      </c>
      <c r="O54" s="399">
        <v>741.73383245139541</v>
      </c>
      <c r="P54" s="81">
        <f t="shared" si="3"/>
        <v>9388.0767464601686</v>
      </c>
      <c r="Q54" s="81"/>
      <c r="R54" s="81"/>
      <c r="Y54" s="906"/>
    </row>
    <row r="55" spans="1:25">
      <c r="A55" s="859">
        <f t="shared" si="0"/>
        <v>44</v>
      </c>
      <c r="B55" s="709">
        <v>8310</v>
      </c>
      <c r="C55" s="81" t="s">
        <v>912</v>
      </c>
      <c r="D55" s="399">
        <v>1247.9261220533554</v>
      </c>
      <c r="E55" s="399">
        <v>1141.9302477823685</v>
      </c>
      <c r="F55" s="399">
        <v>2628.9863448396209</v>
      </c>
      <c r="G55" s="399">
        <v>2318.6543547708143</v>
      </c>
      <c r="H55" s="399">
        <v>1389.6317151716323</v>
      </c>
      <c r="I55" s="399">
        <v>1377.886989382775</v>
      </c>
      <c r="J55" s="399">
        <v>1140.3643301151235</v>
      </c>
      <c r="K55" s="399">
        <v>1219.4740544896608</v>
      </c>
      <c r="L55" s="399">
        <v>856.56271797912723</v>
      </c>
      <c r="M55" s="399">
        <v>977.07563188328413</v>
      </c>
      <c r="N55" s="399">
        <v>932.45996981539861</v>
      </c>
      <c r="O55" s="399">
        <v>1017.3474635292315</v>
      </c>
      <c r="P55" s="81">
        <f t="shared" si="3"/>
        <v>16248.299941812395</v>
      </c>
      <c r="Q55" s="81"/>
      <c r="R55" s="907"/>
      <c r="S55" s="81"/>
      <c r="Y55" s="906"/>
    </row>
    <row r="56" spans="1:25">
      <c r="A56" s="859">
        <f t="shared" si="0"/>
        <v>45</v>
      </c>
      <c r="B56" s="709">
        <v>8340</v>
      </c>
      <c r="C56" s="81" t="s">
        <v>913</v>
      </c>
      <c r="D56" s="399">
        <v>917.01930843296554</v>
      </c>
      <c r="E56" s="399">
        <v>879.52265082879023</v>
      </c>
      <c r="F56" s="399">
        <v>1696.2325649230725</v>
      </c>
      <c r="G56" s="399">
        <v>1535.1030482455217</v>
      </c>
      <c r="H56" s="399">
        <v>1022.9812871082836</v>
      </c>
      <c r="I56" s="399">
        <v>982.94573231269987</v>
      </c>
      <c r="J56" s="399">
        <v>865.34856047912183</v>
      </c>
      <c r="K56" s="399">
        <v>913.1337142901441</v>
      </c>
      <c r="L56" s="399">
        <v>711.3521944017275</v>
      </c>
      <c r="M56" s="399">
        <v>800.60677174311718</v>
      </c>
      <c r="N56" s="399">
        <v>756.82212930448259</v>
      </c>
      <c r="O56" s="399">
        <v>807.9874522856237</v>
      </c>
      <c r="P56" s="81">
        <f t="shared" si="3"/>
        <v>11889.055414355553</v>
      </c>
      <c r="Q56" s="81"/>
      <c r="R56" s="907"/>
      <c r="S56" s="81"/>
      <c r="Y56" s="906"/>
    </row>
    <row r="57" spans="1:25">
      <c r="A57" s="859">
        <f t="shared" si="0"/>
        <v>46</v>
      </c>
      <c r="B57" s="709">
        <v>8350</v>
      </c>
      <c r="C57" s="81" t="s">
        <v>914</v>
      </c>
      <c r="D57" s="399">
        <v>0</v>
      </c>
      <c r="E57" s="399">
        <v>0</v>
      </c>
      <c r="F57" s="399">
        <v>0</v>
      </c>
      <c r="G57" s="399">
        <v>0</v>
      </c>
      <c r="H57" s="399">
        <v>0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81">
        <f t="shared" si="3"/>
        <v>0</v>
      </c>
      <c r="Q57" s="81"/>
      <c r="R57" s="907"/>
      <c r="S57" s="81"/>
      <c r="Y57" s="906"/>
    </row>
    <row r="58" spans="1:25">
      <c r="A58" s="859">
        <f t="shared" si="0"/>
        <v>47</v>
      </c>
      <c r="B58" s="709">
        <v>8360</v>
      </c>
      <c r="C58" s="81" t="s">
        <v>915</v>
      </c>
      <c r="D58" s="399">
        <v>0</v>
      </c>
      <c r="E58" s="399">
        <v>0</v>
      </c>
      <c r="F58" s="399">
        <v>0</v>
      </c>
      <c r="G58" s="399">
        <v>0</v>
      </c>
      <c r="H58" s="399">
        <v>0</v>
      </c>
      <c r="I58" s="399">
        <v>0</v>
      </c>
      <c r="J58" s="399">
        <v>0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81">
        <f t="shared" ref="P58:P94" si="4">SUM(D58:O58)</f>
        <v>0</v>
      </c>
      <c r="Q58" s="81"/>
      <c r="R58" s="907"/>
      <c r="S58" s="81"/>
      <c r="Y58" s="906"/>
    </row>
    <row r="59" spans="1:25">
      <c r="A59" s="859">
        <f t="shared" si="0"/>
        <v>48</v>
      </c>
      <c r="B59" s="709">
        <v>8370</v>
      </c>
      <c r="C59" s="81" t="s">
        <v>1361</v>
      </c>
      <c r="D59" s="399">
        <v>0</v>
      </c>
      <c r="E59" s="399">
        <v>0</v>
      </c>
      <c r="F59" s="399">
        <v>0</v>
      </c>
      <c r="G59" s="399">
        <v>0</v>
      </c>
      <c r="H59" s="399">
        <v>0</v>
      </c>
      <c r="I59" s="399">
        <v>0</v>
      </c>
      <c r="J59" s="399">
        <v>0</v>
      </c>
      <c r="K59" s="399">
        <v>0</v>
      </c>
      <c r="L59" s="399">
        <v>0</v>
      </c>
      <c r="M59" s="399">
        <v>0</v>
      </c>
      <c r="N59" s="399">
        <v>0</v>
      </c>
      <c r="O59" s="399">
        <v>0</v>
      </c>
      <c r="P59" s="81">
        <f t="shared" si="4"/>
        <v>0</v>
      </c>
      <c r="Q59" s="81"/>
      <c r="R59" s="907"/>
      <c r="S59" s="81"/>
      <c r="Y59" s="906"/>
    </row>
    <row r="60" spans="1:25">
      <c r="A60" s="859">
        <f t="shared" si="0"/>
        <v>49</v>
      </c>
      <c r="B60" s="709">
        <v>8410</v>
      </c>
      <c r="C60" s="81" t="s">
        <v>189</v>
      </c>
      <c r="D60" s="399">
        <v>10408.832603967065</v>
      </c>
      <c r="E60" s="399">
        <v>11255.366442274086</v>
      </c>
      <c r="F60" s="399">
        <v>10451.743604379424</v>
      </c>
      <c r="G60" s="399">
        <v>10821.042494978063</v>
      </c>
      <c r="H60" s="399">
        <v>11280.582775455803</v>
      </c>
      <c r="I60" s="399">
        <v>10013.564685405005</v>
      </c>
      <c r="J60" s="399">
        <v>11168.851555828754</v>
      </c>
      <c r="K60" s="399">
        <v>11166.570919519587</v>
      </c>
      <c r="L60" s="399">
        <v>10733.260352382613</v>
      </c>
      <c r="M60" s="399">
        <v>11592.34461618907</v>
      </c>
      <c r="N60" s="399">
        <v>10304.321248945038</v>
      </c>
      <c r="O60" s="399">
        <v>11200.196713117186</v>
      </c>
      <c r="P60" s="81">
        <f t="shared" si="4"/>
        <v>130396.67801244168</v>
      </c>
      <c r="Q60" s="81"/>
      <c r="R60" s="907"/>
      <c r="S60" s="81"/>
      <c r="Y60" s="906"/>
    </row>
    <row r="61" spans="1:25">
      <c r="A61" s="859">
        <f t="shared" si="0"/>
        <v>50</v>
      </c>
      <c r="B61" s="709">
        <v>8520</v>
      </c>
      <c r="C61" s="81" t="s">
        <v>1362</v>
      </c>
      <c r="D61" s="399">
        <v>0</v>
      </c>
      <c r="E61" s="399">
        <v>0</v>
      </c>
      <c r="F61" s="399">
        <v>0</v>
      </c>
      <c r="G61" s="399">
        <v>0</v>
      </c>
      <c r="H61" s="399">
        <v>0</v>
      </c>
      <c r="I61" s="399">
        <v>0</v>
      </c>
      <c r="J61" s="399">
        <v>0</v>
      </c>
      <c r="K61" s="399">
        <v>0</v>
      </c>
      <c r="L61" s="399">
        <v>0</v>
      </c>
      <c r="M61" s="399">
        <v>0</v>
      </c>
      <c r="N61" s="399">
        <v>0</v>
      </c>
      <c r="O61" s="399">
        <v>0</v>
      </c>
      <c r="P61" s="81">
        <f t="shared" si="4"/>
        <v>0</v>
      </c>
      <c r="Q61" s="81"/>
      <c r="R61" s="907"/>
      <c r="S61" s="81"/>
      <c r="Y61" s="906"/>
    </row>
    <row r="62" spans="1:25">
      <c r="A62" s="859">
        <f t="shared" si="0"/>
        <v>51</v>
      </c>
      <c r="B62" s="709">
        <v>8550</v>
      </c>
      <c r="C62" s="103" t="s">
        <v>1418</v>
      </c>
      <c r="D62" s="399">
        <v>24.021594459171855</v>
      </c>
      <c r="E62" s="399">
        <v>25.255338897441277</v>
      </c>
      <c r="F62" s="399">
        <v>26.014668108202773</v>
      </c>
      <c r="G62" s="399">
        <v>23.747987394810362</v>
      </c>
      <c r="H62" s="399">
        <v>24.902826742933499</v>
      </c>
      <c r="I62" s="399">
        <v>22.470894108336076</v>
      </c>
      <c r="J62" s="399">
        <v>23.983004929679819</v>
      </c>
      <c r="K62" s="399">
        <v>26.462655252013988</v>
      </c>
      <c r="L62" s="399">
        <v>23.101880169170904</v>
      </c>
      <c r="M62" s="399">
        <v>25.847741087902634</v>
      </c>
      <c r="N62" s="399">
        <v>25.863875234930322</v>
      </c>
      <c r="O62" s="399">
        <v>25.121155537155939</v>
      </c>
      <c r="P62" s="81">
        <f t="shared" si="4"/>
        <v>296.79362192174943</v>
      </c>
      <c r="Q62" s="81"/>
      <c r="R62" s="907"/>
      <c r="S62" s="81"/>
      <c r="Y62" s="906"/>
    </row>
    <row r="63" spans="1:25">
      <c r="A63" s="859">
        <f t="shared" si="0"/>
        <v>52</v>
      </c>
      <c r="B63" s="709">
        <v>8560</v>
      </c>
      <c r="C63" s="81" t="s">
        <v>917</v>
      </c>
      <c r="D63" s="399">
        <v>20653.354607600446</v>
      </c>
      <c r="E63" s="399">
        <v>21413.127017825293</v>
      </c>
      <c r="F63" s="399">
        <v>22604.660465328059</v>
      </c>
      <c r="G63" s="399">
        <v>22903.908437080365</v>
      </c>
      <c r="H63" s="399">
        <v>22070.79105335334</v>
      </c>
      <c r="I63" s="399">
        <v>19869.170183180868</v>
      </c>
      <c r="J63" s="399">
        <v>20589.612092110081</v>
      </c>
      <c r="K63" s="399">
        <v>20972.776584521442</v>
      </c>
      <c r="L63" s="399">
        <v>20386.666356758484</v>
      </c>
      <c r="M63" s="399">
        <v>22300.335191922761</v>
      </c>
      <c r="N63" s="399">
        <v>20709.816303744279</v>
      </c>
      <c r="O63" s="399">
        <v>21316.074021127384</v>
      </c>
      <c r="P63" s="81">
        <f t="shared" si="4"/>
        <v>255790.29231455276</v>
      </c>
      <c r="Q63" s="81"/>
      <c r="R63" s="907"/>
      <c r="S63" s="81"/>
      <c r="Y63" s="906"/>
    </row>
    <row r="64" spans="1:25">
      <c r="A64" s="859">
        <f t="shared" si="0"/>
        <v>53</v>
      </c>
      <c r="B64" s="709">
        <v>8570</v>
      </c>
      <c r="C64" s="81" t="s">
        <v>918</v>
      </c>
      <c r="D64" s="399">
        <v>867.2022732961758</v>
      </c>
      <c r="E64" s="399">
        <v>933.35155146746149</v>
      </c>
      <c r="F64" s="399">
        <v>992.94683307658886</v>
      </c>
      <c r="G64" s="399">
        <v>969.04395793438266</v>
      </c>
      <c r="H64" s="399">
        <v>959.60557116369114</v>
      </c>
      <c r="I64" s="399">
        <v>838.90476526594784</v>
      </c>
      <c r="J64" s="399">
        <v>855.60110059731494</v>
      </c>
      <c r="K64" s="399">
        <v>920.66950253895368</v>
      </c>
      <c r="L64" s="399">
        <v>875.056243694969</v>
      </c>
      <c r="M64" s="399">
        <v>977.38901554894846</v>
      </c>
      <c r="N64" s="399">
        <v>969.04257198099822</v>
      </c>
      <c r="O64" s="399">
        <v>923.25305471336242</v>
      </c>
      <c r="P64" s="81">
        <f t="shared" si="4"/>
        <v>11082.066441278794</v>
      </c>
      <c r="Q64" s="81"/>
      <c r="R64" s="907"/>
      <c r="S64" s="81"/>
      <c r="Y64" s="906"/>
    </row>
    <row r="65" spans="1:25">
      <c r="A65" s="859">
        <f t="shared" si="0"/>
        <v>54</v>
      </c>
      <c r="B65" s="709">
        <v>8630</v>
      </c>
      <c r="C65" s="81" t="s">
        <v>919</v>
      </c>
      <c r="D65" s="399">
        <v>241.81420419907505</v>
      </c>
      <c r="E65" s="399">
        <v>221.39869195829604</v>
      </c>
      <c r="F65" s="399">
        <v>483.18216736657087</v>
      </c>
      <c r="G65" s="399">
        <v>425.78612893657964</v>
      </c>
      <c r="H65" s="399">
        <v>261.77288944619136</v>
      </c>
      <c r="I65" s="399">
        <v>262.51433452678117</v>
      </c>
      <c r="J65" s="399">
        <v>229.73283193450925</v>
      </c>
      <c r="K65" s="399">
        <v>241.07688424151195</v>
      </c>
      <c r="L65" s="399">
        <v>167.2272803864679</v>
      </c>
      <c r="M65" s="399">
        <v>187.69501552837283</v>
      </c>
      <c r="N65" s="399">
        <v>170.32859100559119</v>
      </c>
      <c r="O65" s="399">
        <v>198.74235567939019</v>
      </c>
      <c r="P65" s="81">
        <f t="shared" si="4"/>
        <v>3091.2713752093377</v>
      </c>
      <c r="Q65" s="81"/>
      <c r="R65" s="907"/>
      <c r="S65" s="81"/>
      <c r="Y65" s="906"/>
    </row>
    <row r="66" spans="1:25">
      <c r="A66" s="859">
        <f t="shared" si="0"/>
        <v>55</v>
      </c>
      <c r="B66" s="709">
        <v>8640</v>
      </c>
      <c r="C66" s="81" t="s">
        <v>1363</v>
      </c>
      <c r="D66" s="399">
        <v>0</v>
      </c>
      <c r="E66" s="399">
        <v>0</v>
      </c>
      <c r="F66" s="399">
        <v>0</v>
      </c>
      <c r="G66" s="399">
        <v>0</v>
      </c>
      <c r="H66" s="399">
        <v>0</v>
      </c>
      <c r="I66" s="399">
        <v>0</v>
      </c>
      <c r="J66" s="399">
        <v>0</v>
      </c>
      <c r="K66" s="399">
        <v>0</v>
      </c>
      <c r="L66" s="399">
        <v>0</v>
      </c>
      <c r="M66" s="399">
        <v>0</v>
      </c>
      <c r="N66" s="399">
        <v>0</v>
      </c>
      <c r="O66" s="399">
        <v>0</v>
      </c>
      <c r="P66" s="81">
        <f t="shared" si="4"/>
        <v>0</v>
      </c>
      <c r="Q66" s="81"/>
      <c r="R66" s="907"/>
      <c r="S66" s="81"/>
      <c r="Y66" s="906"/>
    </row>
    <row r="67" spans="1:25">
      <c r="A67" s="859">
        <f t="shared" si="0"/>
        <v>56</v>
      </c>
      <c r="B67" s="709">
        <v>8650</v>
      </c>
      <c r="C67" s="81" t="s">
        <v>920</v>
      </c>
      <c r="D67" s="399">
        <v>28.738121753177911</v>
      </c>
      <c r="E67" s="399">
        <v>32.609956343663079</v>
      </c>
      <c r="F67" s="399">
        <v>44.384781984157271</v>
      </c>
      <c r="G67" s="399">
        <v>45.644369772014741</v>
      </c>
      <c r="H67" s="399">
        <v>38.365979670778195</v>
      </c>
      <c r="I67" s="399">
        <v>30.666072129381096</v>
      </c>
      <c r="J67" s="399">
        <v>23.511288983437701</v>
      </c>
      <c r="K67" s="399">
        <v>26.917684880612466</v>
      </c>
      <c r="L67" s="399">
        <v>31.720231740225405</v>
      </c>
      <c r="M67" s="399">
        <v>36.942099977341407</v>
      </c>
      <c r="N67" s="399">
        <v>41.230971820009188</v>
      </c>
      <c r="O67" s="399">
        <v>31.716098298982853</v>
      </c>
      <c r="P67" s="81">
        <f t="shared" si="4"/>
        <v>412.44765735378132</v>
      </c>
      <c r="Q67" s="81"/>
      <c r="R67" s="907"/>
      <c r="S67" s="81"/>
      <c r="Y67" s="906"/>
    </row>
    <row r="68" spans="1:25">
      <c r="A68" s="859">
        <f t="shared" si="0"/>
        <v>57</v>
      </c>
      <c r="B68" s="709">
        <v>8700</v>
      </c>
      <c r="C68" s="81" t="s">
        <v>921</v>
      </c>
      <c r="D68" s="399">
        <v>92564.239702975581</v>
      </c>
      <c r="E68" s="399">
        <v>105005.49629126437</v>
      </c>
      <c r="F68" s="399">
        <v>109524.27804384471</v>
      </c>
      <c r="G68" s="399">
        <v>95967.222744122206</v>
      </c>
      <c r="H68" s="399">
        <v>108635.74899062631</v>
      </c>
      <c r="I68" s="399">
        <v>98817.066771913436</v>
      </c>
      <c r="J68" s="399">
        <v>96312.105542517893</v>
      </c>
      <c r="K68" s="399">
        <v>99377.574970275004</v>
      </c>
      <c r="L68" s="399">
        <v>96494.358623313849</v>
      </c>
      <c r="M68" s="399">
        <v>102575.1920658216</v>
      </c>
      <c r="N68" s="399">
        <v>96667.087155974412</v>
      </c>
      <c r="O68" s="399">
        <v>105999.6907141237</v>
      </c>
      <c r="P68" s="81">
        <f t="shared" si="4"/>
        <v>1207940.061616773</v>
      </c>
      <c r="Q68" s="81"/>
      <c r="R68" s="907"/>
      <c r="S68" s="81"/>
      <c r="Y68" s="906"/>
    </row>
    <row r="69" spans="1:25">
      <c r="A69" s="859">
        <f t="shared" si="0"/>
        <v>58</v>
      </c>
      <c r="B69" s="709">
        <v>8710</v>
      </c>
      <c r="C69" s="81" t="s">
        <v>922</v>
      </c>
      <c r="D69" s="399">
        <v>79.813857090334238</v>
      </c>
      <c r="E69" s="399">
        <v>83.913081329982191</v>
      </c>
      <c r="F69" s="399">
        <v>86.43601931460438</v>
      </c>
      <c r="G69" s="399">
        <v>78.90477359169428</v>
      </c>
      <c r="H69" s="399">
        <v>82.741828740138104</v>
      </c>
      <c r="I69" s="399">
        <v>74.661518997128198</v>
      </c>
      <c r="J69" s="399">
        <v>79.685639989787674</v>
      </c>
      <c r="K69" s="399">
        <v>87.92449594071789</v>
      </c>
      <c r="L69" s="399">
        <v>76.758025595433352</v>
      </c>
      <c r="M69" s="399">
        <v>85.881389630659157</v>
      </c>
      <c r="N69" s="399">
        <v>85.934996751007944</v>
      </c>
      <c r="O69" s="399">
        <v>83.467245331879852</v>
      </c>
      <c r="P69" s="81">
        <f t="shared" si="4"/>
        <v>986.12287230336733</v>
      </c>
      <c r="Q69" s="81"/>
      <c r="R69" s="907"/>
      <c r="S69" s="81"/>
      <c r="Y69" s="906"/>
    </row>
    <row r="70" spans="1:25">
      <c r="A70" s="859">
        <f t="shared" si="0"/>
        <v>59</v>
      </c>
      <c r="B70" s="709">
        <v>8711</v>
      </c>
      <c r="C70" s="103" t="s">
        <v>190</v>
      </c>
      <c r="D70" s="399">
        <v>186.17932559345147</v>
      </c>
      <c r="E70" s="399">
        <v>209.85713071180845</v>
      </c>
      <c r="F70" s="399">
        <v>286.46395991172483</v>
      </c>
      <c r="G70" s="399">
        <v>287.38597506263824</v>
      </c>
      <c r="H70" s="399">
        <v>247.94047850253054</v>
      </c>
      <c r="I70" s="399">
        <v>201.30644988586727</v>
      </c>
      <c r="J70" s="399">
        <v>156.44108561843723</v>
      </c>
      <c r="K70" s="399">
        <v>176.80583371340151</v>
      </c>
      <c r="L70" s="399">
        <v>206.1541359559603</v>
      </c>
      <c r="M70" s="399">
        <v>236.40078718237248</v>
      </c>
      <c r="N70" s="399">
        <v>264.60005451153529</v>
      </c>
      <c r="O70" s="399">
        <v>210.14537831235214</v>
      </c>
      <c r="P70" s="81">
        <f t="shared" si="4"/>
        <v>2669.6805949620798</v>
      </c>
      <c r="Q70" s="81"/>
      <c r="R70" s="907"/>
      <c r="S70" s="81"/>
      <c r="Y70" s="906"/>
    </row>
    <row r="71" spans="1:25">
      <c r="A71" s="859">
        <f t="shared" si="0"/>
        <v>60</v>
      </c>
      <c r="B71" s="709">
        <v>8720</v>
      </c>
      <c r="C71" s="103" t="s">
        <v>1364</v>
      </c>
      <c r="D71" s="399">
        <v>0</v>
      </c>
      <c r="E71" s="399">
        <v>0</v>
      </c>
      <c r="F71" s="399">
        <v>0</v>
      </c>
      <c r="G71" s="399">
        <v>0</v>
      </c>
      <c r="H71" s="399">
        <v>0</v>
      </c>
      <c r="I71" s="399">
        <v>0</v>
      </c>
      <c r="J71" s="399">
        <v>0</v>
      </c>
      <c r="K71" s="399">
        <v>0</v>
      </c>
      <c r="L71" s="399">
        <v>0</v>
      </c>
      <c r="M71" s="399">
        <v>0</v>
      </c>
      <c r="N71" s="399">
        <v>0</v>
      </c>
      <c r="O71" s="399">
        <v>0</v>
      </c>
      <c r="P71" s="81">
        <f t="shared" si="4"/>
        <v>0</v>
      </c>
      <c r="Q71" s="81"/>
      <c r="R71" s="907"/>
      <c r="S71" s="81"/>
      <c r="Y71" s="906"/>
    </row>
    <row r="72" spans="1:25">
      <c r="A72" s="859">
        <f t="shared" si="0"/>
        <v>61</v>
      </c>
      <c r="B72" s="709">
        <v>8740</v>
      </c>
      <c r="C72" s="81" t="s">
        <v>923</v>
      </c>
      <c r="D72" s="399">
        <v>299026.52429536812</v>
      </c>
      <c r="E72" s="399">
        <v>275411.76586721541</v>
      </c>
      <c r="F72" s="399">
        <v>348782.02886857465</v>
      </c>
      <c r="G72" s="399">
        <v>337788.23338219244</v>
      </c>
      <c r="H72" s="399">
        <v>293111.72832007066</v>
      </c>
      <c r="I72" s="399">
        <v>273823.14865677146</v>
      </c>
      <c r="J72" s="399">
        <v>266054.36622594431</v>
      </c>
      <c r="K72" s="399">
        <v>269624.15961748554</v>
      </c>
      <c r="L72" s="399">
        <v>256115.64307676267</v>
      </c>
      <c r="M72" s="399">
        <v>281055.72472419479</v>
      </c>
      <c r="N72" s="399">
        <v>266690.79595266399</v>
      </c>
      <c r="O72" s="399">
        <v>277493.72529348428</v>
      </c>
      <c r="P72" s="81">
        <f t="shared" si="4"/>
        <v>3444977.8442807291</v>
      </c>
      <c r="Q72" s="81"/>
      <c r="R72" s="907"/>
      <c r="S72" s="81"/>
      <c r="Y72" s="906"/>
    </row>
    <row r="73" spans="1:25">
      <c r="A73" s="859">
        <f t="shared" si="0"/>
        <v>62</v>
      </c>
      <c r="B73" s="709">
        <v>8750</v>
      </c>
      <c r="C73" s="81" t="s">
        <v>924</v>
      </c>
      <c r="D73" s="399">
        <v>38048.37456580306</v>
      </c>
      <c r="E73" s="399">
        <v>41086.182378423568</v>
      </c>
      <c r="F73" s="399">
        <v>41734.841687845401</v>
      </c>
      <c r="G73" s="399">
        <v>42468.422696594884</v>
      </c>
      <c r="H73" s="399">
        <v>42241.535897357644</v>
      </c>
      <c r="I73" s="399">
        <v>37309.934939569073</v>
      </c>
      <c r="J73" s="399">
        <v>39739.799022285952</v>
      </c>
      <c r="K73" s="399">
        <v>40252.016418742722</v>
      </c>
      <c r="L73" s="399">
        <v>39107.337491381426</v>
      </c>
      <c r="M73" s="399">
        <v>42539.611709402525</v>
      </c>
      <c r="N73" s="399">
        <v>39078.773892838937</v>
      </c>
      <c r="O73" s="399">
        <v>40887.09637575446</v>
      </c>
      <c r="P73" s="81">
        <f t="shared" si="4"/>
        <v>484493.92707599961</v>
      </c>
      <c r="Q73" s="81"/>
      <c r="R73" s="907"/>
      <c r="S73" s="81"/>
      <c r="Y73" s="906"/>
    </row>
    <row r="74" spans="1:25">
      <c r="A74" s="859">
        <f t="shared" si="0"/>
        <v>63</v>
      </c>
      <c r="B74" s="709">
        <v>8760</v>
      </c>
      <c r="C74" s="81" t="s">
        <v>925</v>
      </c>
      <c r="D74" s="399">
        <v>2344.4290131340676</v>
      </c>
      <c r="E74" s="399">
        <v>2566.8499992115276</v>
      </c>
      <c r="F74" s="399">
        <v>2809.96212235741</v>
      </c>
      <c r="G74" s="399">
        <v>2906.4802553995387</v>
      </c>
      <c r="H74" s="399">
        <v>2741.9660523122848</v>
      </c>
      <c r="I74" s="399">
        <v>2333.1225935684279</v>
      </c>
      <c r="J74" s="399">
        <v>2276.6718844308989</v>
      </c>
      <c r="K74" s="399">
        <v>2378.8906622469526</v>
      </c>
      <c r="L74" s="399">
        <v>2465.2233242305356</v>
      </c>
      <c r="M74" s="399">
        <v>2746.5891187811435</v>
      </c>
      <c r="N74" s="399">
        <v>2694.3617761524251</v>
      </c>
      <c r="O74" s="399">
        <v>2528.7966360621554</v>
      </c>
      <c r="P74" s="81">
        <f t="shared" si="4"/>
        <v>30793.343437887364</v>
      </c>
      <c r="Q74" s="81"/>
      <c r="R74" s="907"/>
      <c r="S74" s="81"/>
      <c r="Y74" s="906"/>
    </row>
    <row r="75" spans="1:25">
      <c r="A75" s="859">
        <f t="shared" si="0"/>
        <v>64</v>
      </c>
      <c r="B75" s="709">
        <v>8770</v>
      </c>
      <c r="C75" s="81" t="s">
        <v>926</v>
      </c>
      <c r="D75" s="399">
        <v>1602.0443650874861</v>
      </c>
      <c r="E75" s="399">
        <v>1789.5117499068542</v>
      </c>
      <c r="F75" s="399">
        <v>2317.2282613183643</v>
      </c>
      <c r="G75" s="399">
        <v>2340.414831662697</v>
      </c>
      <c r="H75" s="399">
        <v>2037.2281480856509</v>
      </c>
      <c r="I75" s="399">
        <v>1664.7184320584579</v>
      </c>
      <c r="J75" s="399">
        <v>1372.0203210213158</v>
      </c>
      <c r="K75" s="399">
        <v>1556.7050343499886</v>
      </c>
      <c r="L75" s="399">
        <v>1719.9396598412845</v>
      </c>
      <c r="M75" s="399">
        <v>1988.1019639340118</v>
      </c>
      <c r="N75" s="399">
        <v>2176.6279055323794</v>
      </c>
      <c r="O75" s="399">
        <v>1748.3669817906268</v>
      </c>
      <c r="P75" s="81">
        <f t="shared" si="4"/>
        <v>22312.907654589118</v>
      </c>
      <c r="Q75" s="81"/>
      <c r="R75" s="907"/>
      <c r="S75" s="81"/>
      <c r="Y75" s="906"/>
    </row>
    <row r="76" spans="1:25">
      <c r="A76" s="859">
        <f t="shared" si="0"/>
        <v>65</v>
      </c>
      <c r="B76" s="709">
        <v>8780</v>
      </c>
      <c r="C76" s="81" t="s">
        <v>927</v>
      </c>
      <c r="D76" s="399">
        <v>74919.278746305732</v>
      </c>
      <c r="E76" s="399">
        <v>80950.512710890936</v>
      </c>
      <c r="F76" s="399">
        <v>76193.481119244854</v>
      </c>
      <c r="G76" s="399">
        <v>78630.460781770918</v>
      </c>
      <c r="H76" s="399">
        <v>81482.019330508236</v>
      </c>
      <c r="I76" s="399">
        <v>72230.549298875339</v>
      </c>
      <c r="J76" s="399">
        <v>79815.946401293448</v>
      </c>
      <c r="K76" s="399">
        <v>80085.03250364089</v>
      </c>
      <c r="L76" s="399">
        <v>77239.102422903889</v>
      </c>
      <c r="M76" s="399">
        <v>83571.518911385268</v>
      </c>
      <c r="N76" s="399">
        <v>74938.725125394354</v>
      </c>
      <c r="O76" s="399">
        <v>80622.619504047398</v>
      </c>
      <c r="P76" s="81">
        <f t="shared" si="4"/>
        <v>940679.24685626116</v>
      </c>
      <c r="Q76" s="81"/>
      <c r="R76" s="907"/>
      <c r="S76" s="81"/>
      <c r="Y76" s="906"/>
    </row>
    <row r="77" spans="1:25">
      <c r="A77" s="859">
        <f t="shared" si="0"/>
        <v>66</v>
      </c>
      <c r="B77" s="709">
        <v>8790</v>
      </c>
      <c r="C77" s="81" t="s">
        <v>928</v>
      </c>
      <c r="D77" s="399">
        <v>291.55050888992213</v>
      </c>
      <c r="E77" s="399">
        <v>330.83057579508539</v>
      </c>
      <c r="F77" s="399">
        <v>450.28710942176758</v>
      </c>
      <c r="G77" s="399">
        <v>463.06572674740289</v>
      </c>
      <c r="H77" s="399">
        <v>389.22588585104268</v>
      </c>
      <c r="I77" s="399">
        <v>311.10971732129428</v>
      </c>
      <c r="J77" s="399">
        <v>238.52387872291183</v>
      </c>
      <c r="K77" s="399">
        <v>273.08203342180138</v>
      </c>
      <c r="L77" s="399">
        <v>321.80424960953866</v>
      </c>
      <c r="M77" s="399">
        <v>374.78051420201984</v>
      </c>
      <c r="N77" s="399">
        <v>418.29145688063022</v>
      </c>
      <c r="O77" s="399">
        <v>321.76231552254154</v>
      </c>
      <c r="P77" s="81">
        <f t="shared" si="4"/>
        <v>4184.3139723859586</v>
      </c>
      <c r="Q77" s="81"/>
      <c r="R77" s="907"/>
      <c r="S77" s="81"/>
      <c r="Y77" s="906"/>
    </row>
    <row r="78" spans="1:25">
      <c r="A78" s="859">
        <f t="shared" ref="A78:A110" si="5">A77+1</f>
        <v>67</v>
      </c>
      <c r="B78" s="709">
        <v>8800</v>
      </c>
      <c r="C78" s="81" t="s">
        <v>929</v>
      </c>
      <c r="D78" s="399">
        <v>11687.811420858941</v>
      </c>
      <c r="E78" s="399">
        <v>13199.969850333884</v>
      </c>
      <c r="F78" s="399">
        <v>11752.344023557342</v>
      </c>
      <c r="G78" s="399">
        <v>12051.520860491939</v>
      </c>
      <c r="H78" s="399">
        <v>12662.21455957141</v>
      </c>
      <c r="I78" s="399">
        <v>11084.453243367938</v>
      </c>
      <c r="J78" s="399">
        <v>12295.521114935536</v>
      </c>
      <c r="K78" s="399">
        <v>12271.969543565219</v>
      </c>
      <c r="L78" s="399">
        <v>11889.459584363591</v>
      </c>
      <c r="M78" s="399">
        <v>13033.806097362778</v>
      </c>
      <c r="N78" s="399">
        <v>11534.05501837657</v>
      </c>
      <c r="O78" s="399">
        <v>12327.486638495249</v>
      </c>
      <c r="P78" s="81">
        <f t="shared" si="4"/>
        <v>145790.61195528042</v>
      </c>
      <c r="Q78" s="81"/>
      <c r="R78" s="81"/>
      <c r="S78" s="81"/>
      <c r="Y78" s="906"/>
    </row>
    <row r="79" spans="1:25">
      <c r="A79" s="859">
        <f t="shared" si="5"/>
        <v>68</v>
      </c>
      <c r="B79" s="709">
        <v>8810</v>
      </c>
      <c r="C79" s="81" t="s">
        <v>930</v>
      </c>
      <c r="D79" s="399">
        <v>27811.64790188862</v>
      </c>
      <c r="E79" s="399">
        <v>29145.80693203372</v>
      </c>
      <c r="F79" s="399">
        <v>30784.271308276373</v>
      </c>
      <c r="G79" s="399">
        <v>27983.21129111452</v>
      </c>
      <c r="H79" s="399">
        <v>28877.015274327965</v>
      </c>
      <c r="I79" s="399">
        <v>26234.181582090252</v>
      </c>
      <c r="J79" s="399">
        <v>27789.006020814322</v>
      </c>
      <c r="K79" s="399">
        <v>30543.896720364472</v>
      </c>
      <c r="L79" s="399">
        <v>26576.724497062107</v>
      </c>
      <c r="M79" s="399">
        <v>29748.230200997299</v>
      </c>
      <c r="N79" s="399">
        <v>29745.806912429158</v>
      </c>
      <c r="O79" s="399">
        <v>29014.743836906771</v>
      </c>
      <c r="P79" s="81">
        <f t="shared" si="4"/>
        <v>344254.54247830564</v>
      </c>
      <c r="Q79" s="81"/>
      <c r="R79" s="81"/>
      <c r="S79" s="81"/>
      <c r="Y79" s="906"/>
    </row>
    <row r="80" spans="1:25">
      <c r="A80" s="859">
        <f t="shared" si="5"/>
        <v>69</v>
      </c>
      <c r="B80" s="709">
        <v>8850</v>
      </c>
      <c r="C80" s="81" t="s">
        <v>931</v>
      </c>
      <c r="D80" s="399">
        <v>104.7882242756082</v>
      </c>
      <c r="E80" s="399">
        <v>99.105220059866326</v>
      </c>
      <c r="F80" s="399">
        <v>103.24797079657534</v>
      </c>
      <c r="G80" s="399">
        <v>93.796125654206918</v>
      </c>
      <c r="H80" s="399">
        <v>98.559226757643657</v>
      </c>
      <c r="I80" s="399">
        <v>153.34976086006714</v>
      </c>
      <c r="J80" s="399">
        <v>135.19495243927381</v>
      </c>
      <c r="K80" s="399">
        <v>133.36789314000725</v>
      </c>
      <c r="L80" s="399">
        <v>132.83889573824285</v>
      </c>
      <c r="M80" s="399">
        <v>134.24849323250257</v>
      </c>
      <c r="N80" s="399">
        <v>105.72299880081432</v>
      </c>
      <c r="O80" s="399">
        <v>104.31233906277598</v>
      </c>
      <c r="P80" s="81">
        <f t="shared" si="4"/>
        <v>1398.5321008175843</v>
      </c>
      <c r="Q80" s="81"/>
      <c r="R80" s="81"/>
      <c r="S80" s="81"/>
      <c r="Y80" s="906"/>
    </row>
    <row r="81" spans="1:25">
      <c r="A81" s="859">
        <f t="shared" si="5"/>
        <v>70</v>
      </c>
      <c r="B81" s="709">
        <v>8860</v>
      </c>
      <c r="C81" s="81" t="s">
        <v>932</v>
      </c>
      <c r="D81" s="399">
        <v>21.762288025067189</v>
      </c>
      <c r="E81" s="399">
        <v>24.549359181245222</v>
      </c>
      <c r="F81" s="399">
        <v>32.80869151137356</v>
      </c>
      <c r="G81" s="399">
        <v>33.522309067922535</v>
      </c>
      <c r="H81" s="399">
        <v>28.534492332786037</v>
      </c>
      <c r="I81" s="399">
        <v>22.993415003722383</v>
      </c>
      <c r="J81" s="399">
        <v>18.117578411274408</v>
      </c>
      <c r="K81" s="399">
        <v>20.670504950599391</v>
      </c>
      <c r="L81" s="399">
        <v>23.773586802020912</v>
      </c>
      <c r="M81" s="399">
        <v>27.610750298747782</v>
      </c>
      <c r="N81" s="399">
        <v>30.600288868728018</v>
      </c>
      <c r="O81" s="399">
        <v>23.916832593997441</v>
      </c>
      <c r="P81" s="81">
        <f t="shared" si="4"/>
        <v>308.86009704748483</v>
      </c>
      <c r="Q81" s="81"/>
      <c r="R81" s="81"/>
      <c r="S81" s="81"/>
      <c r="Y81" s="906"/>
    </row>
    <row r="82" spans="1:25">
      <c r="A82" s="859">
        <f t="shared" si="5"/>
        <v>71</v>
      </c>
      <c r="B82" s="709">
        <v>8870</v>
      </c>
      <c r="C82" s="81" t="s">
        <v>933</v>
      </c>
      <c r="D82" s="399">
        <v>2378.3000338233833</v>
      </c>
      <c r="E82" s="399">
        <v>2491.4517815897702</v>
      </c>
      <c r="F82" s="399">
        <v>2927.1348771559228</v>
      </c>
      <c r="G82" s="399">
        <v>2882.0665001620314</v>
      </c>
      <c r="H82" s="399">
        <v>2590.7060500691841</v>
      </c>
      <c r="I82" s="399">
        <v>2353.1337449446914</v>
      </c>
      <c r="J82" s="399">
        <v>2470.0364184417986</v>
      </c>
      <c r="K82" s="399">
        <v>2502.1703268633892</v>
      </c>
      <c r="L82" s="399">
        <v>2281.1767625991033</v>
      </c>
      <c r="M82" s="399">
        <v>2488.6223807268689</v>
      </c>
      <c r="N82" s="399">
        <v>2234.4933051692801</v>
      </c>
      <c r="O82" s="399">
        <v>2423.8093673064473</v>
      </c>
      <c r="P82" s="81">
        <f t="shared" si="4"/>
        <v>30023.101548851871</v>
      </c>
      <c r="Q82" s="81"/>
      <c r="R82" s="153"/>
      <c r="S82" s="81"/>
      <c r="Y82" s="906"/>
    </row>
    <row r="83" spans="1:25">
      <c r="A83" s="859">
        <f t="shared" si="5"/>
        <v>72</v>
      </c>
      <c r="B83" s="709">
        <v>8890</v>
      </c>
      <c r="C83" s="705" t="s">
        <v>934</v>
      </c>
      <c r="D83" s="399">
        <v>2.6232761967087077</v>
      </c>
      <c r="E83" s="399">
        <v>2.9767054015136454</v>
      </c>
      <c r="F83" s="399">
        <v>4.0515362512259472</v>
      </c>
      <c r="G83" s="399">
        <v>4.1665140737131141</v>
      </c>
      <c r="H83" s="399">
        <v>3.5021273170934766</v>
      </c>
      <c r="I83" s="399">
        <v>2.799263561984942</v>
      </c>
      <c r="J83" s="399">
        <v>2.1461599082191753</v>
      </c>
      <c r="K83" s="399">
        <v>2.4571028901708964</v>
      </c>
      <c r="L83" s="399">
        <v>2.8954894684102217</v>
      </c>
      <c r="M83" s="399">
        <v>3.372152583920228</v>
      </c>
      <c r="N83" s="399">
        <v>3.7636498262325397</v>
      </c>
      <c r="O83" s="399">
        <v>2.8951121591999955</v>
      </c>
      <c r="P83" s="81">
        <f t="shared" si="4"/>
        <v>37.649089638392894</v>
      </c>
      <c r="Q83" s="81"/>
      <c r="R83" s="81"/>
      <c r="S83" s="81"/>
      <c r="Y83" s="906"/>
    </row>
    <row r="84" spans="1:25">
      <c r="A84" s="859">
        <f t="shared" si="5"/>
        <v>73</v>
      </c>
      <c r="B84" s="709">
        <v>8900</v>
      </c>
      <c r="C84" s="81" t="s">
        <v>935</v>
      </c>
      <c r="D84" s="399">
        <v>638.93953336095183</v>
      </c>
      <c r="E84" s="399">
        <v>725.02268826378827</v>
      </c>
      <c r="F84" s="399">
        <v>986.81438309895896</v>
      </c>
      <c r="G84" s="399">
        <v>1014.8190119439811</v>
      </c>
      <c r="H84" s="399">
        <v>852.99733080405781</v>
      </c>
      <c r="I84" s="399">
        <v>681.80398095061093</v>
      </c>
      <c r="J84" s="399">
        <v>522.73047420473756</v>
      </c>
      <c r="K84" s="399">
        <v>598.46545172611388</v>
      </c>
      <c r="L84" s="399">
        <v>705.24129030665279</v>
      </c>
      <c r="M84" s="399">
        <v>821.33997216731836</v>
      </c>
      <c r="N84" s="399">
        <v>916.69518700476851</v>
      </c>
      <c r="O84" s="399">
        <v>705.14939080670035</v>
      </c>
      <c r="P84" s="81">
        <f t="shared" si="4"/>
        <v>9170.0186946386402</v>
      </c>
      <c r="Q84" s="81"/>
      <c r="R84" s="81"/>
      <c r="S84" s="81"/>
      <c r="Y84" s="906"/>
    </row>
    <row r="85" spans="1:25">
      <c r="A85" s="859">
        <f t="shared" si="5"/>
        <v>74</v>
      </c>
      <c r="B85" s="709">
        <v>8910</v>
      </c>
      <c r="C85" s="81" t="s">
        <v>936</v>
      </c>
      <c r="D85" s="399">
        <v>310.47912685765004</v>
      </c>
      <c r="E85" s="399">
        <v>342.65906839047125</v>
      </c>
      <c r="F85" s="399">
        <v>426.1019534732261</v>
      </c>
      <c r="G85" s="399">
        <v>423.71396411067292</v>
      </c>
      <c r="H85" s="399">
        <v>379.96202296452452</v>
      </c>
      <c r="I85" s="399">
        <v>316.06999858189579</v>
      </c>
      <c r="J85" s="399">
        <v>274.87721578058199</v>
      </c>
      <c r="K85" s="399">
        <v>309.90722110280456</v>
      </c>
      <c r="L85" s="399">
        <v>326.25337055710253</v>
      </c>
      <c r="M85" s="399">
        <v>374.86746497234896</v>
      </c>
      <c r="N85" s="399">
        <v>404.00573543643463</v>
      </c>
      <c r="O85" s="399">
        <v>335.95586422304336</v>
      </c>
      <c r="P85" s="81">
        <f t="shared" si="4"/>
        <v>4224.8530064507568</v>
      </c>
      <c r="Q85" s="81"/>
      <c r="R85" s="81"/>
      <c r="S85" s="81"/>
      <c r="Y85" s="906"/>
    </row>
    <row r="86" spans="1:25">
      <c r="A86" s="859">
        <f t="shared" si="5"/>
        <v>75</v>
      </c>
      <c r="B86" s="709">
        <v>8920</v>
      </c>
      <c r="C86" s="81" t="s">
        <v>937</v>
      </c>
      <c r="D86" s="399">
        <v>7.4054417384335149</v>
      </c>
      <c r="E86" s="399">
        <v>8.4031633615426813</v>
      </c>
      <c r="F86" s="399">
        <v>11.437383412867028</v>
      </c>
      <c r="G86" s="399">
        <v>11.76196287068735</v>
      </c>
      <c r="H86" s="399">
        <v>9.8864160166784192</v>
      </c>
      <c r="I86" s="399">
        <v>7.9022495781450592</v>
      </c>
      <c r="J86" s="399">
        <v>6.0585546354666722</v>
      </c>
      <c r="K86" s="399">
        <v>6.936338736015176</v>
      </c>
      <c r="L86" s="399">
        <v>8.1738928556064341</v>
      </c>
      <c r="M86" s="399">
        <v>9.5195006628203096</v>
      </c>
      <c r="N86" s="399">
        <v>10.624687384042689</v>
      </c>
      <c r="O86" s="399">
        <v>8.1728277213376099</v>
      </c>
      <c r="P86" s="81">
        <f t="shared" si="4"/>
        <v>106.28241897364295</v>
      </c>
      <c r="Q86" s="81"/>
      <c r="R86" s="81"/>
      <c r="S86" s="81"/>
      <c r="Y86" s="906"/>
    </row>
    <row r="87" spans="1:25">
      <c r="A87" s="859">
        <f t="shared" si="5"/>
        <v>76</v>
      </c>
      <c r="B87" s="709">
        <v>8930</v>
      </c>
      <c r="C87" s="81" t="s">
        <v>938</v>
      </c>
      <c r="D87" s="399">
        <v>7225.739916185109</v>
      </c>
      <c r="E87" s="399">
        <v>7817.6583541071222</v>
      </c>
      <c r="F87" s="399">
        <v>7225.739916185109</v>
      </c>
      <c r="G87" s="399">
        <v>7521.6993920121904</v>
      </c>
      <c r="H87" s="399">
        <v>7817.6583541071222</v>
      </c>
      <c r="I87" s="399">
        <v>6929.7626093460422</v>
      </c>
      <c r="J87" s="399">
        <v>7747.3503737725559</v>
      </c>
      <c r="K87" s="399">
        <v>7747.3503737725559</v>
      </c>
      <c r="L87" s="399">
        <v>7442.512113670663</v>
      </c>
      <c r="M87" s="399">
        <v>8052.1881047303368</v>
      </c>
      <c r="N87" s="399">
        <v>7137.6740540865385</v>
      </c>
      <c r="O87" s="399">
        <v>7747.3503737725559</v>
      </c>
      <c r="P87" s="81">
        <f t="shared" si="4"/>
        <v>90412.683935747889</v>
      </c>
      <c r="Q87" s="81"/>
      <c r="R87" s="81"/>
      <c r="S87" s="81"/>
      <c r="Y87" s="906"/>
    </row>
    <row r="88" spans="1:25">
      <c r="A88" s="859">
        <f t="shared" si="5"/>
        <v>77</v>
      </c>
      <c r="B88" s="709">
        <v>8940</v>
      </c>
      <c r="C88" s="81" t="s">
        <v>939</v>
      </c>
      <c r="D88" s="399">
        <v>739.73195846633803</v>
      </c>
      <c r="E88" s="399">
        <v>958.44604793110409</v>
      </c>
      <c r="F88" s="399">
        <v>1165.541372859328</v>
      </c>
      <c r="G88" s="399">
        <v>1175.6552792708312</v>
      </c>
      <c r="H88" s="399">
        <v>985.45750917093892</v>
      </c>
      <c r="I88" s="399">
        <v>791.55360975802569</v>
      </c>
      <c r="J88" s="399">
        <v>614.48478615254703</v>
      </c>
      <c r="K88" s="399">
        <v>701.039180255666</v>
      </c>
      <c r="L88" s="399">
        <v>819.11890968288139</v>
      </c>
      <c r="M88" s="399">
        <v>950.47680750504344</v>
      </c>
      <c r="N88" s="399">
        <v>1059.3478260606391</v>
      </c>
      <c r="O88" s="399">
        <v>818.18529972031399</v>
      </c>
      <c r="P88" s="81">
        <f t="shared" si="4"/>
        <v>10779.038586833656</v>
      </c>
      <c r="Q88" s="81"/>
      <c r="R88" s="81"/>
      <c r="S88" s="81"/>
      <c r="Y88" s="906"/>
    </row>
    <row r="89" spans="1:25">
      <c r="A89" s="859">
        <f t="shared" si="5"/>
        <v>78</v>
      </c>
      <c r="B89" s="836">
        <v>9010</v>
      </c>
      <c r="C89" s="80" t="s">
        <v>182</v>
      </c>
      <c r="D89" s="399">
        <v>29.964446471664957</v>
      </c>
      <c r="E89" s="399">
        <v>33.744926615890883</v>
      </c>
      <c r="F89" s="399">
        <v>43.633576826939262</v>
      </c>
      <c r="G89" s="399">
        <v>44.932966624250298</v>
      </c>
      <c r="H89" s="399">
        <v>38.773465104286977</v>
      </c>
      <c r="I89" s="399">
        <v>31.449720394447262</v>
      </c>
      <c r="J89" s="399">
        <v>25.748936205904474</v>
      </c>
      <c r="K89" s="399">
        <v>28.724808939944086</v>
      </c>
      <c r="L89" s="399">
        <v>32.715410634467048</v>
      </c>
      <c r="M89" s="399">
        <v>37.68723793664774</v>
      </c>
      <c r="N89" s="399">
        <v>40.819152642886415</v>
      </c>
      <c r="O89" s="399">
        <v>32.916766683382399</v>
      </c>
      <c r="P89" s="81">
        <f t="shared" si="4"/>
        <v>421.11141508071182</v>
      </c>
      <c r="Q89" s="81"/>
      <c r="R89" s="81"/>
      <c r="S89" s="81"/>
      <c r="Y89" s="906"/>
    </row>
    <row r="90" spans="1:25">
      <c r="A90" s="859">
        <f t="shared" si="5"/>
        <v>79</v>
      </c>
      <c r="B90" s="709">
        <v>9020</v>
      </c>
      <c r="C90" s="81" t="s">
        <v>940</v>
      </c>
      <c r="D90" s="399">
        <v>98184.772679432994</v>
      </c>
      <c r="E90" s="399">
        <v>94615.534025949106</v>
      </c>
      <c r="F90" s="399">
        <v>169881.83577302637</v>
      </c>
      <c r="G90" s="399">
        <v>152858.51508531618</v>
      </c>
      <c r="H90" s="399">
        <v>107643.29217139675</v>
      </c>
      <c r="I90" s="399">
        <v>104495.02963436945</v>
      </c>
      <c r="J90" s="399">
        <v>95807.49470694123</v>
      </c>
      <c r="K90" s="399">
        <v>100276.7350076838</v>
      </c>
      <c r="L90" s="399">
        <v>77338.846168068703</v>
      </c>
      <c r="M90" s="399">
        <v>85797.39417717859</v>
      </c>
      <c r="N90" s="399">
        <v>77031.942487349559</v>
      </c>
      <c r="O90" s="399">
        <v>87901.85785513946</v>
      </c>
      <c r="P90" s="81">
        <f t="shared" si="4"/>
        <v>1251833.2497718523</v>
      </c>
      <c r="Q90" s="81"/>
      <c r="R90" s="81"/>
      <c r="S90" s="81"/>
      <c r="Y90" s="906"/>
    </row>
    <row r="91" spans="1:25">
      <c r="A91" s="859">
        <f t="shared" si="5"/>
        <v>80</v>
      </c>
      <c r="B91" s="709">
        <v>9030</v>
      </c>
      <c r="C91" s="81" t="s">
        <v>945</v>
      </c>
      <c r="D91" s="399">
        <v>137945.51274153357</v>
      </c>
      <c r="E91" s="399">
        <v>128420.00236607419</v>
      </c>
      <c r="F91" s="399">
        <v>263487.6103323634</v>
      </c>
      <c r="G91" s="399">
        <v>233867.30334301476</v>
      </c>
      <c r="H91" s="399">
        <v>149630.30272488494</v>
      </c>
      <c r="I91" s="399">
        <v>148459.65382335737</v>
      </c>
      <c r="J91" s="399">
        <v>132539.90510033013</v>
      </c>
      <c r="K91" s="399">
        <v>138465.50708497077</v>
      </c>
      <c r="L91" s="399">
        <v>99898.732163102482</v>
      </c>
      <c r="M91" s="399">
        <v>111479.40818925994</v>
      </c>
      <c r="N91" s="399">
        <v>101273.5014738903</v>
      </c>
      <c r="O91" s="399">
        <v>116931.77496762756</v>
      </c>
      <c r="P91" s="81">
        <f t="shared" si="4"/>
        <v>1762399.2143104097</v>
      </c>
      <c r="Q91" s="81"/>
      <c r="R91" s="81"/>
      <c r="S91" s="81"/>
      <c r="Y91" s="906"/>
    </row>
    <row r="92" spans="1:25">
      <c r="A92" s="859">
        <f t="shared" si="5"/>
        <v>81</v>
      </c>
      <c r="B92" s="709">
        <v>9040</v>
      </c>
      <c r="C92" s="81" t="s">
        <v>946</v>
      </c>
      <c r="D92" s="96">
        <f>-0.005*SUM(D17,D19,D23,D35,D36,D38)</f>
        <v>23762.019539619268</v>
      </c>
      <c r="E92" s="96">
        <f t="shared" ref="E92:O92" si="6">-0.005*SUM(E17,E19,E23,E35,E36,E38)</f>
        <v>24524.91013879031</v>
      </c>
      <c r="F92" s="96">
        <f t="shared" si="6"/>
        <v>22207.571712194829</v>
      </c>
      <c r="G92" s="96">
        <f t="shared" si="6"/>
        <v>22172.952463907117</v>
      </c>
      <c r="H92" s="96">
        <f t="shared" si="6"/>
        <v>21871.741500848806</v>
      </c>
      <c r="I92" s="96">
        <f t="shared" si="6"/>
        <v>21676.185075813533</v>
      </c>
      <c r="J92" s="96">
        <f t="shared" si="6"/>
        <v>26560.646474999423</v>
      </c>
      <c r="K92" s="96">
        <f t="shared" si="6"/>
        <v>41415.794541249801</v>
      </c>
      <c r="L92" s="96">
        <f t="shared" si="6"/>
        <v>48376.670007436762</v>
      </c>
      <c r="M92" s="96">
        <f t="shared" si="6"/>
        <v>43272.442111191995</v>
      </c>
      <c r="N92" s="96">
        <f t="shared" si="6"/>
        <v>32334.096447797128</v>
      </c>
      <c r="O92" s="96">
        <f t="shared" si="6"/>
        <v>33937.228919765541</v>
      </c>
      <c r="P92" s="81">
        <f t="shared" si="4"/>
        <v>362112.25893361459</v>
      </c>
      <c r="Q92" s="81"/>
      <c r="R92" s="81"/>
      <c r="S92" s="81"/>
      <c r="Y92" s="906"/>
    </row>
    <row r="93" spans="1:25">
      <c r="A93" s="859">
        <f t="shared" si="5"/>
        <v>82</v>
      </c>
      <c r="B93" s="709">
        <v>9090</v>
      </c>
      <c r="C93" s="81" t="s">
        <v>947</v>
      </c>
      <c r="D93" s="399">
        <v>10350.161930931572</v>
      </c>
      <c r="E93" s="399">
        <v>11828.592231850018</v>
      </c>
      <c r="F93" s="399">
        <v>11320.247077611837</v>
      </c>
      <c r="G93" s="399">
        <v>10421.565545191741</v>
      </c>
      <c r="H93" s="399">
        <v>11550.703083881974</v>
      </c>
      <c r="I93" s="399">
        <v>10573.123926201017</v>
      </c>
      <c r="J93" s="399">
        <v>11396.692558951923</v>
      </c>
      <c r="K93" s="399">
        <v>11296.252448389952</v>
      </c>
      <c r="L93" s="399">
        <v>10930.922594183961</v>
      </c>
      <c r="M93" s="399">
        <v>11375.256530130215</v>
      </c>
      <c r="N93" s="399">
        <v>10620.779550085845</v>
      </c>
      <c r="O93" s="399">
        <v>11949.308690249993</v>
      </c>
      <c r="P93" s="81">
        <f t="shared" si="4"/>
        <v>133613.60616766004</v>
      </c>
      <c r="Q93" s="81"/>
      <c r="R93" s="153"/>
      <c r="S93" s="81"/>
      <c r="Y93" s="906"/>
    </row>
    <row r="94" spans="1:25">
      <c r="A94" s="859">
        <f t="shared" si="5"/>
        <v>83</v>
      </c>
      <c r="B94" s="709">
        <v>9100</v>
      </c>
      <c r="C94" s="211" t="s">
        <v>948</v>
      </c>
      <c r="D94" s="399">
        <v>0</v>
      </c>
      <c r="E94" s="399">
        <v>0</v>
      </c>
      <c r="F94" s="399">
        <v>0</v>
      </c>
      <c r="G94" s="399">
        <v>0</v>
      </c>
      <c r="H94" s="399">
        <v>0</v>
      </c>
      <c r="I94" s="399"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  <c r="O94" s="399">
        <v>0</v>
      </c>
      <c r="P94" s="81">
        <f t="shared" si="4"/>
        <v>0</v>
      </c>
      <c r="Q94" s="81"/>
      <c r="R94" s="153"/>
      <c r="S94" s="81"/>
      <c r="Y94" s="906"/>
    </row>
    <row r="95" spans="1:25">
      <c r="A95" s="859">
        <f t="shared" si="5"/>
        <v>84</v>
      </c>
      <c r="B95" s="709">
        <v>9110</v>
      </c>
      <c r="C95" s="81" t="s">
        <v>949</v>
      </c>
      <c r="D95" s="399">
        <v>20597.208221392673</v>
      </c>
      <c r="E95" s="399">
        <v>21913.258671345604</v>
      </c>
      <c r="F95" s="399">
        <v>23031.180828829736</v>
      </c>
      <c r="G95" s="399">
        <v>20353.737963201595</v>
      </c>
      <c r="H95" s="399">
        <v>23366.708091721863</v>
      </c>
      <c r="I95" s="399">
        <v>21661.744844618865</v>
      </c>
      <c r="J95" s="399">
        <v>22848.209658092157</v>
      </c>
      <c r="K95" s="399">
        <v>22560.913459615582</v>
      </c>
      <c r="L95" s="399">
        <v>21987.403035531112</v>
      </c>
      <c r="M95" s="399">
        <v>22486.174644204235</v>
      </c>
      <c r="N95" s="399">
        <v>21541.185754824724</v>
      </c>
      <c r="O95" s="399">
        <v>24613.937738297598</v>
      </c>
      <c r="P95" s="81">
        <f t="shared" ref="P95:P108" si="7">SUM(D95:O95)</f>
        <v>266961.66291167575</v>
      </c>
      <c r="Q95" s="81"/>
      <c r="R95" s="153"/>
      <c r="S95" s="81"/>
      <c r="Y95" s="906"/>
    </row>
    <row r="96" spans="1:25">
      <c r="A96" s="859">
        <f t="shared" si="5"/>
        <v>85</v>
      </c>
      <c r="B96" s="709">
        <v>9120</v>
      </c>
      <c r="C96" s="81" t="s">
        <v>950</v>
      </c>
      <c r="D96" s="399">
        <v>9558.9681418768268</v>
      </c>
      <c r="E96" s="399">
        <v>10173.344529650938</v>
      </c>
      <c r="F96" s="399">
        <v>11196.538283443333</v>
      </c>
      <c r="G96" s="399">
        <v>9410.9747929858204</v>
      </c>
      <c r="H96" s="399">
        <v>11651.106127980333</v>
      </c>
      <c r="I96" s="399">
        <v>12074.401517085496</v>
      </c>
      <c r="J96" s="399">
        <v>12910.311088777229</v>
      </c>
      <c r="K96" s="399">
        <v>6569.8752645233899</v>
      </c>
      <c r="L96" s="399">
        <v>10032.512903661907</v>
      </c>
      <c r="M96" s="399">
        <v>12221.323795077822</v>
      </c>
      <c r="N96" s="399">
        <v>12061.722957052425</v>
      </c>
      <c r="O96" s="399">
        <v>13428.863955872168</v>
      </c>
      <c r="P96" s="81">
        <f t="shared" si="7"/>
        <v>131289.94335798768</v>
      </c>
      <c r="Q96" s="81"/>
      <c r="R96" s="153"/>
      <c r="S96" s="81"/>
      <c r="Y96" s="906"/>
    </row>
    <row r="97" spans="1:25">
      <c r="A97" s="859">
        <f t="shared" si="5"/>
        <v>86</v>
      </c>
      <c r="B97" s="709">
        <v>9130</v>
      </c>
      <c r="C97" s="81" t="s">
        <v>951</v>
      </c>
      <c r="D97" s="399">
        <v>3474.6082106275394</v>
      </c>
      <c r="E97" s="399">
        <v>3621.5605473755786</v>
      </c>
      <c r="F97" s="399">
        <v>4043.2984252652363</v>
      </c>
      <c r="G97" s="399">
        <v>2837.6476025595707</v>
      </c>
      <c r="H97" s="399">
        <v>4175.8490290029549</v>
      </c>
      <c r="I97" s="399">
        <v>4392.5689690486752</v>
      </c>
      <c r="J97" s="399">
        <v>4172.0275790556625</v>
      </c>
      <c r="K97" s="399">
        <v>2317.9921993413336</v>
      </c>
      <c r="L97" s="399">
        <v>3367.2511335634836</v>
      </c>
      <c r="M97" s="399">
        <v>4040.8125815806166</v>
      </c>
      <c r="N97" s="399">
        <v>4282.6523760684295</v>
      </c>
      <c r="O97" s="399">
        <v>4756.7545749398332</v>
      </c>
      <c r="P97" s="81">
        <f t="shared" si="7"/>
        <v>45483.023228428916</v>
      </c>
      <c r="Q97" s="81"/>
      <c r="R97" s="153"/>
      <c r="S97" s="81"/>
      <c r="Y97" s="906"/>
    </row>
    <row r="98" spans="1:25">
      <c r="A98" s="859">
        <f t="shared" si="5"/>
        <v>87</v>
      </c>
      <c r="B98" s="709">
        <v>9200</v>
      </c>
      <c r="C98" s="103" t="s">
        <v>1328</v>
      </c>
      <c r="D98" s="399">
        <v>11409.918984015183</v>
      </c>
      <c r="E98" s="399">
        <v>12344.597162329785</v>
      </c>
      <c r="F98" s="399">
        <v>11409.918984015183</v>
      </c>
      <c r="G98" s="399">
        <v>11877.258478780925</v>
      </c>
      <c r="H98" s="399">
        <v>12344.597162329785</v>
      </c>
      <c r="I98" s="399">
        <v>10942.551332907737</v>
      </c>
      <c r="J98" s="399">
        <v>12233.576233144351</v>
      </c>
      <c r="K98" s="399">
        <v>12233.576233144351</v>
      </c>
      <c r="L98" s="399">
        <v>11752.21655353564</v>
      </c>
      <c r="M98" s="399">
        <v>12714.935077199678</v>
      </c>
      <c r="N98" s="399">
        <v>11270.857190557683</v>
      </c>
      <c r="O98" s="399">
        <v>12233.576233144351</v>
      </c>
      <c r="P98" s="81">
        <f t="shared" ref="P98" si="8">SUM(D98:O98)</f>
        <v>142767.57962510464</v>
      </c>
      <c r="Q98" s="81"/>
      <c r="R98" s="153"/>
      <c r="S98" s="81"/>
      <c r="Y98" s="906"/>
    </row>
    <row r="99" spans="1:25">
      <c r="A99" s="859">
        <f t="shared" si="5"/>
        <v>88</v>
      </c>
      <c r="B99" s="709">
        <v>9210</v>
      </c>
      <c r="C99" s="81" t="s">
        <v>952</v>
      </c>
      <c r="D99" s="399">
        <v>276.02232274503115</v>
      </c>
      <c r="E99" s="399">
        <v>-1.7813642583690239</v>
      </c>
      <c r="F99" s="399">
        <v>275.12738362943463</v>
      </c>
      <c r="G99" s="399">
        <v>212.74542055867269</v>
      </c>
      <c r="H99" s="399">
        <v>339.08952270284476</v>
      </c>
      <c r="I99" s="399">
        <v>344.65734059521515</v>
      </c>
      <c r="J99" s="399">
        <v>308.85523548641817</v>
      </c>
      <c r="K99" s="399">
        <v>194.54688484462145</v>
      </c>
      <c r="L99" s="399">
        <v>270.37413966801546</v>
      </c>
      <c r="M99" s="399">
        <v>311.90404145912532</v>
      </c>
      <c r="N99" s="399">
        <v>335.38674505512029</v>
      </c>
      <c r="O99" s="399">
        <v>381.66295727929759</v>
      </c>
      <c r="P99" s="81">
        <f t="shared" si="7"/>
        <v>3248.5906297654274</v>
      </c>
      <c r="Q99" s="81"/>
      <c r="R99" s="153"/>
      <c r="S99" s="81"/>
      <c r="Y99" s="906"/>
    </row>
    <row r="100" spans="1:25">
      <c r="A100" s="859">
        <f t="shared" si="5"/>
        <v>89</v>
      </c>
      <c r="B100" s="709">
        <v>9220</v>
      </c>
      <c r="C100" s="81" t="s">
        <v>953</v>
      </c>
      <c r="D100" s="96">
        <f>-('C.2.2-F 02'!D40+'C.2.2-F 12'!D34+'C.2.2-F 91'!D54)</f>
        <v>1097056.4493648405</v>
      </c>
      <c r="E100" s="96">
        <f>-('C.2.2-F 02'!E40+'C.2.2-F 12'!E34+'C.2.2-F 91'!E54)</f>
        <v>1298088.4481640272</v>
      </c>
      <c r="F100" s="96">
        <f>-('C.2.2-F 02'!F40+'C.2.2-F 12'!F34+'C.2.2-F 91'!F54)</f>
        <v>1075806.3353814555</v>
      </c>
      <c r="G100" s="96">
        <f>-('C.2.2-F 02'!G40+'C.2.2-F 12'!G34+'C.2.2-F 91'!G54)</f>
        <v>1189346.2367628808</v>
      </c>
      <c r="H100" s="96">
        <f>-('C.2.2-F 02'!H40+'C.2.2-F 12'!H34+'C.2.2-F 91'!H54)</f>
        <v>1042326.7158977676</v>
      </c>
      <c r="I100" s="96">
        <f>-('C.2.2-F 02'!I40+'C.2.2-F 12'!I34+'C.2.2-F 91'!I54)</f>
        <v>1050147.9272775655</v>
      </c>
      <c r="J100" s="96">
        <f>-('C.2.2-F 02'!J40+'C.2.2-F 12'!J34+'C.2.2-F 91'!J54)</f>
        <v>1094583.7474056571</v>
      </c>
      <c r="K100" s="96">
        <f>-('C.2.2-F 02'!K40+'C.2.2-F 12'!K34+'C.2.2-F 91'!K54)</f>
        <v>1126524.7775022844</v>
      </c>
      <c r="L100" s="96">
        <f>-('C.2.2-F 02'!L40+'C.2.2-F 12'!L34+'C.2.2-F 91'!L54)</f>
        <v>1099662.2431783644</v>
      </c>
      <c r="M100" s="96">
        <f>-('C.2.2-F 02'!M40+'C.2.2-F 12'!M34+'C.2.2-F 91'!M54)</f>
        <v>1180559.7449054113</v>
      </c>
      <c r="N100" s="96">
        <f>-('C.2.2-F 02'!N40+'C.2.2-F 12'!N34+'C.2.2-F 91'!N54)</f>
        <v>1077417.3706990224</v>
      </c>
      <c r="O100" s="96">
        <f>-('C.2.2-F 02'!O40+'C.2.2-F 12'!O34+'C.2.2-F 91'!O54)</f>
        <v>1255354.5428543836</v>
      </c>
      <c r="P100" s="81">
        <f>SUM(D100:O100)</f>
        <v>13586874.53939366</v>
      </c>
      <c r="Q100" s="673"/>
      <c r="R100" s="153"/>
      <c r="S100" s="81"/>
      <c r="Y100" s="906"/>
    </row>
    <row r="101" spans="1:25">
      <c r="A101" s="859">
        <f t="shared" si="5"/>
        <v>90</v>
      </c>
      <c r="B101" s="709">
        <v>9230</v>
      </c>
      <c r="C101" s="81" t="s">
        <v>954</v>
      </c>
      <c r="D101" s="399">
        <v>5442.351102246299</v>
      </c>
      <c r="E101" s="399">
        <v>4813.2924053762554</v>
      </c>
      <c r="F101" s="399">
        <v>11892.230639486997</v>
      </c>
      <c r="G101" s="399">
        <v>10316.727211396368</v>
      </c>
      <c r="H101" s="399">
        <v>5892.1792087130416</v>
      </c>
      <c r="I101" s="399">
        <v>6037.2621747849598</v>
      </c>
      <c r="J101" s="399">
        <v>5045.9183349906152</v>
      </c>
      <c r="K101" s="399">
        <v>5349.0562074909139</v>
      </c>
      <c r="L101" s="399">
        <v>3418.6418831471237</v>
      </c>
      <c r="M101" s="399">
        <v>3879.5675678206553</v>
      </c>
      <c r="N101" s="399">
        <v>3544.5241579758367</v>
      </c>
      <c r="O101" s="399">
        <v>4217.7850731271619</v>
      </c>
      <c r="P101" s="81">
        <f t="shared" si="7"/>
        <v>69849.535966556228</v>
      </c>
      <c r="Q101" s="81"/>
      <c r="R101" s="153"/>
      <c r="S101" s="81"/>
      <c r="Y101" s="906"/>
    </row>
    <row r="102" spans="1:25">
      <c r="A102" s="859">
        <f t="shared" si="5"/>
        <v>91</v>
      </c>
      <c r="B102" s="709">
        <v>9240</v>
      </c>
      <c r="C102" s="81" t="s">
        <v>955</v>
      </c>
      <c r="D102" s="399">
        <v>394.33366306974824</v>
      </c>
      <c r="E102" s="399">
        <v>591.50049460462242</v>
      </c>
      <c r="F102" s="399">
        <v>394.33366306974824</v>
      </c>
      <c r="G102" s="399">
        <v>531.92653645636017</v>
      </c>
      <c r="H102" s="399">
        <v>394.33366306974824</v>
      </c>
      <c r="I102" s="399">
        <v>394.33366306974824</v>
      </c>
      <c r="J102" s="399">
        <v>394.33366306974824</v>
      </c>
      <c r="K102" s="399">
        <v>394.33366306974824</v>
      </c>
      <c r="L102" s="399">
        <v>394.33366306974824</v>
      </c>
      <c r="M102" s="399">
        <v>887.25074190693363</v>
      </c>
      <c r="N102" s="399">
        <v>394.33366306974824</v>
      </c>
      <c r="O102" s="399">
        <v>394.33366306974824</v>
      </c>
      <c r="P102" s="81">
        <f t="shared" si="7"/>
        <v>5559.6807405956506</v>
      </c>
      <c r="Q102" s="81"/>
      <c r="R102" s="153"/>
      <c r="S102" s="81"/>
      <c r="Y102" s="906"/>
    </row>
    <row r="103" spans="1:25">
      <c r="A103" s="859">
        <f t="shared" si="5"/>
        <v>92</v>
      </c>
      <c r="B103" s="709">
        <v>9250</v>
      </c>
      <c r="C103" s="81" t="s">
        <v>956</v>
      </c>
      <c r="D103" s="399">
        <v>1321.15136120696</v>
      </c>
      <c r="E103" s="399">
        <v>1247.1102885828886</v>
      </c>
      <c r="F103" s="399">
        <v>2509.3293258125286</v>
      </c>
      <c r="G103" s="399">
        <v>2074.4124744442711</v>
      </c>
      <c r="H103" s="399">
        <v>1370.6078478838629</v>
      </c>
      <c r="I103" s="399">
        <v>1738.8079264292269</v>
      </c>
      <c r="J103" s="399">
        <v>1404.6870737932436</v>
      </c>
      <c r="K103" s="399">
        <v>1574.4198452007522</v>
      </c>
      <c r="L103" s="399">
        <v>1068.4357395239983</v>
      </c>
      <c r="M103" s="399">
        <v>1191.4984498848471</v>
      </c>
      <c r="N103" s="399">
        <v>1139.3669154324514</v>
      </c>
      <c r="O103" s="399">
        <v>1301.559650884752</v>
      </c>
      <c r="P103" s="81">
        <f t="shared" si="7"/>
        <v>17941.386899079786</v>
      </c>
      <c r="Q103" s="81"/>
      <c r="R103" s="153"/>
      <c r="S103" s="81"/>
      <c r="Y103" s="906"/>
    </row>
    <row r="104" spans="1:25">
      <c r="A104" s="859">
        <f t="shared" si="5"/>
        <v>93</v>
      </c>
      <c r="B104" s="709">
        <v>9260</v>
      </c>
      <c r="C104" s="81" t="s">
        <v>957</v>
      </c>
      <c r="D104" s="399">
        <v>134036.64589471029</v>
      </c>
      <c r="E104" s="399">
        <v>145518.61444494256</v>
      </c>
      <c r="F104" s="399">
        <v>135758.4131632403</v>
      </c>
      <c r="G104" s="399">
        <v>137968.09830108209</v>
      </c>
      <c r="H104" s="399">
        <v>143859.86088830727</v>
      </c>
      <c r="I104" s="399">
        <v>135503.41628060065</v>
      </c>
      <c r="J104" s="399">
        <v>170236.288926373</v>
      </c>
      <c r="K104" s="399">
        <v>173140.01823495477</v>
      </c>
      <c r="L104" s="399">
        <v>162987.83292098774</v>
      </c>
      <c r="M104" s="399">
        <v>175837.16070539309</v>
      </c>
      <c r="N104" s="399">
        <v>157329.40461890862</v>
      </c>
      <c r="O104" s="399">
        <v>171023.60665024107</v>
      </c>
      <c r="P104" s="81">
        <f t="shared" si="7"/>
        <v>1843199.3610297418</v>
      </c>
      <c r="Q104" s="81"/>
      <c r="R104" s="153"/>
      <c r="S104" s="81"/>
      <c r="Y104" s="906"/>
    </row>
    <row r="105" spans="1:25">
      <c r="A105" s="859">
        <f t="shared" si="5"/>
        <v>94</v>
      </c>
      <c r="B105" s="709">
        <v>9270</v>
      </c>
      <c r="C105" s="81" t="s">
        <v>958</v>
      </c>
      <c r="D105" s="399">
        <v>26.295250087442181</v>
      </c>
      <c r="E105" s="399">
        <v>823.80355297940935</v>
      </c>
      <c r="F105" s="399">
        <v>199.98449944893267</v>
      </c>
      <c r="G105" s="399">
        <v>53.75512915158901</v>
      </c>
      <c r="H105" s="399">
        <v>21.136297982106768</v>
      </c>
      <c r="I105" s="399">
        <v>42.785600433579511</v>
      </c>
      <c r="J105" s="399">
        <v>82.987592800505183</v>
      </c>
      <c r="K105" s="399">
        <v>77.835902190061532</v>
      </c>
      <c r="L105" s="399">
        <v>47.88898431433725</v>
      </c>
      <c r="M105" s="399">
        <v>32.664931964851249</v>
      </c>
      <c r="N105" s="399">
        <v>31.569702114790584</v>
      </c>
      <c r="O105" s="399">
        <v>42.328200774064179</v>
      </c>
      <c r="P105" s="81">
        <f t="shared" si="7"/>
        <v>1483.0356442416694</v>
      </c>
      <c r="Q105" s="81"/>
      <c r="R105" s="153"/>
      <c r="S105" s="81"/>
      <c r="Y105" s="906"/>
    </row>
    <row r="106" spans="1:25">
      <c r="A106" s="859">
        <f t="shared" si="5"/>
        <v>95</v>
      </c>
      <c r="B106" s="709">
        <v>9280</v>
      </c>
      <c r="C106" s="81" t="s">
        <v>959</v>
      </c>
      <c r="D106" s="399">
        <v>0</v>
      </c>
      <c r="E106" s="399">
        <v>0</v>
      </c>
      <c r="F106" s="399">
        <v>0</v>
      </c>
      <c r="G106" s="399">
        <v>0</v>
      </c>
      <c r="H106" s="399">
        <v>0</v>
      </c>
      <c r="I106" s="399">
        <v>0</v>
      </c>
      <c r="J106" s="399">
        <v>0</v>
      </c>
      <c r="K106" s="399">
        <v>0</v>
      </c>
      <c r="L106" s="399">
        <v>0</v>
      </c>
      <c r="M106" s="399">
        <v>0</v>
      </c>
      <c r="N106" s="399">
        <v>0</v>
      </c>
      <c r="O106" s="399">
        <v>0</v>
      </c>
      <c r="P106" s="81">
        <f t="shared" si="7"/>
        <v>0</v>
      </c>
      <c r="Q106" s="81"/>
      <c r="R106" s="153"/>
      <c r="S106" s="81"/>
      <c r="Y106" s="906"/>
    </row>
    <row r="107" spans="1:25">
      <c r="A107" s="859">
        <f t="shared" si="5"/>
        <v>96</v>
      </c>
      <c r="B107" s="709">
        <v>9302</v>
      </c>
      <c r="C107" s="81" t="s">
        <v>864</v>
      </c>
      <c r="D107" s="399">
        <v>332.40281215901928</v>
      </c>
      <c r="E107" s="399">
        <v>1976.360423898564</v>
      </c>
      <c r="F107" s="399">
        <v>1165.4206743832085</v>
      </c>
      <c r="G107" s="399">
        <v>11797.878625976371</v>
      </c>
      <c r="H107" s="399">
        <v>1983.9933773629566</v>
      </c>
      <c r="I107" s="399">
        <v>384.52029011481613</v>
      </c>
      <c r="J107" s="399">
        <v>10935.477996652693</v>
      </c>
      <c r="K107" s="399">
        <v>684.21630705275663</v>
      </c>
      <c r="L107" s="399">
        <v>5642.6403298598962</v>
      </c>
      <c r="M107" s="399">
        <v>8408.650308341952</v>
      </c>
      <c r="N107" s="399">
        <v>2802.6727775416689</v>
      </c>
      <c r="O107" s="399">
        <v>3586.6673805800356</v>
      </c>
      <c r="P107" s="81">
        <f t="shared" si="7"/>
        <v>49700.901303923936</v>
      </c>
      <c r="Q107" s="81"/>
      <c r="R107" s="74"/>
      <c r="S107" s="81"/>
      <c r="Y107" s="906"/>
    </row>
    <row r="108" spans="1:25">
      <c r="A108" s="859">
        <f t="shared" si="5"/>
        <v>97</v>
      </c>
      <c r="B108" s="709">
        <v>9310</v>
      </c>
      <c r="C108" s="103" t="s">
        <v>185</v>
      </c>
      <c r="D108" s="399">
        <v>1033.6335084915243</v>
      </c>
      <c r="E108" s="399">
        <v>1086.7207252654891</v>
      </c>
      <c r="F108" s="399">
        <v>1119.3941648888872</v>
      </c>
      <c r="G108" s="399">
        <v>1021.8603753481474</v>
      </c>
      <c r="H108" s="399">
        <v>1071.552357667365</v>
      </c>
      <c r="I108" s="399">
        <v>966.90788596976756</v>
      </c>
      <c r="J108" s="399">
        <v>1031.9730262605183</v>
      </c>
      <c r="K108" s="399">
        <v>1138.6707588720099</v>
      </c>
      <c r="L108" s="399">
        <v>994.05880373996285</v>
      </c>
      <c r="M108" s="399">
        <v>1112.2114043128511</v>
      </c>
      <c r="N108" s="399">
        <v>1112.9056461137895</v>
      </c>
      <c r="O108" s="399">
        <v>1080.9469029778534</v>
      </c>
      <c r="P108" s="81">
        <f t="shared" si="7"/>
        <v>12770.835559908166</v>
      </c>
      <c r="Q108" s="81"/>
      <c r="R108" s="74"/>
      <c r="S108" s="81"/>
      <c r="Y108" s="906"/>
    </row>
    <row r="109" spans="1:25">
      <c r="A109" s="859">
        <f t="shared" si="5"/>
        <v>98</v>
      </c>
      <c r="B109" s="836">
        <v>9320</v>
      </c>
      <c r="C109" s="80" t="s">
        <v>186</v>
      </c>
      <c r="D109" s="399">
        <v>0</v>
      </c>
      <c r="E109" s="399">
        <v>0</v>
      </c>
      <c r="F109" s="399">
        <v>0</v>
      </c>
      <c r="G109" s="399">
        <v>0</v>
      </c>
      <c r="H109" s="399">
        <v>0</v>
      </c>
      <c r="I109" s="399">
        <v>0</v>
      </c>
      <c r="J109" s="399">
        <v>0</v>
      </c>
      <c r="K109" s="399">
        <v>0</v>
      </c>
      <c r="L109" s="399">
        <v>0</v>
      </c>
      <c r="M109" s="399">
        <v>0</v>
      </c>
      <c r="N109" s="399">
        <v>0</v>
      </c>
      <c r="O109" s="399">
        <v>0</v>
      </c>
      <c r="P109" s="81">
        <f>SUM(D109:O109)</f>
        <v>0</v>
      </c>
      <c r="Q109" s="81"/>
      <c r="R109" s="81"/>
      <c r="S109" s="81"/>
      <c r="Y109" s="906"/>
    </row>
    <row r="110" spans="1:25" ht="15.75" thickBot="1">
      <c r="A110" s="859">
        <f t="shared" si="5"/>
        <v>99</v>
      </c>
      <c r="B110" s="81"/>
      <c r="C110" s="81" t="s">
        <v>741</v>
      </c>
      <c r="D110" s="908">
        <f t="shared" ref="D110:O110" si="9">SUM(D14:D109)</f>
        <v>-3187248.3899862329</v>
      </c>
      <c r="E110" s="908">
        <f t="shared" si="9"/>
        <v>-2005812.1364096331</v>
      </c>
      <c r="F110" s="908">
        <f t="shared" si="9"/>
        <v>-1247348.6303811753</v>
      </c>
      <c r="G110" s="908">
        <f t="shared" si="9"/>
        <v>-945856.91576024867</v>
      </c>
      <c r="H110" s="908">
        <f t="shared" si="9"/>
        <v>-1419090.8846838197</v>
      </c>
      <c r="I110" s="908">
        <f t="shared" si="9"/>
        <v>-1362663.5639955362</v>
      </c>
      <c r="J110" s="908">
        <f t="shared" si="9"/>
        <v>-1820233.66379803</v>
      </c>
      <c r="K110" s="908">
        <f t="shared" si="9"/>
        <v>-3196905.2193419961</v>
      </c>
      <c r="L110" s="908">
        <f t="shared" si="9"/>
        <v>-5120227.8885551095</v>
      </c>
      <c r="M110" s="908">
        <f t="shared" si="9"/>
        <v>-5817679.8066497305</v>
      </c>
      <c r="N110" s="908">
        <f t="shared" si="9"/>
        <v>-6068640.4852563255</v>
      </c>
      <c r="O110" s="908">
        <f t="shared" si="9"/>
        <v>-4636354.7943495708</v>
      </c>
      <c r="P110" s="908">
        <f>SUM(P12:P109)</f>
        <v>-25826625.904537391</v>
      </c>
      <c r="Q110" s="909"/>
      <c r="R110" s="81"/>
      <c r="S110" s="81"/>
      <c r="Y110" s="906"/>
    </row>
    <row r="111" spans="1:25" ht="15.75" thickTop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1:25">
      <c r="A112" s="81"/>
      <c r="B112" s="81"/>
      <c r="C112" s="81" t="s">
        <v>198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1:19">
      <c r="A113" s="81"/>
      <c r="B113" s="81"/>
      <c r="C113" s="217" t="s">
        <v>1225</v>
      </c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1:19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103"/>
      <c r="Q114" s="81"/>
      <c r="R114" s="81"/>
      <c r="S114" s="81"/>
    </row>
    <row r="115" spans="1:19">
      <c r="A115" s="81"/>
      <c r="B115" s="81"/>
      <c r="C115" s="81"/>
      <c r="P115" s="103"/>
      <c r="Q115" s="81"/>
      <c r="R115" s="81"/>
      <c r="S115" s="81"/>
    </row>
    <row r="116" spans="1:19">
      <c r="A116" s="81"/>
      <c r="B116" s="81" t="s">
        <v>961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1:19">
      <c r="A117" s="81"/>
      <c r="B117" s="81" t="s">
        <v>1651</v>
      </c>
      <c r="C117" s="81"/>
      <c r="D117" s="831"/>
      <c r="E117" s="831"/>
      <c r="F117" s="83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1:19">
      <c r="A118" s="81"/>
      <c r="B118" s="81" t="s">
        <v>1660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1:19">
      <c r="A119" s="81"/>
      <c r="B119" s="81" t="s">
        <v>1661</v>
      </c>
      <c r="C119" s="81"/>
      <c r="Q119" s="81"/>
      <c r="R119" s="81"/>
      <c r="S119" s="81"/>
    </row>
    <row r="120" spans="1:19">
      <c r="A120" s="81"/>
      <c r="B120" s="81"/>
      <c r="C120" s="81"/>
      <c r="P120" s="81"/>
      <c r="Q120" s="81"/>
      <c r="R120" s="81"/>
      <c r="S120" s="81"/>
    </row>
    <row r="121" spans="1:19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103"/>
      <c r="R121" s="81"/>
      <c r="S121" s="81"/>
    </row>
    <row r="122" spans="1:19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170"/>
      <c r="P122" s="81"/>
      <c r="Q122" s="103"/>
      <c r="R122" s="81"/>
      <c r="S122" s="81"/>
    </row>
    <row r="123" spans="1:19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170"/>
      <c r="P123" s="431"/>
      <c r="Q123" s="81"/>
      <c r="R123" s="81"/>
      <c r="S123" s="81"/>
    </row>
    <row r="124" spans="1:19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1:19">
      <c r="P125" s="673"/>
    </row>
    <row r="126" spans="1:19">
      <c r="P126" s="735"/>
    </row>
    <row r="127" spans="1:19">
      <c r="C127" s="910"/>
    </row>
    <row r="128" spans="1:19">
      <c r="P128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7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/>
  <dimension ref="A1:R52"/>
  <sheetViews>
    <sheetView view="pageBreakPreview" zoomScale="70" zoomScaleNormal="75" zoomScaleSheetLayoutView="70" workbookViewId="0">
      <pane xSplit="3" ySplit="11" topLeftCell="D15" activePane="bottomRight" state="frozen"/>
      <selection activeCell="F55" sqref="F55"/>
      <selection pane="topRight" activeCell="F55" sqref="F55"/>
      <selection pane="bottomLeft" activeCell="F55" sqref="F55"/>
      <selection pane="bottomRight" activeCell="K54" sqref="K54"/>
    </sheetView>
  </sheetViews>
  <sheetFormatPr defaultColWidth="7.109375" defaultRowHeight="15"/>
  <cols>
    <col min="1" max="1" width="4.6640625" style="80" customWidth="1"/>
    <col min="2" max="2" width="6.6640625" style="80" customWidth="1"/>
    <col min="3" max="3" width="38.88671875" style="80" customWidth="1"/>
    <col min="4" max="4" width="12.5546875" style="80" bestFit="1" customWidth="1"/>
    <col min="5" max="5" width="11.88671875" style="80" bestFit="1" customWidth="1"/>
    <col min="6" max="6" width="11.109375" style="80" customWidth="1"/>
    <col min="7" max="8" width="11.88671875" style="80" bestFit="1" customWidth="1"/>
    <col min="9" max="9" width="11.109375" style="80" customWidth="1"/>
    <col min="10" max="10" width="13.109375" style="80" bestFit="1" customWidth="1"/>
    <col min="11" max="14" width="11.77734375" style="80" bestFit="1" customWidth="1"/>
    <col min="15" max="15" width="12.44140625" style="80" customWidth="1"/>
    <col min="16" max="16" width="12.44140625" style="80" bestFit="1" customWidth="1"/>
    <col min="17" max="17" width="9.6640625" style="80" customWidth="1"/>
    <col min="18" max="18" width="12.5546875" style="80" customWidth="1"/>
    <col min="19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187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 ht="15.75">
      <c r="A6" s="88" t="str">
        <f>'C.2.1 F'!A6</f>
        <v>Data:________Base Period___X____Forecasted Period</v>
      </c>
      <c r="B6" s="81"/>
      <c r="C6" s="88"/>
      <c r="D6" s="81"/>
      <c r="E6" s="81"/>
      <c r="F6" s="91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8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81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1"/>
    </row>
    <row r="12" spans="1:18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35" si="0">SUM(D12:O12)</f>
        <v>0</v>
      </c>
      <c r="Q12" s="81"/>
    </row>
    <row r="13" spans="1:18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8">
      <c r="A14" s="859">
        <f>A13+1</f>
        <v>3</v>
      </c>
      <c r="B14" s="366">
        <v>8210</v>
      </c>
      <c r="C14" s="103" t="s">
        <v>898</v>
      </c>
      <c r="D14" s="599">
        <v>417.46373235735962</v>
      </c>
      <c r="E14" s="599">
        <v>436.57968857395281</v>
      </c>
      <c r="F14" s="599">
        <v>470.88487777219672</v>
      </c>
      <c r="G14" s="599">
        <v>448.43989123283143</v>
      </c>
      <c r="H14" s="599">
        <v>416.30580876683024</v>
      </c>
      <c r="I14" s="599">
        <v>517.84719351221304</v>
      </c>
      <c r="J14" s="599">
        <v>470.91723151957916</v>
      </c>
      <c r="K14" s="599">
        <v>414.64895633508735</v>
      </c>
      <c r="L14" s="599">
        <v>452.31893526110503</v>
      </c>
      <c r="M14" s="599">
        <v>409.06367783959246</v>
      </c>
      <c r="N14" s="599">
        <v>415.07466353748788</v>
      </c>
      <c r="O14" s="599">
        <v>464.99309009097345</v>
      </c>
      <c r="P14" s="81">
        <f t="shared" si="0"/>
        <v>5334.5377467992093</v>
      </c>
      <c r="Q14" s="81"/>
    </row>
    <row r="15" spans="1:18">
      <c r="A15" s="859">
        <f t="shared" ref="A15:A19" si="1">A14+1</f>
        <v>4</v>
      </c>
      <c r="B15" s="709">
        <v>8560</v>
      </c>
      <c r="C15" s="81" t="s">
        <v>917</v>
      </c>
      <c r="D15" s="599">
        <v>0</v>
      </c>
      <c r="E15" s="599">
        <v>0</v>
      </c>
      <c r="F15" s="599">
        <v>0</v>
      </c>
      <c r="G15" s="599">
        <v>0</v>
      </c>
      <c r="H15" s="599">
        <v>0</v>
      </c>
      <c r="I15" s="599">
        <v>0</v>
      </c>
      <c r="J15" s="599">
        <v>0</v>
      </c>
      <c r="K15" s="599">
        <v>0</v>
      </c>
      <c r="L15" s="599">
        <v>0</v>
      </c>
      <c r="M15" s="599">
        <v>0</v>
      </c>
      <c r="N15" s="599">
        <v>0</v>
      </c>
      <c r="O15" s="599">
        <v>0</v>
      </c>
      <c r="P15" s="81">
        <f t="shared" si="0"/>
        <v>0</v>
      </c>
      <c r="Q15" s="81"/>
      <c r="R15" s="693"/>
    </row>
    <row r="16" spans="1:18">
      <c r="A16" s="859">
        <f t="shared" si="1"/>
        <v>5</v>
      </c>
      <c r="B16" s="709">
        <v>8700</v>
      </c>
      <c r="C16" s="81" t="s">
        <v>921</v>
      </c>
      <c r="D16" s="599">
        <v>508.90621179521736</v>
      </c>
      <c r="E16" s="599">
        <v>540.06035883715663</v>
      </c>
      <c r="F16" s="599">
        <v>513.81428516460392</v>
      </c>
      <c r="G16" s="599">
        <v>527.34126942515866</v>
      </c>
      <c r="H16" s="599">
        <v>508.29090289009031</v>
      </c>
      <c r="I16" s="599">
        <v>518.66000878530724</v>
      </c>
      <c r="J16" s="599">
        <v>515.94392051725686</v>
      </c>
      <c r="K16" s="599">
        <v>508.70830816446272</v>
      </c>
      <c r="L16" s="599">
        <v>509.26962536070243</v>
      </c>
      <c r="M16" s="599">
        <v>513.99497939214859</v>
      </c>
      <c r="N16" s="599">
        <v>503.04711720972074</v>
      </c>
      <c r="O16" s="599">
        <v>515.06840441550742</v>
      </c>
      <c r="P16" s="81">
        <f t="shared" si="0"/>
        <v>6183.1053919573333</v>
      </c>
      <c r="Q16" s="81"/>
      <c r="R16" s="693"/>
    </row>
    <row r="17" spans="1:18">
      <c r="A17" s="859">
        <f t="shared" si="1"/>
        <v>6</v>
      </c>
      <c r="B17" s="709">
        <v>8740</v>
      </c>
      <c r="C17" s="81" t="s">
        <v>923</v>
      </c>
      <c r="D17" s="599">
        <v>4744.4151891841402</v>
      </c>
      <c r="E17" s="599">
        <v>4744.2715873156612</v>
      </c>
      <c r="F17" s="599">
        <v>4744.2889501411091</v>
      </c>
      <c r="G17" s="599">
        <v>4744.3413690861498</v>
      </c>
      <c r="H17" s="599">
        <v>4744.1763462365998</v>
      </c>
      <c r="I17" s="599">
        <v>4748.2941069315812</v>
      </c>
      <c r="J17" s="599">
        <v>4744.3711112690626</v>
      </c>
      <c r="K17" s="599">
        <v>4744.1859430476197</v>
      </c>
      <c r="L17" s="599">
        <v>4744.2454274134461</v>
      </c>
      <c r="M17" s="599">
        <v>4744.3474497102125</v>
      </c>
      <c r="N17" s="599">
        <v>4744.1872583130416</v>
      </c>
      <c r="O17" s="599">
        <v>4744.3220564953781</v>
      </c>
      <c r="P17" s="81">
        <f t="shared" si="0"/>
        <v>56935.446795144002</v>
      </c>
      <c r="Q17" s="81"/>
    </row>
    <row r="18" spans="1:18">
      <c r="A18" s="859">
        <f t="shared" si="1"/>
        <v>7</v>
      </c>
      <c r="B18" s="366">
        <v>8780</v>
      </c>
      <c r="C18" s="211" t="s">
        <v>927</v>
      </c>
      <c r="D18" s="599">
        <v>0</v>
      </c>
      <c r="E18" s="599">
        <v>0</v>
      </c>
      <c r="F18" s="599">
        <v>0</v>
      </c>
      <c r="G18" s="599">
        <v>0</v>
      </c>
      <c r="H18" s="599">
        <v>0</v>
      </c>
      <c r="I18" s="599">
        <v>0</v>
      </c>
      <c r="J18" s="599">
        <v>0</v>
      </c>
      <c r="K18" s="599">
        <v>0</v>
      </c>
      <c r="L18" s="599">
        <v>0</v>
      </c>
      <c r="M18" s="599">
        <v>0</v>
      </c>
      <c r="N18" s="599">
        <v>0</v>
      </c>
      <c r="O18" s="599">
        <v>0</v>
      </c>
      <c r="P18" s="81">
        <f t="shared" si="0"/>
        <v>0</v>
      </c>
      <c r="Q18" s="81"/>
    </row>
    <row r="19" spans="1:18">
      <c r="A19" s="859">
        <f t="shared" si="1"/>
        <v>8</v>
      </c>
      <c r="B19" s="709">
        <v>8800</v>
      </c>
      <c r="C19" s="81" t="s">
        <v>929</v>
      </c>
      <c r="D19" s="599">
        <v>21.15653579553663</v>
      </c>
      <c r="E19" s="599">
        <v>18.166293736737067</v>
      </c>
      <c r="F19" s="599">
        <v>18.757342280266776</v>
      </c>
      <c r="G19" s="599">
        <v>19.051192112180289</v>
      </c>
      <c r="H19" s="599">
        <v>18.192361605583159</v>
      </c>
      <c r="I19" s="599">
        <v>20.680445539830188</v>
      </c>
      <c r="J19" s="599">
        <v>18.78563811721375</v>
      </c>
      <c r="K19" s="599">
        <v>18.85924639169987</v>
      </c>
      <c r="L19" s="599">
        <v>19.790766511887888</v>
      </c>
      <c r="M19" s="599">
        <v>19.359849275904793</v>
      </c>
      <c r="N19" s="599">
        <v>18.237161179599195</v>
      </c>
      <c r="O19" s="599">
        <v>18.816872362928592</v>
      </c>
      <c r="P19" s="81">
        <f t="shared" si="0"/>
        <v>229.85370490936819</v>
      </c>
      <c r="Q19" s="81"/>
    </row>
    <row r="20" spans="1:18">
      <c r="A20" s="859">
        <f>A19+1</f>
        <v>9</v>
      </c>
      <c r="B20" s="366">
        <v>8900</v>
      </c>
      <c r="C20" s="80" t="s">
        <v>935</v>
      </c>
      <c r="D20" s="599">
        <v>51.8900586577086</v>
      </c>
      <c r="E20" s="599">
        <v>51.774414776016194</v>
      </c>
      <c r="F20" s="599">
        <v>51.65760864425652</v>
      </c>
      <c r="G20" s="599">
        <v>51.889477532674967</v>
      </c>
      <c r="H20" s="599">
        <v>52.180621174523694</v>
      </c>
      <c r="I20" s="599">
        <v>51.566953139010209</v>
      </c>
      <c r="J20" s="599">
        <v>52.488036317314069</v>
      </c>
      <c r="K20" s="599">
        <v>52.053354792158686</v>
      </c>
      <c r="L20" s="599">
        <v>51.845893155152702</v>
      </c>
      <c r="M20" s="599">
        <v>52.44154631462365</v>
      </c>
      <c r="N20" s="599">
        <v>51.774414776016194</v>
      </c>
      <c r="O20" s="599">
        <v>51.658189769290153</v>
      </c>
      <c r="P20" s="81">
        <f t="shared" si="0"/>
        <v>623.22056904874569</v>
      </c>
      <c r="Q20" s="81"/>
    </row>
    <row r="21" spans="1:18">
      <c r="A21" s="859">
        <f t="shared" ref="A21:A40" si="2">A20+1</f>
        <v>10</v>
      </c>
      <c r="B21" s="709">
        <v>9010</v>
      </c>
      <c r="C21" s="81" t="s">
        <v>182</v>
      </c>
      <c r="D21" s="599">
        <v>1323.6362661933515</v>
      </c>
      <c r="E21" s="599">
        <v>1418.4566428797943</v>
      </c>
      <c r="F21" s="599">
        <v>1489.608387917503</v>
      </c>
      <c r="G21" s="599">
        <v>1434.9585764327373</v>
      </c>
      <c r="H21" s="599">
        <v>1314.1628608343522</v>
      </c>
      <c r="I21" s="599">
        <v>1628.5806517155875</v>
      </c>
      <c r="J21" s="599">
        <v>1489.0660069452254</v>
      </c>
      <c r="K21" s="599">
        <v>1319.3353415886788</v>
      </c>
      <c r="L21" s="599">
        <v>1434.3382072361674</v>
      </c>
      <c r="M21" s="599">
        <v>1302.2221565150094</v>
      </c>
      <c r="N21" s="599">
        <v>1319.7720001331138</v>
      </c>
      <c r="O21" s="599">
        <v>1474.2320374641797</v>
      </c>
      <c r="P21" s="81">
        <f t="shared" si="0"/>
        <v>16948.369135855701</v>
      </c>
      <c r="Q21" s="81"/>
    </row>
    <row r="22" spans="1:18">
      <c r="A22" s="859">
        <f t="shared" si="2"/>
        <v>11</v>
      </c>
      <c r="B22" s="709">
        <v>9030</v>
      </c>
      <c r="C22" s="81" t="s">
        <v>945</v>
      </c>
      <c r="D22" s="599">
        <v>25696.228821413784</v>
      </c>
      <c r="E22" s="599">
        <v>28212.10507232797</v>
      </c>
      <c r="F22" s="599">
        <v>25797.908135714308</v>
      </c>
      <c r="G22" s="599">
        <v>26904.603336032284</v>
      </c>
      <c r="H22" s="599">
        <v>28276.764910942598</v>
      </c>
      <c r="I22" s="599">
        <v>24783.296081379282</v>
      </c>
      <c r="J22" s="599">
        <v>27702.095076540092</v>
      </c>
      <c r="K22" s="599">
        <v>27575.990692556479</v>
      </c>
      <c r="L22" s="599">
        <v>26433.895411848811</v>
      </c>
      <c r="M22" s="599">
        <v>28701.170208768079</v>
      </c>
      <c r="N22" s="599">
        <v>25172.179378131699</v>
      </c>
      <c r="O22" s="599">
        <v>27743.910717740171</v>
      </c>
      <c r="P22" s="81">
        <f t="shared" si="0"/>
        <v>323000.14784339559</v>
      </c>
      <c r="Q22" s="81"/>
    </row>
    <row r="23" spans="1:18">
      <c r="A23" s="859">
        <f t="shared" si="2"/>
        <v>12</v>
      </c>
      <c r="B23" s="709">
        <v>9100</v>
      </c>
      <c r="C23" s="81" t="s">
        <v>948</v>
      </c>
      <c r="D23" s="599">
        <v>2401.0132324353349</v>
      </c>
      <c r="E23" s="599">
        <v>2069.1394378469809</v>
      </c>
      <c r="F23" s="599">
        <v>2138.3852163707752</v>
      </c>
      <c r="G23" s="599">
        <v>2169.0283212923969</v>
      </c>
      <c r="H23" s="599">
        <v>2070.1065908948967</v>
      </c>
      <c r="I23" s="599">
        <v>2357.4979386603754</v>
      </c>
      <c r="J23" s="599">
        <v>2141.5460724897412</v>
      </c>
      <c r="K23" s="599">
        <v>2144.370853633749</v>
      </c>
      <c r="L23" s="599">
        <v>2251.9348601014171</v>
      </c>
      <c r="M23" s="599">
        <v>2199.7021081306343</v>
      </c>
      <c r="N23" s="599">
        <v>2074.9882036871295</v>
      </c>
      <c r="O23" s="599">
        <v>2144.4642961507034</v>
      </c>
      <c r="P23" s="81">
        <f t="shared" si="0"/>
        <v>26162.177131694138</v>
      </c>
      <c r="Q23" s="81"/>
    </row>
    <row r="24" spans="1:18">
      <c r="A24" s="859">
        <f t="shared" si="2"/>
        <v>13</v>
      </c>
      <c r="B24" s="709">
        <v>9120</v>
      </c>
      <c r="C24" s="103" t="s">
        <v>1235</v>
      </c>
      <c r="D24" s="599">
        <v>172.68807242914534</v>
      </c>
      <c r="E24" s="599">
        <v>193.26686370902161</v>
      </c>
      <c r="F24" s="599">
        <v>180.89527721054554</v>
      </c>
      <c r="G24" s="599">
        <v>172.6879965498365</v>
      </c>
      <c r="H24" s="599">
        <v>172.72601208356213</v>
      </c>
      <c r="I24" s="599">
        <v>203.02599192362919</v>
      </c>
      <c r="J24" s="599">
        <v>213.95393476260338</v>
      </c>
      <c r="K24" s="599">
        <v>172.70939451492757</v>
      </c>
      <c r="L24" s="599">
        <v>220.04825550504253</v>
      </c>
      <c r="M24" s="599">
        <v>211.47659746641662</v>
      </c>
      <c r="N24" s="599">
        <v>188.7362076313081</v>
      </c>
      <c r="O24" s="599">
        <v>207.2555339056421</v>
      </c>
      <c r="P24" s="81">
        <f t="shared" si="0"/>
        <v>2309.470137691681</v>
      </c>
      <c r="Q24" s="81"/>
    </row>
    <row r="25" spans="1:18">
      <c r="A25" s="859">
        <f t="shared" si="2"/>
        <v>14</v>
      </c>
      <c r="B25" s="709">
        <v>9200</v>
      </c>
      <c r="C25" s="81" t="s">
        <v>183</v>
      </c>
      <c r="D25" s="599">
        <v>-1510951.8448527134</v>
      </c>
      <c r="E25" s="599">
        <v>-2048872.4094489198</v>
      </c>
      <c r="F25" s="599">
        <v>-1401000.2014029068</v>
      </c>
      <c r="G25" s="599">
        <v>-1599328.7463470688</v>
      </c>
      <c r="H25" s="599">
        <v>-963122.90090656653</v>
      </c>
      <c r="I25" s="599">
        <v>-1370313.2275293521</v>
      </c>
      <c r="J25" s="599">
        <v>-1148299.2070958791</v>
      </c>
      <c r="K25" s="599">
        <v>-1180629.1912470041</v>
      </c>
      <c r="L25" s="599">
        <v>-1315705.1224379386</v>
      </c>
      <c r="M25" s="599">
        <v>-1215814.3147207061</v>
      </c>
      <c r="N25" s="599">
        <v>-1397856.5223813434</v>
      </c>
      <c r="O25" s="599">
        <v>-1911772.9041612968</v>
      </c>
      <c r="P25" s="81">
        <f t="shared" si="0"/>
        <v>-17063666.592531696</v>
      </c>
      <c r="Q25" s="81"/>
    </row>
    <row r="26" spans="1:18">
      <c r="A26" s="859">
        <f t="shared" si="2"/>
        <v>15</v>
      </c>
      <c r="B26" s="709">
        <v>9210</v>
      </c>
      <c r="C26" s="81" t="s">
        <v>952</v>
      </c>
      <c r="D26" s="599">
        <v>2668114.0041461242</v>
      </c>
      <c r="E26" s="599">
        <v>2624703.2944104914</v>
      </c>
      <c r="F26" s="599">
        <v>2585457.7481587417</v>
      </c>
      <c r="G26" s="599">
        <v>2639147.9396634516</v>
      </c>
      <c r="H26" s="599">
        <v>2596631.7574786907</v>
      </c>
      <c r="I26" s="599">
        <v>2789719.5015507694</v>
      </c>
      <c r="J26" s="599">
        <v>2947347.0606119558</v>
      </c>
      <c r="K26" s="599">
        <v>2478371.1901257671</v>
      </c>
      <c r="L26" s="599">
        <v>2661407.3268217808</v>
      </c>
      <c r="M26" s="599">
        <v>2572877.7591287256</v>
      </c>
      <c r="N26" s="599">
        <v>2472793.6948613296</v>
      </c>
      <c r="O26" s="599">
        <v>2635976.8364414549</v>
      </c>
      <c r="P26" s="81">
        <f t="shared" si="0"/>
        <v>31672548.113399282</v>
      </c>
      <c r="Q26" s="81"/>
    </row>
    <row r="27" spans="1:18">
      <c r="A27" s="859">
        <f t="shared" si="2"/>
        <v>16</v>
      </c>
      <c r="B27" s="709">
        <v>9220</v>
      </c>
      <c r="C27" s="81" t="s">
        <v>953</v>
      </c>
      <c r="D27" s="96">
        <f t="shared" ref="D27:O27" si="3">-(SUM(D12:D26,D28:D35))</f>
        <v>-8149412.0779545931</v>
      </c>
      <c r="E27" s="96">
        <f t="shared" si="3"/>
        <v>-11290391.094896812</v>
      </c>
      <c r="F27" s="96">
        <f t="shared" si="3"/>
        <v>-8345078.483152464</v>
      </c>
      <c r="G27" s="96">
        <f t="shared" si="3"/>
        <v>-9582779.1766251251</v>
      </c>
      <c r="H27" s="96">
        <f t="shared" si="3"/>
        <v>-7929889.0864029462</v>
      </c>
      <c r="I27" s="96">
        <f t="shared" si="3"/>
        <v>-7842749.0782723716</v>
      </c>
      <c r="J27" s="96">
        <f t="shared" si="3"/>
        <v>-8614674.3972411696</v>
      </c>
      <c r="K27" s="96">
        <f t="shared" si="3"/>
        <v>-8594391.0521940887</v>
      </c>
      <c r="L27" s="96">
        <f t="shared" si="3"/>
        <v>-8663954.3290609606</v>
      </c>
      <c r="M27" s="96">
        <f t="shared" si="3"/>
        <v>-8843933.6049652249</v>
      </c>
      <c r="N27" s="96">
        <f t="shared" si="3"/>
        <v>-8225187.8621448707</v>
      </c>
      <c r="O27" s="96">
        <f t="shared" si="3"/>
        <v>-10839628.965703387</v>
      </c>
      <c r="P27" s="81">
        <f t="shared" si="0"/>
        <v>-106922069.20861401</v>
      </c>
      <c r="Q27" s="81"/>
    </row>
    <row r="28" spans="1:18">
      <c r="A28" s="859">
        <f t="shared" si="2"/>
        <v>17</v>
      </c>
      <c r="B28" s="709">
        <v>9230</v>
      </c>
      <c r="C28" s="81" t="s">
        <v>954</v>
      </c>
      <c r="D28" s="599">
        <v>1011978.358727075</v>
      </c>
      <c r="E28" s="599">
        <v>870890.81186934386</v>
      </c>
      <c r="F28" s="599">
        <v>898792.34168862773</v>
      </c>
      <c r="G28" s="599">
        <v>913195.17386625218</v>
      </c>
      <c r="H28" s="599">
        <v>872293.79998339224</v>
      </c>
      <c r="I28" s="599">
        <v>991299.4412941332</v>
      </c>
      <c r="J28" s="599">
        <v>904989.26648231968</v>
      </c>
      <c r="K28" s="599">
        <v>902452.16740749427</v>
      </c>
      <c r="L28" s="599">
        <v>947969.71947690879</v>
      </c>
      <c r="M28" s="599">
        <v>927072.06836201495</v>
      </c>
      <c r="N28" s="599">
        <v>873525.90986351634</v>
      </c>
      <c r="O28" s="599">
        <v>901082.54023610323</v>
      </c>
      <c r="P28" s="81">
        <f t="shared" si="0"/>
        <v>11015541.59925718</v>
      </c>
      <c r="Q28" s="81"/>
    </row>
    <row r="29" spans="1:18">
      <c r="A29" s="859">
        <f t="shared" si="2"/>
        <v>18</v>
      </c>
      <c r="B29" s="709">
        <v>9240</v>
      </c>
      <c r="C29" s="81" t="s">
        <v>955</v>
      </c>
      <c r="D29" s="599">
        <v>21412.89676616382</v>
      </c>
      <c r="E29" s="599">
        <v>20958.717229047084</v>
      </c>
      <c r="F29" s="599">
        <v>21062.299903714676</v>
      </c>
      <c r="G29" s="599">
        <v>21269.158136648184</v>
      </c>
      <c r="H29" s="599">
        <v>21117.760476401767</v>
      </c>
      <c r="I29" s="599">
        <v>21241.418265050321</v>
      </c>
      <c r="J29" s="599">
        <v>22658.948268776498</v>
      </c>
      <c r="K29" s="599">
        <v>20756.558708245342</v>
      </c>
      <c r="L29" s="599">
        <v>21456.099886766111</v>
      </c>
      <c r="M29" s="599">
        <v>21070.048212049205</v>
      </c>
      <c r="N29" s="599">
        <v>20788.827818773883</v>
      </c>
      <c r="O29" s="599">
        <v>20853.019654988144</v>
      </c>
      <c r="P29" s="81">
        <f t="shared" si="0"/>
        <v>254645.75332662504</v>
      </c>
      <c r="Q29" s="81"/>
    </row>
    <row r="30" spans="1:18">
      <c r="A30" s="859">
        <f t="shared" si="2"/>
        <v>19</v>
      </c>
      <c r="B30" s="709">
        <v>9250</v>
      </c>
      <c r="C30" s="81" t="s">
        <v>956</v>
      </c>
      <c r="D30" s="599">
        <v>1744153.8208850448</v>
      </c>
      <c r="E30" s="599">
        <v>1745185.0711671284</v>
      </c>
      <c r="F30" s="599">
        <v>1744152.787552597</v>
      </c>
      <c r="G30" s="599">
        <v>1744669.7043513651</v>
      </c>
      <c r="H30" s="599">
        <v>1745185.0711671284</v>
      </c>
      <c r="I30" s="599">
        <v>1743636.8787508537</v>
      </c>
      <c r="J30" s="599">
        <v>1728868.7379848175</v>
      </c>
      <c r="K30" s="599">
        <v>1743578.9110492105</v>
      </c>
      <c r="L30" s="599">
        <v>1743062.6846219201</v>
      </c>
      <c r="M30" s="599">
        <v>1744059.0983710168</v>
      </c>
      <c r="N30" s="599">
        <v>1742591.6913638581</v>
      </c>
      <c r="O30" s="599">
        <v>1744182.849553619</v>
      </c>
      <c r="P30" s="81">
        <f t="shared" si="0"/>
        <v>20913327.306818556</v>
      </c>
      <c r="Q30" s="81"/>
      <c r="R30" s="693"/>
    </row>
    <row r="31" spans="1:18">
      <c r="A31" s="859">
        <f t="shared" si="2"/>
        <v>20</v>
      </c>
      <c r="B31" s="709">
        <v>9260</v>
      </c>
      <c r="C31" s="81" t="s">
        <v>957</v>
      </c>
      <c r="D31" s="599">
        <v>3340906.7499115812</v>
      </c>
      <c r="E31" s="599">
        <v>7254891.0700546764</v>
      </c>
      <c r="F31" s="599">
        <v>3400033.837087071</v>
      </c>
      <c r="G31" s="599">
        <v>5038132.3728565508</v>
      </c>
      <c r="H31" s="599">
        <v>2828315.8391657374</v>
      </c>
      <c r="I31" s="599">
        <v>2651093.0287964768</v>
      </c>
      <c r="J31" s="599">
        <v>3309324.5149138803</v>
      </c>
      <c r="K31" s="599">
        <v>3809076.2416086351</v>
      </c>
      <c r="L31" s="599">
        <v>3575065.2186541674</v>
      </c>
      <c r="M31" s="599">
        <v>3876193.8081836943</v>
      </c>
      <c r="N31" s="599">
        <v>3606055.5071672285</v>
      </c>
      <c r="O31" s="599">
        <v>3710378.4655436999</v>
      </c>
      <c r="P31" s="81">
        <f t="shared" si="0"/>
        <v>46399466.653943397</v>
      </c>
      <c r="Q31" s="81"/>
    </row>
    <row r="32" spans="1:18">
      <c r="A32" s="859">
        <f t="shared" si="2"/>
        <v>21</v>
      </c>
      <c r="B32" s="709">
        <v>9301</v>
      </c>
      <c r="C32" s="81" t="s">
        <v>184</v>
      </c>
      <c r="D32" s="599">
        <v>0</v>
      </c>
      <c r="E32" s="599">
        <v>0</v>
      </c>
      <c r="F32" s="599">
        <v>0</v>
      </c>
      <c r="G32" s="599">
        <v>0</v>
      </c>
      <c r="H32" s="599">
        <v>0</v>
      </c>
      <c r="I32" s="599">
        <v>0</v>
      </c>
      <c r="J32" s="599">
        <v>0</v>
      </c>
      <c r="K32" s="599">
        <v>0</v>
      </c>
      <c r="L32" s="599">
        <v>0</v>
      </c>
      <c r="M32" s="599">
        <v>0</v>
      </c>
      <c r="N32" s="599">
        <v>0</v>
      </c>
      <c r="O32" s="599">
        <v>0</v>
      </c>
      <c r="P32" s="81">
        <f t="shared" si="0"/>
        <v>0</v>
      </c>
      <c r="Q32" s="81"/>
    </row>
    <row r="33" spans="1:17">
      <c r="A33" s="859">
        <f t="shared" si="2"/>
        <v>22</v>
      </c>
      <c r="B33" s="709">
        <v>9302</v>
      </c>
      <c r="C33" s="81" t="s">
        <v>864</v>
      </c>
      <c r="D33" s="599">
        <v>319096.14360692439</v>
      </c>
      <c r="E33" s="599">
        <v>268389.20282109</v>
      </c>
      <c r="F33" s="599">
        <v>544004.01733116969</v>
      </c>
      <c r="G33" s="599">
        <v>271141.85482186795</v>
      </c>
      <c r="H33" s="599">
        <v>274702.21475933818</v>
      </c>
      <c r="I33" s="599">
        <v>462706.62925572234</v>
      </c>
      <c r="J33" s="599">
        <v>256849.68235021725</v>
      </c>
      <c r="K33" s="599">
        <v>236088.82688873549</v>
      </c>
      <c r="L33" s="599">
        <v>475499.21606570622</v>
      </c>
      <c r="M33" s="599">
        <v>362896.88558530266</v>
      </c>
      <c r="N33" s="599">
        <v>356861.98855914682</v>
      </c>
      <c r="O33" s="599">
        <v>3185191.5625060443</v>
      </c>
      <c r="P33" s="81">
        <f t="shared" si="0"/>
        <v>7013428.2245512651</v>
      </c>
      <c r="Q33" s="81"/>
    </row>
    <row r="34" spans="1:17">
      <c r="A34" s="859">
        <f t="shared" si="2"/>
        <v>23</v>
      </c>
      <c r="B34" s="709">
        <v>9310</v>
      </c>
      <c r="C34" s="81" t="s">
        <v>185</v>
      </c>
      <c r="D34" s="599">
        <v>485861.10153526528</v>
      </c>
      <c r="E34" s="599">
        <v>484564.40095544909</v>
      </c>
      <c r="F34" s="599">
        <v>484825.0526888899</v>
      </c>
      <c r="G34" s="599">
        <v>485004.95491631149</v>
      </c>
      <c r="H34" s="599">
        <v>484626.01813811035</v>
      </c>
      <c r="I34" s="599">
        <v>485628.05937894864</v>
      </c>
      <c r="J34" s="599">
        <v>516849.59033918037</v>
      </c>
      <c r="K34" s="599">
        <v>516228.91780010139</v>
      </c>
      <c r="L34" s="599">
        <v>485351.08633891132</v>
      </c>
      <c r="M34" s="599">
        <v>485061.3100018471</v>
      </c>
      <c r="N34" s="599">
        <v>484538.29619715386</v>
      </c>
      <c r="O34" s="599">
        <v>484780.49106873869</v>
      </c>
      <c r="P34" s="81">
        <f t="shared" si="0"/>
        <v>5883319.2793589076</v>
      </c>
      <c r="Q34" s="81"/>
    </row>
    <row r="35" spans="1:17">
      <c r="A35" s="859">
        <f t="shared" si="2"/>
        <v>24</v>
      </c>
      <c r="B35" s="709">
        <v>9320</v>
      </c>
      <c r="C35" s="81" t="s">
        <v>186</v>
      </c>
      <c r="D35" s="599">
        <v>33503.449108866414</v>
      </c>
      <c r="E35" s="599">
        <v>31997.115478500029</v>
      </c>
      <c r="F35" s="599">
        <v>32344.400063343295</v>
      </c>
      <c r="G35" s="599">
        <v>33074.422930050569</v>
      </c>
      <c r="H35" s="599">
        <v>32566.61972528421</v>
      </c>
      <c r="I35" s="599">
        <v>32907.899138181725</v>
      </c>
      <c r="J35" s="599">
        <v>38736.636357422547</v>
      </c>
      <c r="K35" s="599">
        <v>31516.567761880207</v>
      </c>
      <c r="L35" s="599">
        <v>33730.41225034363</v>
      </c>
      <c r="M35" s="599">
        <v>32363.163267866981</v>
      </c>
      <c r="N35" s="599">
        <v>31400.472290608275</v>
      </c>
      <c r="O35" s="599">
        <v>31591.383661638134</v>
      </c>
      <c r="P35" s="81">
        <f t="shared" si="0"/>
        <v>395732.54203398607</v>
      </c>
      <c r="Q35" s="81"/>
    </row>
    <row r="36" spans="1:17" ht="15.75" thickBot="1">
      <c r="A36" s="859">
        <f t="shared" si="2"/>
        <v>25</v>
      </c>
      <c r="B36" s="81" t="s">
        <v>741</v>
      </c>
      <c r="C36" s="81"/>
      <c r="D36" s="908">
        <f t="shared" ref="D36:P36" si="4">SUM(D12:D35)</f>
        <v>-6.7666405811905861E-10</v>
      </c>
      <c r="E36" s="908">
        <f t="shared" si="4"/>
        <v>-2.2082531359046698E-9</v>
      </c>
      <c r="F36" s="908">
        <f t="shared" si="4"/>
        <v>-5.0931703299283981E-11</v>
      </c>
      <c r="G36" s="908">
        <f t="shared" si="4"/>
        <v>6.2573235481977463E-10</v>
      </c>
      <c r="H36" s="908">
        <f t="shared" si="4"/>
        <v>-2.4738255888223648E-10</v>
      </c>
      <c r="I36" s="908">
        <f t="shared" si="4"/>
        <v>-9.6770236268639565E-10</v>
      </c>
      <c r="J36" s="908">
        <f t="shared" si="4"/>
        <v>-1.964508555829525E-10</v>
      </c>
      <c r="K36" s="908">
        <f t="shared" si="4"/>
        <v>3.8562575355172157E-10</v>
      </c>
      <c r="L36" s="908">
        <f t="shared" si="4"/>
        <v>-1.8262653611600399E-9</v>
      </c>
      <c r="M36" s="908">
        <f t="shared" si="4"/>
        <v>2.1464074961841106E-10</v>
      </c>
      <c r="N36" s="908">
        <f t="shared" si="4"/>
        <v>8.149072527885437E-10</v>
      </c>
      <c r="O36" s="908">
        <f t="shared" si="4"/>
        <v>-3.8962753023952246E-9</v>
      </c>
      <c r="P36" s="908">
        <f t="shared" si="4"/>
        <v>-2.9103830456733704E-9</v>
      </c>
      <c r="Q36" s="81"/>
    </row>
    <row r="37" spans="1:17" ht="15.75" thickTop="1">
      <c r="A37" s="859">
        <f t="shared" si="2"/>
        <v>26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59">
        <f t="shared" si="2"/>
        <v>27</v>
      </c>
      <c r="B38" s="709">
        <f t="shared" ref="B38:O38" si="5">B27</f>
        <v>9220</v>
      </c>
      <c r="C38" s="81" t="str">
        <f t="shared" si="5"/>
        <v>A&amp;G-Administrative expense transferred-Credit</v>
      </c>
      <c r="D38" s="81">
        <f t="shared" si="5"/>
        <v>-8149412.0779545931</v>
      </c>
      <c r="E38" s="81">
        <f t="shared" si="5"/>
        <v>-11290391.094896812</v>
      </c>
      <c r="F38" s="81">
        <f t="shared" si="5"/>
        <v>-8345078.483152464</v>
      </c>
      <c r="G38" s="81">
        <f t="shared" si="5"/>
        <v>-9582779.1766251251</v>
      </c>
      <c r="H38" s="81">
        <f t="shared" si="5"/>
        <v>-7929889.0864029462</v>
      </c>
      <c r="I38" s="81">
        <f t="shared" si="5"/>
        <v>-7842749.0782723716</v>
      </c>
      <c r="J38" s="81">
        <f t="shared" si="5"/>
        <v>-8614674.3972411696</v>
      </c>
      <c r="K38" s="81">
        <f t="shared" si="5"/>
        <v>-8594391.0521940887</v>
      </c>
      <c r="L38" s="81">
        <f t="shared" si="5"/>
        <v>-8663954.3290609606</v>
      </c>
      <c r="M38" s="81">
        <f t="shared" si="5"/>
        <v>-8843933.6049652249</v>
      </c>
      <c r="N38" s="81">
        <f t="shared" si="5"/>
        <v>-8225187.8621448707</v>
      </c>
      <c r="O38" s="81">
        <f t="shared" si="5"/>
        <v>-10839628.965703387</v>
      </c>
      <c r="P38" s="81"/>
      <c r="Q38" s="81"/>
    </row>
    <row r="39" spans="1:17">
      <c r="A39" s="859">
        <f t="shared" si="2"/>
        <v>28</v>
      </c>
      <c r="B39" s="81"/>
      <c r="C39" s="81" t="s">
        <v>196</v>
      </c>
      <c r="D39" s="915">
        <f>Allocation!$E$14</f>
        <v>4.8896160000000001E-2</v>
      </c>
      <c r="E39" s="915">
        <f>D39</f>
        <v>4.8896160000000001E-2</v>
      </c>
      <c r="F39" s="915">
        <f t="shared" ref="F39:O39" si="6">E39</f>
        <v>4.8896160000000001E-2</v>
      </c>
      <c r="G39" s="915">
        <f t="shared" si="6"/>
        <v>4.8896160000000001E-2</v>
      </c>
      <c r="H39" s="915">
        <f t="shared" si="6"/>
        <v>4.8896160000000001E-2</v>
      </c>
      <c r="I39" s="915">
        <f t="shared" si="6"/>
        <v>4.8896160000000001E-2</v>
      </c>
      <c r="J39" s="915">
        <f t="shared" si="6"/>
        <v>4.8896160000000001E-2</v>
      </c>
      <c r="K39" s="915">
        <f t="shared" si="6"/>
        <v>4.8896160000000001E-2</v>
      </c>
      <c r="L39" s="915">
        <f t="shared" si="6"/>
        <v>4.8896160000000001E-2</v>
      </c>
      <c r="M39" s="915">
        <f t="shared" si="6"/>
        <v>4.8896160000000001E-2</v>
      </c>
      <c r="N39" s="915">
        <f t="shared" si="6"/>
        <v>4.8896160000000001E-2</v>
      </c>
      <c r="O39" s="915">
        <f t="shared" si="6"/>
        <v>4.8896160000000001E-2</v>
      </c>
      <c r="P39" s="74"/>
      <c r="Q39" s="81"/>
    </row>
    <row r="40" spans="1:17">
      <c r="A40" s="859">
        <f t="shared" si="2"/>
        <v>29</v>
      </c>
      <c r="B40" s="81"/>
      <c r="C40" s="81" t="s">
        <v>211</v>
      </c>
      <c r="D40" s="81">
        <f t="shared" ref="D40:N40" si="7">ROUND(D38*D39,3)</f>
        <v>-398474.95699999999</v>
      </c>
      <c r="E40" s="81">
        <f t="shared" si="7"/>
        <v>-552056.76899999997</v>
      </c>
      <c r="F40" s="81">
        <f t="shared" si="7"/>
        <v>-408042.29300000001</v>
      </c>
      <c r="G40" s="81">
        <f t="shared" si="7"/>
        <v>-468561.10399999999</v>
      </c>
      <c r="H40" s="81">
        <f t="shared" si="7"/>
        <v>-387741.12599999999</v>
      </c>
      <c r="I40" s="81">
        <f t="shared" si="7"/>
        <v>-383480.31400000001</v>
      </c>
      <c r="J40" s="81">
        <f t="shared" si="7"/>
        <v>-421224.49800000002</v>
      </c>
      <c r="K40" s="81">
        <f t="shared" si="7"/>
        <v>-420232.72</v>
      </c>
      <c r="L40" s="81">
        <f t="shared" si="7"/>
        <v>-423634.09700000001</v>
      </c>
      <c r="M40" s="81">
        <f t="shared" si="7"/>
        <v>-432434.39299999998</v>
      </c>
      <c r="N40" s="81">
        <f t="shared" si="7"/>
        <v>-402180.10200000001</v>
      </c>
      <c r="O40" s="81">
        <f>ROUND(O38*O39,3)</f>
        <v>-530016.23199999996</v>
      </c>
      <c r="P40" s="81">
        <f>SUM(D40:O40)</f>
        <v>-5228078.6050000004</v>
      </c>
      <c r="Q40" s="916"/>
    </row>
    <row r="41" spans="1:17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 t="s">
        <v>568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890"/>
      <c r="Q43" s="81"/>
    </row>
    <row r="44" spans="1:17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>
      <c r="A45" s="81"/>
      <c r="B45" s="81"/>
      <c r="C45" s="17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74"/>
      <c r="Q45" s="81"/>
    </row>
    <row r="46" spans="1:17">
      <c r="A46" s="81"/>
      <c r="B46" s="81" t="s">
        <v>961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74"/>
      <c r="Q46" s="81"/>
    </row>
    <row r="47" spans="1:17">
      <c r="A47" s="81"/>
      <c r="B47" s="81" t="s">
        <v>1651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74"/>
      <c r="Q47" s="81"/>
    </row>
    <row r="48" spans="1:17">
      <c r="A48" s="81"/>
      <c r="B48" s="81"/>
      <c r="C48" s="81"/>
      <c r="D48" s="431"/>
      <c r="E48" s="431"/>
      <c r="F48" s="431"/>
      <c r="G48" s="431"/>
      <c r="H48" s="431"/>
      <c r="I48" s="431"/>
      <c r="J48" s="431"/>
      <c r="K48" s="831"/>
      <c r="L48" s="831"/>
      <c r="M48" s="831"/>
      <c r="N48" s="831"/>
      <c r="O48" s="831"/>
      <c r="P48" s="831"/>
      <c r="Q48" s="81"/>
    </row>
    <row r="49" spans="1:17">
      <c r="A49" s="81"/>
      <c r="B49" s="81"/>
      <c r="C49" s="81"/>
      <c r="D49" s="831"/>
      <c r="E49" s="831"/>
      <c r="F49" s="831"/>
      <c r="G49" s="831"/>
      <c r="H49" s="831"/>
      <c r="I49" s="831"/>
      <c r="J49" s="831"/>
      <c r="K49" s="81"/>
      <c r="L49" s="81"/>
      <c r="M49" s="81"/>
      <c r="N49" s="81"/>
      <c r="O49" s="831"/>
      <c r="P49" s="831"/>
      <c r="Q49" s="81"/>
    </row>
    <row r="50" spans="1:17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31"/>
      <c r="P50" s="831"/>
      <c r="Q50" s="81"/>
    </row>
    <row r="51" spans="1:17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31"/>
      <c r="P51" s="831"/>
      <c r="Q51" s="81"/>
    </row>
    <row r="52" spans="1:17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31"/>
      <c r="P52" s="831"/>
      <c r="Q52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49" fitToHeight="2" orientation="landscape" verticalDpi="300" r:id="rId1"/>
  <headerFooter alignWithMargins="0">
    <oddFooter>&amp;RSchedule 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2">
    <pageSetUpPr fitToPage="1"/>
  </sheetPr>
  <dimension ref="A1:Q43"/>
  <sheetViews>
    <sheetView view="pageBreakPreview" zoomScale="70" zoomScaleNormal="90" zoomScaleSheetLayoutView="70" workbookViewId="0">
      <selection activeCell="L13" sqref="L13"/>
    </sheetView>
  </sheetViews>
  <sheetFormatPr defaultColWidth="9.6640625" defaultRowHeight="15"/>
  <cols>
    <col min="1" max="1" width="4.6640625" style="40" customWidth="1"/>
    <col min="2" max="2" width="40" style="40" customWidth="1"/>
    <col min="3" max="3" width="12.6640625" style="40" customWidth="1"/>
    <col min="4" max="4" width="1.77734375" style="40" customWidth="1"/>
    <col min="5" max="5" width="13.109375" style="40" bestFit="1" customWidth="1"/>
    <col min="6" max="6" width="3" style="40" customWidth="1"/>
    <col min="7" max="7" width="13.6640625" style="40" customWidth="1"/>
    <col min="8" max="8" width="3" style="40" customWidth="1"/>
    <col min="9" max="9" width="2.109375" style="40" customWidth="1"/>
    <col min="10" max="10" width="11.77734375" style="40" customWidth="1"/>
    <col min="11" max="11" width="2.21875" style="40" customWidth="1"/>
    <col min="12" max="12" width="12.44140625" style="40" customWidth="1"/>
    <col min="13" max="13" width="5.6640625" style="40" customWidth="1"/>
    <col min="14" max="14" width="11.44140625" style="40" customWidth="1"/>
    <col min="15" max="15" width="1.77734375" style="40" customWidth="1"/>
    <col min="16" max="16" width="12" style="40" customWidth="1"/>
    <col min="17" max="17" width="15.6640625" style="40" customWidth="1"/>
    <col min="18" max="18" width="18.6640625" style="40" customWidth="1"/>
    <col min="19" max="19" width="11.6640625" style="40" customWidth="1"/>
    <col min="20" max="20" width="9.6640625" style="40"/>
    <col min="21" max="21" width="23.6640625" style="40" customWidth="1"/>
    <col min="22" max="22" width="14.6640625" style="40" customWidth="1"/>
    <col min="23" max="23" width="18.6640625" style="40" customWidth="1"/>
    <col min="24" max="24" width="13.6640625" style="40" customWidth="1"/>
    <col min="25" max="25" width="29.6640625" style="40" customWidth="1"/>
    <col min="26" max="26" width="9.6640625" style="40"/>
    <col min="27" max="27" width="14.6640625" style="40" customWidth="1"/>
    <col min="28" max="28" width="13.6640625" style="40" customWidth="1"/>
    <col min="29" max="29" width="11.6640625" style="40" customWidth="1"/>
    <col min="30" max="30" width="9.6640625" style="40"/>
    <col min="31" max="31" width="4.6640625" style="40" customWidth="1"/>
    <col min="32" max="32" width="48.6640625" style="40" customWidth="1"/>
    <col min="33" max="33" width="9.6640625" style="40"/>
    <col min="34" max="37" width="10.6640625" style="40" customWidth="1"/>
    <col min="38" max="39" width="9.6640625" style="40"/>
    <col min="40" max="40" width="4.6640625" style="40" customWidth="1"/>
    <col min="41" max="41" width="50.6640625" style="40" customWidth="1"/>
    <col min="42" max="42" width="9.6640625" style="40"/>
    <col min="43" max="43" width="11.6640625" style="40" customWidth="1"/>
    <col min="44" max="44" width="9.6640625" style="40"/>
    <col min="45" max="46" width="4.6640625" style="40" customWidth="1"/>
    <col min="47" max="47" width="40.6640625" style="40" customWidth="1"/>
    <col min="48" max="48" width="1.6640625" style="40" customWidth="1"/>
    <col min="49" max="52" width="11.6640625" style="40" customWidth="1"/>
    <col min="53" max="54" width="9.6640625" style="40"/>
    <col min="55" max="55" width="4.6640625" style="40" customWidth="1"/>
    <col min="56" max="56" width="30.6640625" style="40" customWidth="1"/>
    <col min="57" max="65" width="9.6640625" style="40"/>
    <col min="66" max="66" width="14.6640625" style="40" customWidth="1"/>
    <col min="67" max="68" width="9.6640625" style="40"/>
    <col min="69" max="69" width="12.6640625" style="40" customWidth="1"/>
    <col min="70" max="70" width="10.6640625" style="40" customWidth="1"/>
    <col min="71" max="16384" width="9.6640625" style="40"/>
  </cols>
  <sheetData>
    <row r="1" spans="1:16" s="1" customFormat="1">
      <c r="A1" s="31" t="str">
        <f>'Table of Contents'!A1:C1</f>
        <v>Atmos Energy Corporation, Kentucky/Mid-States Division</v>
      </c>
      <c r="B1" s="30"/>
      <c r="C1" s="30"/>
      <c r="D1" s="30"/>
      <c r="E1" s="30"/>
      <c r="F1" s="30"/>
      <c r="G1" s="30"/>
      <c r="H1" s="30"/>
    </row>
    <row r="2" spans="1:16" s="1" customFormat="1">
      <c r="A2" s="31" t="str">
        <f>'Table of Contents'!A2:C2</f>
        <v>Kentucky Jurisdiction Case No. 2017-00349</v>
      </c>
      <c r="B2" s="30"/>
      <c r="C2" s="30"/>
      <c r="D2" s="30"/>
      <c r="E2" s="30"/>
      <c r="F2" s="30"/>
      <c r="G2" s="30"/>
      <c r="H2" s="30"/>
    </row>
    <row r="3" spans="1:16" s="1" customFormat="1">
      <c r="A3" s="31" t="s">
        <v>1008</v>
      </c>
      <c r="B3" s="30"/>
      <c r="C3" s="30"/>
      <c r="D3" s="30"/>
      <c r="E3" s="30"/>
      <c r="F3" s="30"/>
      <c r="G3" s="30"/>
      <c r="H3" s="30"/>
    </row>
    <row r="4" spans="1:16" s="1" customFormat="1">
      <c r="A4" s="31" t="str">
        <f>'Table of Contents'!A4:C4</f>
        <v>Forecasted Test Period: Twelve Months Ended March 31, 2019</v>
      </c>
      <c r="B4" s="30"/>
      <c r="C4" s="30"/>
      <c r="D4" s="30"/>
      <c r="E4" s="30"/>
      <c r="F4" s="30"/>
      <c r="G4" s="30"/>
      <c r="H4" s="30"/>
    </row>
    <row r="5" spans="1:16" s="1" customFormat="1">
      <c r="A5" s="31"/>
      <c r="B5" s="30"/>
      <c r="C5" s="30"/>
      <c r="D5" s="30"/>
      <c r="E5" s="30"/>
      <c r="F5" s="30"/>
      <c r="G5" s="30"/>
      <c r="H5" s="30"/>
    </row>
    <row r="6" spans="1:16" s="1" customFormat="1">
      <c r="D6" s="3"/>
      <c r="E6" s="3"/>
      <c r="F6" s="3"/>
    </row>
    <row r="7" spans="1:16" s="1" customFormat="1">
      <c r="A7" s="4" t="s">
        <v>414</v>
      </c>
      <c r="G7" s="377" t="s">
        <v>1431</v>
      </c>
      <c r="H7" s="4"/>
      <c r="I7" s="770"/>
    </row>
    <row r="8" spans="1:16" s="1" customFormat="1">
      <c r="A8" s="4" t="s">
        <v>621</v>
      </c>
      <c r="G8" s="490" t="s">
        <v>58</v>
      </c>
      <c r="H8" s="4"/>
      <c r="I8" s="770"/>
    </row>
    <row r="9" spans="1:16" s="1" customFormat="1">
      <c r="A9" s="5" t="s">
        <v>369</v>
      </c>
      <c r="B9" s="6"/>
      <c r="C9" s="6"/>
      <c r="D9" s="7"/>
      <c r="E9" s="7"/>
      <c r="F9" s="7"/>
      <c r="G9" s="551" t="s">
        <v>1205</v>
      </c>
      <c r="H9" s="5"/>
      <c r="I9" s="771"/>
    </row>
    <row r="10" spans="1:16" s="1" customFormat="1">
      <c r="D10" s="8"/>
      <c r="E10" s="2" t="s">
        <v>45</v>
      </c>
      <c r="F10" s="8"/>
      <c r="G10" s="2" t="s">
        <v>44</v>
      </c>
      <c r="I10" s="770"/>
    </row>
    <row r="11" spans="1:16" s="1" customFormat="1">
      <c r="C11" s="2" t="s">
        <v>1195</v>
      </c>
      <c r="D11" s="8"/>
      <c r="E11" s="2" t="s">
        <v>98</v>
      </c>
      <c r="F11" s="8"/>
      <c r="G11" s="2" t="s">
        <v>98</v>
      </c>
      <c r="I11" s="770"/>
    </row>
    <row r="12" spans="1:16" s="1" customFormat="1">
      <c r="A12" s="2" t="s">
        <v>94</v>
      </c>
      <c r="C12" s="2" t="s">
        <v>59</v>
      </c>
      <c r="D12" s="8"/>
      <c r="E12" s="2" t="s">
        <v>601</v>
      </c>
      <c r="F12" s="8"/>
      <c r="G12" s="2" t="s">
        <v>601</v>
      </c>
      <c r="I12" s="770"/>
      <c r="J12" s="738"/>
      <c r="K12" s="739"/>
      <c r="L12" s="738"/>
      <c r="M12" s="738"/>
      <c r="N12" s="738"/>
      <c r="O12" s="738"/>
      <c r="P12" s="738"/>
    </row>
    <row r="13" spans="1:16" s="1" customFormat="1">
      <c r="A13" s="9" t="s">
        <v>100</v>
      </c>
      <c r="B13" s="436" t="s">
        <v>993</v>
      </c>
      <c r="C13" s="436" t="s">
        <v>102</v>
      </c>
      <c r="D13" s="1034"/>
      <c r="E13" s="436" t="s">
        <v>999</v>
      </c>
      <c r="F13" s="1034"/>
      <c r="G13" s="436" t="s">
        <v>999</v>
      </c>
      <c r="H13" s="6"/>
      <c r="I13" s="771"/>
      <c r="J13" s="738"/>
      <c r="K13" s="738"/>
      <c r="L13" s="738"/>
      <c r="M13" s="738"/>
      <c r="N13" s="738"/>
      <c r="O13" s="738"/>
      <c r="P13" s="738"/>
    </row>
    <row r="14" spans="1:16" s="1" customFormat="1">
      <c r="B14" s="1035" t="s">
        <v>757</v>
      </c>
      <c r="C14" s="1035" t="s">
        <v>758</v>
      </c>
      <c r="D14" s="1036"/>
      <c r="E14" s="1035" t="s">
        <v>415</v>
      </c>
      <c r="F14" s="1036"/>
      <c r="G14" s="1035" t="s">
        <v>759</v>
      </c>
      <c r="I14" s="770"/>
      <c r="J14" s="740"/>
      <c r="K14" s="741"/>
      <c r="L14" s="740"/>
      <c r="M14" s="738"/>
      <c r="N14" s="740"/>
      <c r="O14" s="741"/>
      <c r="P14" s="740"/>
    </row>
    <row r="15" spans="1:16" s="1" customFormat="1">
      <c r="B15" s="81"/>
      <c r="C15" s="81"/>
      <c r="D15" s="1036"/>
      <c r="E15" s="1036"/>
      <c r="F15" s="1036"/>
      <c r="G15" s="73"/>
      <c r="H15" s="10"/>
      <c r="I15" s="772"/>
      <c r="J15" s="738"/>
      <c r="K15" s="738"/>
      <c r="L15" s="738"/>
      <c r="M15" s="738"/>
      <c r="N15" s="738"/>
      <c r="O15" s="738"/>
      <c r="P15" s="738"/>
    </row>
    <row r="16" spans="1:16" s="1" customFormat="1">
      <c r="A16" s="2">
        <v>1</v>
      </c>
      <c r="B16" s="88" t="s">
        <v>272</v>
      </c>
      <c r="C16" s="863" t="s">
        <v>371</v>
      </c>
      <c r="D16" s="81"/>
      <c r="E16" s="347">
        <f>'B.1 B'!F27</f>
        <v>366554327.38816023</v>
      </c>
      <c r="F16" s="81"/>
      <c r="G16" s="307">
        <f>'B.1 F '!F27</f>
        <v>426999485.2838006</v>
      </c>
      <c r="H16" s="10"/>
      <c r="I16" s="771"/>
      <c r="J16" s="738"/>
      <c r="K16" s="738"/>
      <c r="L16" s="738"/>
      <c r="M16" s="738"/>
      <c r="N16" s="738"/>
      <c r="O16" s="738"/>
      <c r="P16" s="738"/>
    </row>
    <row r="17" spans="1:17" s="1" customFormat="1">
      <c r="B17" s="81"/>
      <c r="C17" s="81"/>
      <c r="D17" s="81"/>
      <c r="E17" s="81"/>
      <c r="F17" s="81"/>
      <c r="G17" s="73"/>
      <c r="H17" s="10"/>
      <c r="I17" s="771"/>
      <c r="J17" s="738"/>
      <c r="K17" s="738"/>
      <c r="L17" s="738"/>
      <c r="M17" s="738"/>
      <c r="N17" s="738"/>
      <c r="O17" s="738"/>
      <c r="P17" s="738"/>
    </row>
    <row r="18" spans="1:17" s="1" customFormat="1">
      <c r="A18" s="2">
        <v>2</v>
      </c>
      <c r="B18" s="88" t="s">
        <v>125</v>
      </c>
      <c r="C18" s="863" t="s">
        <v>373</v>
      </c>
      <c r="D18" s="81"/>
      <c r="E18" s="307">
        <f>C.1!D26</f>
        <v>28117929.939559296</v>
      </c>
      <c r="F18" s="81"/>
      <c r="G18" s="307">
        <f>C.1!F26</f>
        <v>27168537.453618228</v>
      </c>
      <c r="H18" s="10"/>
      <c r="I18" s="773"/>
      <c r="J18" s="738"/>
      <c r="K18" s="738"/>
      <c r="L18" s="738"/>
      <c r="M18" s="738"/>
      <c r="N18" s="738"/>
      <c r="O18" s="738"/>
      <c r="P18" s="738"/>
    </row>
    <row r="19" spans="1:17" s="1" customFormat="1">
      <c r="B19" s="81"/>
      <c r="C19" s="81"/>
      <c r="D19" s="81"/>
      <c r="E19" s="81"/>
      <c r="F19" s="81"/>
      <c r="G19" s="73"/>
      <c r="H19" s="10"/>
      <c r="I19" s="771"/>
      <c r="J19" s="738"/>
      <c r="K19" s="738"/>
      <c r="L19" s="738"/>
      <c r="M19" s="738"/>
      <c r="N19" s="738"/>
      <c r="O19" s="738"/>
      <c r="P19" s="738"/>
    </row>
    <row r="20" spans="1:17" s="1" customFormat="1">
      <c r="A20" s="2">
        <v>3</v>
      </c>
      <c r="B20" s="88" t="s">
        <v>416</v>
      </c>
      <c r="C20" s="865" t="s">
        <v>143</v>
      </c>
      <c r="D20" s="81"/>
      <c r="E20" s="112">
        <f>ROUND(E18/E16,4)</f>
        <v>7.6700000000000004E-2</v>
      </c>
      <c r="F20" s="81"/>
      <c r="G20" s="112">
        <f>ROUND(G18/G16,4)</f>
        <v>6.3600000000000004E-2</v>
      </c>
      <c r="H20" s="11"/>
      <c r="I20" s="774"/>
      <c r="J20" s="738"/>
      <c r="K20" s="738"/>
      <c r="L20" s="738"/>
      <c r="M20" s="738"/>
      <c r="N20" s="738"/>
      <c r="O20" s="738"/>
      <c r="P20" s="738"/>
    </row>
    <row r="21" spans="1:17" s="1" customFormat="1">
      <c r="B21" s="81"/>
      <c r="C21" s="81"/>
      <c r="D21" s="81"/>
      <c r="E21" s="81"/>
      <c r="F21" s="81"/>
      <c r="G21" s="73"/>
      <c r="H21" s="10"/>
      <c r="I21" s="771"/>
      <c r="J21" s="738"/>
      <c r="K21" s="738"/>
      <c r="L21" s="738"/>
      <c r="M21" s="738"/>
      <c r="N21" s="738"/>
      <c r="O21" s="738"/>
      <c r="P21" s="738"/>
    </row>
    <row r="22" spans="1:17" s="1" customFormat="1">
      <c r="A22" s="2">
        <v>4</v>
      </c>
      <c r="B22" s="88" t="s">
        <v>288</v>
      </c>
      <c r="C22" s="863" t="s">
        <v>1144</v>
      </c>
      <c r="D22" s="81"/>
      <c r="E22" s="831">
        <f>'J-1 Base'!M27</f>
        <v>7.8199999999999992E-2</v>
      </c>
      <c r="F22" s="81"/>
      <c r="G22" s="112">
        <f>'J-1 F'!M28</f>
        <v>7.7300000000000008E-2</v>
      </c>
      <c r="H22" s="11"/>
      <c r="I22" s="775"/>
      <c r="J22" s="742"/>
      <c r="K22" s="738"/>
      <c r="L22" s="742"/>
      <c r="M22" s="738"/>
      <c r="N22" s="742"/>
      <c r="O22" s="738"/>
      <c r="P22" s="742"/>
      <c r="Q22" s="594"/>
    </row>
    <row r="23" spans="1:17" s="1" customFormat="1">
      <c r="B23" s="81"/>
      <c r="C23" s="81"/>
      <c r="D23" s="81"/>
      <c r="E23" s="81"/>
      <c r="F23" s="81"/>
      <c r="G23" s="73"/>
      <c r="H23" s="10"/>
      <c r="I23" s="771"/>
      <c r="J23" s="738"/>
      <c r="K23" s="738"/>
      <c r="L23" s="738"/>
      <c r="M23" s="738"/>
      <c r="N23" s="738"/>
      <c r="O23" s="738"/>
      <c r="P23" s="738"/>
    </row>
    <row r="24" spans="1:17" s="1" customFormat="1">
      <c r="A24" s="2">
        <v>5</v>
      </c>
      <c r="B24" s="88" t="s">
        <v>417</v>
      </c>
      <c r="C24" s="865" t="s">
        <v>373</v>
      </c>
      <c r="D24" s="81"/>
      <c r="E24" s="307">
        <f>ROUND(E16*E22,0)</f>
        <v>28664548</v>
      </c>
      <c r="F24" s="81"/>
      <c r="G24" s="307">
        <f>ROUND(G16*G22,0)</f>
        <v>33007060</v>
      </c>
      <c r="H24" s="10"/>
      <c r="I24" s="773"/>
      <c r="J24" s="738"/>
      <c r="K24" s="738"/>
      <c r="L24" s="738"/>
      <c r="M24" s="738"/>
      <c r="N24" s="738"/>
      <c r="O24" s="738"/>
      <c r="P24" s="738"/>
    </row>
    <row r="25" spans="1:17" s="1" customFormat="1">
      <c r="B25" s="81"/>
      <c r="C25" s="81"/>
      <c r="D25" s="81"/>
      <c r="E25" s="81"/>
      <c r="F25" s="81"/>
      <c r="G25" s="73"/>
      <c r="H25" s="10"/>
      <c r="I25" s="771"/>
      <c r="J25" s="738"/>
      <c r="K25" s="738"/>
      <c r="L25" s="738"/>
      <c r="M25" s="738"/>
      <c r="N25" s="738"/>
      <c r="O25" s="738"/>
      <c r="P25" s="738"/>
    </row>
    <row r="26" spans="1:17" s="1" customFormat="1">
      <c r="A26" s="2">
        <v>6</v>
      </c>
      <c r="B26" s="88" t="s">
        <v>418</v>
      </c>
      <c r="C26" s="865" t="s">
        <v>373</v>
      </c>
      <c r="D26" s="81"/>
      <c r="E26" s="307">
        <f>(E24-E18)</f>
        <v>546618.06044070423</v>
      </c>
      <c r="F26" s="81"/>
      <c r="G26" s="307">
        <f>(G24-G18)</f>
        <v>5838522.5463817716</v>
      </c>
      <c r="H26" s="10"/>
      <c r="I26" s="773"/>
      <c r="J26" s="738"/>
      <c r="K26" s="738"/>
      <c r="L26" s="738"/>
      <c r="M26" s="738"/>
      <c r="N26" s="738"/>
      <c r="O26" s="738"/>
      <c r="P26" s="738"/>
    </row>
    <row r="27" spans="1:17" s="1" customFormat="1">
      <c r="B27" s="81"/>
      <c r="C27" s="81"/>
      <c r="D27" s="81"/>
      <c r="E27" s="81"/>
      <c r="F27" s="81"/>
      <c r="G27" s="73"/>
      <c r="H27" s="10"/>
      <c r="I27" s="771"/>
      <c r="J27" s="738"/>
      <c r="K27" s="738"/>
      <c r="L27" s="738"/>
      <c r="M27" s="738"/>
      <c r="N27" s="738"/>
      <c r="O27" s="738"/>
      <c r="P27" s="738"/>
    </row>
    <row r="28" spans="1:17" s="1" customFormat="1">
      <c r="A28" s="2">
        <v>7</v>
      </c>
      <c r="B28" s="88" t="s">
        <v>127</v>
      </c>
      <c r="C28" s="863" t="s">
        <v>379</v>
      </c>
      <c r="D28" s="81"/>
      <c r="E28" s="489">
        <f>H.1!D34</f>
        <v>1.648191</v>
      </c>
      <c r="F28" s="81"/>
      <c r="G28" s="489">
        <f>H.1!E34</f>
        <v>1.648191</v>
      </c>
      <c r="H28" s="10"/>
      <c r="I28" s="776"/>
      <c r="J28" s="738"/>
      <c r="K28" s="738"/>
      <c r="L28" s="738"/>
      <c r="M28" s="738"/>
      <c r="N28" s="738"/>
      <c r="O28" s="738"/>
      <c r="P28" s="738"/>
    </row>
    <row r="29" spans="1:17" s="1" customFormat="1">
      <c r="E29" s="81"/>
      <c r="F29" s="81"/>
      <c r="G29" s="73"/>
      <c r="H29" s="10"/>
      <c r="I29" s="771"/>
      <c r="J29" s="738"/>
      <c r="K29" s="738"/>
      <c r="L29" s="738"/>
      <c r="M29" s="738"/>
      <c r="N29" s="738"/>
      <c r="O29" s="738"/>
      <c r="P29" s="738"/>
    </row>
    <row r="30" spans="1:17" ht="15.75">
      <c r="A30" s="2">
        <v>8</v>
      </c>
      <c r="B30" s="27" t="s">
        <v>419</v>
      </c>
      <c r="E30" s="396">
        <f>ROUND(E26*E28,0)</f>
        <v>900931</v>
      </c>
      <c r="F30" s="196"/>
      <c r="G30" s="396">
        <f>ROUND(G26*G28,0)</f>
        <v>9623000</v>
      </c>
      <c r="I30" s="777"/>
      <c r="J30" s="738"/>
      <c r="K30" s="738"/>
      <c r="L30" s="738"/>
      <c r="M30" s="743"/>
      <c r="N30" s="738"/>
      <c r="O30" s="738"/>
      <c r="P30" s="738"/>
    </row>
    <row r="31" spans="1:17">
      <c r="E31" s="196"/>
      <c r="F31" s="196"/>
      <c r="G31" s="224"/>
      <c r="H31" s="188"/>
      <c r="I31" s="778"/>
      <c r="J31" s="738"/>
      <c r="K31" s="738"/>
      <c r="L31" s="738"/>
      <c r="M31" s="738"/>
      <c r="N31" s="738"/>
      <c r="O31" s="738"/>
      <c r="P31" s="738"/>
    </row>
    <row r="32" spans="1:17">
      <c r="A32" s="189">
        <v>9</v>
      </c>
      <c r="B32" s="181" t="s">
        <v>1122</v>
      </c>
      <c r="C32" s="189" t="s">
        <v>373</v>
      </c>
      <c r="E32" s="196"/>
      <c r="F32" s="196"/>
      <c r="G32" s="308">
        <f>G30</f>
        <v>9623000</v>
      </c>
      <c r="H32" s="188"/>
      <c r="I32" s="778"/>
      <c r="J32" s="738"/>
      <c r="K32" s="738"/>
      <c r="L32" s="738"/>
      <c r="M32" s="738"/>
      <c r="N32" s="738"/>
      <c r="O32" s="738"/>
      <c r="P32" s="738"/>
    </row>
    <row r="33" spans="1:16">
      <c r="E33" s="196"/>
      <c r="F33" s="196"/>
      <c r="G33" s="224"/>
      <c r="H33" s="188"/>
      <c r="I33" s="778"/>
      <c r="J33" s="738"/>
      <c r="K33" s="738"/>
      <c r="L33" s="738"/>
      <c r="M33" s="738"/>
      <c r="N33" s="738"/>
      <c r="O33" s="738"/>
      <c r="P33" s="738"/>
    </row>
    <row r="34" spans="1:16">
      <c r="A34" s="189">
        <v>10</v>
      </c>
      <c r="B34" s="181" t="s">
        <v>1196</v>
      </c>
      <c r="C34" s="189" t="s">
        <v>373</v>
      </c>
      <c r="E34" s="196"/>
      <c r="F34" s="196"/>
      <c r="G34" s="308">
        <f>C.1!F15</f>
        <v>170729275.9114207</v>
      </c>
      <c r="H34" s="188"/>
      <c r="I34" s="778"/>
      <c r="J34" s="738"/>
      <c r="K34" s="738"/>
      <c r="L34" s="738"/>
      <c r="M34" s="738"/>
      <c r="N34" s="738"/>
      <c r="O34" s="738"/>
      <c r="P34" s="738"/>
    </row>
    <row r="35" spans="1:16">
      <c r="E35" s="196"/>
      <c r="F35" s="196"/>
      <c r="G35" s="224"/>
      <c r="H35" s="188"/>
      <c r="I35" s="778"/>
      <c r="J35" s="738"/>
      <c r="K35" s="738"/>
      <c r="L35" s="738"/>
      <c r="M35" s="738"/>
      <c r="N35" s="738"/>
      <c r="O35" s="738"/>
      <c r="P35" s="738"/>
    </row>
    <row r="36" spans="1:16">
      <c r="A36" s="189">
        <v>11</v>
      </c>
      <c r="B36" s="181" t="s">
        <v>420</v>
      </c>
      <c r="C36" s="189" t="s">
        <v>373</v>
      </c>
      <c r="E36" s="196"/>
      <c r="F36" s="196"/>
      <c r="G36" s="308">
        <f>G32+G34</f>
        <v>180352275.9114207</v>
      </c>
      <c r="H36" s="188"/>
      <c r="I36" s="778"/>
      <c r="J36" s="738" t="s">
        <v>327</v>
      </c>
      <c r="K36" s="738"/>
      <c r="L36" s="738"/>
      <c r="M36" s="738"/>
      <c r="N36" s="738"/>
      <c r="O36" s="738"/>
      <c r="P36" s="738"/>
    </row>
    <row r="37" spans="1:16">
      <c r="G37" s="196"/>
      <c r="I37" s="192"/>
      <c r="J37" s="192"/>
      <c r="K37" s="195"/>
    </row>
    <row r="38" spans="1:16">
      <c r="I38" s="192"/>
      <c r="J38" s="192"/>
      <c r="K38" s="192"/>
    </row>
    <row r="39" spans="1:16">
      <c r="A39" s="192"/>
      <c r="B39" s="225"/>
      <c r="C39" s="226"/>
      <c r="G39" s="738"/>
      <c r="I39" s="192"/>
      <c r="J39" s="192"/>
      <c r="K39" s="192"/>
    </row>
    <row r="40" spans="1:16">
      <c r="A40" s="192"/>
      <c r="B40" s="192"/>
      <c r="C40" s="192"/>
      <c r="G40" s="738"/>
      <c r="H40" s="738"/>
      <c r="I40" s="192"/>
      <c r="J40" s="192"/>
      <c r="K40" s="192"/>
    </row>
    <row r="41" spans="1:16">
      <c r="A41" s="192"/>
      <c r="B41" s="192"/>
      <c r="C41" s="192"/>
      <c r="G41" s="738"/>
      <c r="H41" s="738"/>
    </row>
    <row r="42" spans="1:16">
      <c r="G42" s="738"/>
    </row>
    <row r="43" spans="1:16">
      <c r="G43" s="738"/>
    </row>
  </sheetData>
  <phoneticPr fontId="22" type="noConversion"/>
  <printOptions horizontalCentered="1"/>
  <pageMargins left="0.8" right="0.6" top="0.75" bottom="0.94" header="0.5" footer="0.37"/>
  <pageSetup scale="85" orientation="portrait" verticalDpi="300" r:id="rId1"/>
  <headerFooter alignWithMargins="0">
    <oddFooter>&amp;RSchedule &amp;A
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/>
  <dimension ref="A1:Q45"/>
  <sheetViews>
    <sheetView view="pageBreakPreview" zoomScale="70" zoomScaleNormal="75" zoomScaleSheetLayoutView="70" workbookViewId="0">
      <pane xSplit="3" ySplit="11" topLeftCell="D12" activePane="bottomRight" state="frozen"/>
      <selection activeCell="F55" sqref="F55"/>
      <selection pane="topRight" activeCell="F55" sqref="F55"/>
      <selection pane="bottomLeft" activeCell="F55" sqref="F55"/>
      <selection pane="bottomRight" activeCell="C38" sqref="C38:P42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43.21875" style="80" customWidth="1"/>
    <col min="4" max="4" width="12.44140625" style="80" bestFit="1" customWidth="1"/>
    <col min="5" max="6" width="11.109375" style="80" customWidth="1"/>
    <col min="7" max="7" width="11.77734375" style="80" bestFit="1" customWidth="1"/>
    <col min="8" max="8" width="11.33203125" style="80" bestFit="1" customWidth="1"/>
    <col min="9" max="9" width="11.109375" style="80" customWidth="1"/>
    <col min="10" max="10" width="10.88671875" style="80" customWidth="1"/>
    <col min="11" max="14" width="11.33203125" style="80" bestFit="1" customWidth="1"/>
    <col min="15" max="15" width="12.44140625" style="80" customWidth="1"/>
    <col min="16" max="16" width="12.44140625" style="80" bestFit="1" customWidth="1"/>
    <col min="17" max="17" width="12.44140625" style="80" customWidth="1"/>
    <col min="18" max="18" width="12.5546875" style="80" customWidth="1"/>
    <col min="19" max="19" width="11.33203125" style="80" bestFit="1" customWidth="1"/>
    <col min="20" max="16384" width="7.109375" style="80"/>
  </cols>
  <sheetData>
    <row r="1" spans="1:17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7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7" ht="15.75">
      <c r="A3" s="1172" t="s">
        <v>188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7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7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7" ht="15.75">
      <c r="A6" s="88" t="str">
        <f>'C.2.1 F'!A6</f>
        <v>Data:________Base Period___X____Forecasted Period</v>
      </c>
      <c r="B6" s="81"/>
      <c r="C6" s="88"/>
      <c r="D6" s="81"/>
      <c r="E6" s="91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7">
      <c r="A7" s="88" t="str">
        <f>'C.2.1 F'!A7</f>
        <v>Type of Filing:___X____Original________Updated ________Revised</v>
      </c>
      <c r="B7" s="81"/>
      <c r="C7" s="88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7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7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7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7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7">
      <c r="A12" s="859">
        <v>1</v>
      </c>
      <c r="B12" s="709">
        <v>4030</v>
      </c>
      <c r="C12" s="81" t="s">
        <v>92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81">
        <f t="shared" ref="P12:P28" si="0">SUM(D12:O12)</f>
        <v>0</v>
      </c>
      <c r="Q12" s="81"/>
    </row>
    <row r="13" spans="1:17">
      <c r="A13" s="859">
        <f>A12+1</f>
        <v>2</v>
      </c>
      <c r="B13" s="709">
        <v>4081</v>
      </c>
      <c r="C13" s="81" t="s">
        <v>869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81">
        <f t="shared" si="0"/>
        <v>0</v>
      </c>
      <c r="Q13" s="81"/>
    </row>
    <row r="14" spans="1:17">
      <c r="A14" s="859">
        <f t="shared" ref="A14:A34" si="1">A13+1</f>
        <v>3</v>
      </c>
      <c r="B14" s="709">
        <v>8700</v>
      </c>
      <c r="C14" s="81" t="s">
        <v>921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81">
        <f t="shared" si="0"/>
        <v>0</v>
      </c>
      <c r="Q14" s="81"/>
    </row>
    <row r="15" spans="1:17">
      <c r="A15" s="859">
        <f t="shared" si="1"/>
        <v>4</v>
      </c>
      <c r="B15" s="709">
        <v>8740</v>
      </c>
      <c r="C15" s="81" t="s">
        <v>923</v>
      </c>
      <c r="D15" s="96">
        <v>1699.7957741350851</v>
      </c>
      <c r="E15" s="96">
        <v>1699.7957741350851</v>
      </c>
      <c r="F15" s="96">
        <v>1699.7957741350851</v>
      </c>
      <c r="G15" s="96">
        <v>1699.7957741350851</v>
      </c>
      <c r="H15" s="96">
        <v>1699.7957741350851</v>
      </c>
      <c r="I15" s="96">
        <v>1699.7957741350851</v>
      </c>
      <c r="J15" s="96">
        <v>1699.7957741350851</v>
      </c>
      <c r="K15" s="96">
        <v>1699.7957741350851</v>
      </c>
      <c r="L15" s="96">
        <v>1699.7957741350851</v>
      </c>
      <c r="M15" s="96">
        <v>1699.7957741350851</v>
      </c>
      <c r="N15" s="96">
        <v>1699.7957741350851</v>
      </c>
      <c r="O15" s="96">
        <v>1699.7957741350851</v>
      </c>
      <c r="P15" s="81">
        <f t="shared" si="0"/>
        <v>20397.54928962102</v>
      </c>
      <c r="Q15" s="81"/>
    </row>
    <row r="16" spans="1:17">
      <c r="A16" s="859">
        <f t="shared" si="1"/>
        <v>5</v>
      </c>
      <c r="B16" s="709">
        <v>8800</v>
      </c>
      <c r="C16" s="81" t="s">
        <v>929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81">
        <f t="shared" si="0"/>
        <v>0</v>
      </c>
      <c r="Q16" s="81"/>
    </row>
    <row r="17" spans="1:17">
      <c r="A17" s="859">
        <f t="shared" si="1"/>
        <v>6</v>
      </c>
      <c r="B17" s="709">
        <v>9010</v>
      </c>
      <c r="C17" s="81" t="s">
        <v>182</v>
      </c>
      <c r="D17" s="96">
        <v>407599.36327151145</v>
      </c>
      <c r="E17" s="96">
        <v>436719.28370387777</v>
      </c>
      <c r="F17" s="96">
        <v>402897.05270495708</v>
      </c>
      <c r="G17" s="96">
        <v>418719.15317620337</v>
      </c>
      <c r="H17" s="96">
        <v>432868.3221602572</v>
      </c>
      <c r="I17" s="96">
        <v>380184.34138356434</v>
      </c>
      <c r="J17" s="96">
        <v>426374.65589182265</v>
      </c>
      <c r="K17" s="96">
        <v>421077.81170969491</v>
      </c>
      <c r="L17" s="96">
        <v>405044.69080865697</v>
      </c>
      <c r="M17" s="96">
        <v>452625.47371053754</v>
      </c>
      <c r="N17" s="96">
        <v>397417.33528187376</v>
      </c>
      <c r="O17" s="96">
        <v>432086.5376381324</v>
      </c>
      <c r="P17" s="81">
        <f t="shared" si="0"/>
        <v>5013614.0214410899</v>
      </c>
      <c r="Q17" s="81"/>
    </row>
    <row r="18" spans="1:17">
      <c r="A18" s="859">
        <f t="shared" si="1"/>
        <v>7</v>
      </c>
      <c r="B18" s="366">
        <v>9020</v>
      </c>
      <c r="C18" s="211" t="s">
        <v>940</v>
      </c>
      <c r="D18" s="96">
        <v>3133.9621198343475</v>
      </c>
      <c r="E18" s="96">
        <v>3417.4371457716729</v>
      </c>
      <c r="F18" s="96">
        <v>3127.79310076308</v>
      </c>
      <c r="G18" s="96">
        <v>3200.6432567223255</v>
      </c>
      <c r="H18" s="96">
        <v>3345.4652483815262</v>
      </c>
      <c r="I18" s="96">
        <v>2910.9992240517713</v>
      </c>
      <c r="J18" s="96">
        <v>3303.0166440674016</v>
      </c>
      <c r="K18" s="96">
        <v>3303.0166440674016</v>
      </c>
      <c r="L18" s="96">
        <v>3153.8499418257074</v>
      </c>
      <c r="M18" s="96">
        <v>3526.3143497882279</v>
      </c>
      <c r="N18" s="96">
        <v>3078.8143320204013</v>
      </c>
      <c r="O18" s="96">
        <v>3377.1476856710724</v>
      </c>
      <c r="P18" s="81">
        <f t="shared" si="0"/>
        <v>38878.459692964934</v>
      </c>
      <c r="Q18" s="81"/>
    </row>
    <row r="19" spans="1:17">
      <c r="A19" s="859">
        <f t="shared" si="1"/>
        <v>8</v>
      </c>
      <c r="B19" s="709">
        <v>9030</v>
      </c>
      <c r="C19" s="81" t="s">
        <v>945</v>
      </c>
      <c r="D19" s="96">
        <v>1810743.5387934013</v>
      </c>
      <c r="E19" s="96">
        <v>1916149.9811762383</v>
      </c>
      <c r="F19" s="96">
        <v>1756419.3714492139</v>
      </c>
      <c r="G19" s="96">
        <v>1848983.6486440636</v>
      </c>
      <c r="H19" s="96">
        <v>1878423.3582467132</v>
      </c>
      <c r="I19" s="96">
        <v>1638038.4648303357</v>
      </c>
      <c r="J19" s="96">
        <v>1903327.1774114186</v>
      </c>
      <c r="K19" s="96">
        <v>1851811.1719959832</v>
      </c>
      <c r="L19" s="96">
        <v>1770550.9292635352</v>
      </c>
      <c r="M19" s="96">
        <v>2026702.4010319656</v>
      </c>
      <c r="N19" s="96">
        <v>1729318.0757703185</v>
      </c>
      <c r="O19" s="96">
        <v>1893775.2897617989</v>
      </c>
      <c r="P19" s="81">
        <f t="shared" si="0"/>
        <v>22024243.408374988</v>
      </c>
      <c r="Q19" s="81"/>
    </row>
    <row r="20" spans="1:17">
      <c r="A20" s="859">
        <f t="shared" si="1"/>
        <v>9</v>
      </c>
      <c r="B20" s="709">
        <v>9200</v>
      </c>
      <c r="C20" s="81" t="s">
        <v>183</v>
      </c>
      <c r="D20" s="96">
        <v>422125.92733578169</v>
      </c>
      <c r="E20" s="96">
        <v>460308.31551558943</v>
      </c>
      <c r="F20" s="96">
        <v>421294.99741492211</v>
      </c>
      <c r="G20" s="96">
        <v>431107.47710197023</v>
      </c>
      <c r="H20" s="96">
        <v>450614.13199765427</v>
      </c>
      <c r="I20" s="96">
        <v>392094.16066316282</v>
      </c>
      <c r="J20" s="96">
        <v>444896.55923351471</v>
      </c>
      <c r="K20" s="96">
        <v>444896.55923351471</v>
      </c>
      <c r="L20" s="96">
        <v>424804.69784409774</v>
      </c>
      <c r="M20" s="96">
        <v>474973.42279954249</v>
      </c>
      <c r="N20" s="96">
        <v>414697.85061330057</v>
      </c>
      <c r="O20" s="96">
        <v>454881.56654527225</v>
      </c>
      <c r="P20" s="81">
        <f t="shared" si="0"/>
        <v>5236695.6662983233</v>
      </c>
      <c r="Q20" s="81"/>
    </row>
    <row r="21" spans="1:17">
      <c r="A21" s="859">
        <f t="shared" si="1"/>
        <v>10</v>
      </c>
      <c r="B21" s="709">
        <v>9210</v>
      </c>
      <c r="C21" s="81" t="s">
        <v>952</v>
      </c>
      <c r="D21" s="96">
        <v>220901.63119032327</v>
      </c>
      <c r="E21" s="96">
        <v>217062.7867699824</v>
      </c>
      <c r="F21" s="96">
        <v>251609.24847679827</v>
      </c>
      <c r="G21" s="96">
        <v>214350.12512404061</v>
      </c>
      <c r="H21" s="96">
        <v>204019.953695089</v>
      </c>
      <c r="I21" s="96">
        <v>204958.40533856474</v>
      </c>
      <c r="J21" s="96">
        <v>206587.02536539073</v>
      </c>
      <c r="K21" s="96">
        <v>197708.2494321322</v>
      </c>
      <c r="L21" s="96">
        <v>202317.90444773136</v>
      </c>
      <c r="M21" s="96">
        <v>204424.76377439094</v>
      </c>
      <c r="N21" s="96">
        <v>204475.14723120874</v>
      </c>
      <c r="O21" s="96">
        <v>221037.62208828915</v>
      </c>
      <c r="P21" s="81">
        <f t="shared" si="0"/>
        <v>2549452.8629339417</v>
      </c>
      <c r="Q21" s="81"/>
    </row>
    <row r="22" spans="1:17">
      <c r="A22" s="859">
        <f t="shared" si="1"/>
        <v>11</v>
      </c>
      <c r="B22" s="709">
        <v>9220</v>
      </c>
      <c r="C22" s="81" t="s">
        <v>953</v>
      </c>
      <c r="D22" s="96">
        <f t="shared" ref="D22:O22" si="2">-(SUM(D12:D21)+SUM(D23:D28))</f>
        <v>-3907670.4829000006</v>
      </c>
      <c r="E22" s="96">
        <f t="shared" si="2"/>
        <v>-4194183.1487000012</v>
      </c>
      <c r="F22" s="96">
        <f t="shared" si="2"/>
        <v>-3893524.4295000006</v>
      </c>
      <c r="G22" s="96">
        <f t="shared" si="2"/>
        <v>-3977652.7277999995</v>
      </c>
      <c r="H22" s="96">
        <f t="shared" si="2"/>
        <v>-4067299.7337000002</v>
      </c>
      <c r="I22" s="96">
        <f t="shared" si="2"/>
        <v>-3611820.8709000009</v>
      </c>
      <c r="J22" s="96">
        <f t="shared" si="2"/>
        <v>-4091130.5630900292</v>
      </c>
      <c r="K22" s="96">
        <f t="shared" si="2"/>
        <v>-4036197.2706900295</v>
      </c>
      <c r="L22" s="96">
        <f t="shared" si="2"/>
        <v>-3884057.4690350574</v>
      </c>
      <c r="M22" s="96">
        <f t="shared" si="2"/>
        <v>-4330596.873187772</v>
      </c>
      <c r="N22" s="96">
        <f t="shared" si="2"/>
        <v>-3793887.1603926597</v>
      </c>
      <c r="O22" s="96">
        <f t="shared" si="2"/>
        <v>-4140888.3959770026</v>
      </c>
      <c r="P22" s="81">
        <f t="shared" si="0"/>
        <v>-47928909.12587256</v>
      </c>
      <c r="Q22" s="81"/>
    </row>
    <row r="23" spans="1:17">
      <c r="A23" s="859">
        <f t="shared" si="1"/>
        <v>12</v>
      </c>
      <c r="B23" s="709">
        <v>9230</v>
      </c>
      <c r="C23" s="81" t="s">
        <v>954</v>
      </c>
      <c r="D23" s="96">
        <v>43139.719496778634</v>
      </c>
      <c r="E23" s="96">
        <v>41899.389693792524</v>
      </c>
      <c r="F23" s="96">
        <v>60005.30402673957</v>
      </c>
      <c r="G23" s="96">
        <v>40016.182300879082</v>
      </c>
      <c r="H23" s="96">
        <v>38645.519461045449</v>
      </c>
      <c r="I23" s="96">
        <v>36784.469879648124</v>
      </c>
      <c r="J23" s="96">
        <v>36385.509937096562</v>
      </c>
      <c r="K23" s="96">
        <v>37067.551094822382</v>
      </c>
      <c r="L23" s="96">
        <v>36457.316934983966</v>
      </c>
      <c r="M23" s="96">
        <v>36245.12664665965</v>
      </c>
      <c r="N23" s="96">
        <v>38130.220133397088</v>
      </c>
      <c r="O23" s="96">
        <v>45641.956002777108</v>
      </c>
      <c r="P23" s="81">
        <f t="shared" si="0"/>
        <v>490418.26560862013</v>
      </c>
      <c r="Q23" s="81"/>
    </row>
    <row r="24" spans="1:17">
      <c r="A24" s="859">
        <f t="shared" si="1"/>
        <v>13</v>
      </c>
      <c r="B24" s="709">
        <v>9240</v>
      </c>
      <c r="C24" s="81" t="s">
        <v>955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81">
        <f t="shared" si="0"/>
        <v>0</v>
      </c>
      <c r="Q24" s="81"/>
    </row>
    <row r="25" spans="1:17">
      <c r="A25" s="859">
        <f t="shared" si="1"/>
        <v>14</v>
      </c>
      <c r="B25" s="366">
        <v>9250</v>
      </c>
      <c r="C25" s="80" t="s">
        <v>956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81">
        <f t="shared" si="0"/>
        <v>0</v>
      </c>
      <c r="Q25" s="81"/>
    </row>
    <row r="26" spans="1:17">
      <c r="A26" s="859">
        <f t="shared" si="1"/>
        <v>15</v>
      </c>
      <c r="B26" s="709">
        <v>9260</v>
      </c>
      <c r="C26" s="81" t="s">
        <v>957</v>
      </c>
      <c r="D26" s="96">
        <v>862548.56502850319</v>
      </c>
      <c r="E26" s="96">
        <v>982279.48827065399</v>
      </c>
      <c r="F26" s="96">
        <v>864429.09030794143</v>
      </c>
      <c r="G26" s="96">
        <v>884473.46656676452</v>
      </c>
      <c r="H26" s="96">
        <v>923036.5164667645</v>
      </c>
      <c r="I26" s="96">
        <v>820498.7102976141</v>
      </c>
      <c r="J26" s="96">
        <v>933443.17078285641</v>
      </c>
      <c r="K26" s="96">
        <v>943986.44415571936</v>
      </c>
      <c r="L26" s="96">
        <v>899027.9403356635</v>
      </c>
      <c r="M26" s="96">
        <v>994601.09808277304</v>
      </c>
      <c r="N26" s="96">
        <v>870423.25060644536</v>
      </c>
      <c r="O26" s="96">
        <v>953736.95697200217</v>
      </c>
      <c r="P26" s="81">
        <f t="shared" si="0"/>
        <v>10932484.697873704</v>
      </c>
      <c r="Q26" s="81"/>
    </row>
    <row r="27" spans="1:17">
      <c r="A27" s="859">
        <f t="shared" si="1"/>
        <v>16</v>
      </c>
      <c r="B27" s="709">
        <v>9310</v>
      </c>
      <c r="C27" s="81" t="s">
        <v>185</v>
      </c>
      <c r="D27" s="96">
        <v>135774.46521183368</v>
      </c>
      <c r="E27" s="96">
        <v>134643.15597206212</v>
      </c>
      <c r="F27" s="96">
        <v>132033.4087076679</v>
      </c>
      <c r="G27" s="96">
        <v>135098.72117732372</v>
      </c>
      <c r="H27" s="96">
        <v>134643.15597206212</v>
      </c>
      <c r="I27" s="96">
        <v>134643.15597206212</v>
      </c>
      <c r="J27" s="96">
        <v>135098.72117732372</v>
      </c>
      <c r="K27" s="96">
        <v>134643.15597206212</v>
      </c>
      <c r="L27" s="96">
        <v>140991.97614756582</v>
      </c>
      <c r="M27" s="96">
        <v>135794.96234008204</v>
      </c>
      <c r="N27" s="96">
        <v>134643.15597206212</v>
      </c>
      <c r="O27" s="96">
        <v>134643.15597206212</v>
      </c>
      <c r="P27" s="81">
        <f t="shared" si="0"/>
        <v>1622651.1905941695</v>
      </c>
      <c r="Q27" s="673"/>
    </row>
    <row r="28" spans="1:17">
      <c r="A28" s="859">
        <f t="shared" si="1"/>
        <v>17</v>
      </c>
      <c r="B28" s="709">
        <v>9320</v>
      </c>
      <c r="C28" s="81" t="s">
        <v>186</v>
      </c>
      <c r="D28" s="96">
        <v>3.5146778978883315</v>
      </c>
      <c r="E28" s="96">
        <v>3.5146778978883315</v>
      </c>
      <c r="F28" s="96">
        <v>8.3675368620837762</v>
      </c>
      <c r="G28" s="96">
        <v>3.5146778978883315</v>
      </c>
      <c r="H28" s="96">
        <v>3.5146778978883315</v>
      </c>
      <c r="I28" s="96">
        <v>8.3675368620837762</v>
      </c>
      <c r="J28" s="96">
        <v>14.930872403251541</v>
      </c>
      <c r="K28" s="96">
        <v>3.5146778978883315</v>
      </c>
      <c r="L28" s="96">
        <v>8.3675368620837762</v>
      </c>
      <c r="M28" s="96">
        <v>3.5146778978883315</v>
      </c>
      <c r="N28" s="96">
        <v>3.5146778978883315</v>
      </c>
      <c r="O28" s="96">
        <v>8.3675368620837762</v>
      </c>
      <c r="P28" s="81">
        <f t="shared" si="0"/>
        <v>73.003765136804972</v>
      </c>
      <c r="Q28" s="81"/>
    </row>
    <row r="29" spans="1:17">
      <c r="A29" s="859">
        <f t="shared" si="1"/>
        <v>18</v>
      </c>
      <c r="B29" s="81"/>
      <c r="C29" s="884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81"/>
      <c r="Q29" s="81"/>
    </row>
    <row r="30" spans="1:17" ht="15.75" thickBot="1">
      <c r="A30" s="859">
        <f t="shared" si="1"/>
        <v>19</v>
      </c>
      <c r="B30" s="81" t="s">
        <v>741</v>
      </c>
      <c r="C30" s="884"/>
      <c r="D30" s="908">
        <f t="shared" ref="D30:P30" si="3">SUM(D12:D29)</f>
        <v>-1.6777512712451426E-10</v>
      </c>
      <c r="E30" s="908">
        <f t="shared" si="3"/>
        <v>-5.1359805297579442E-11</v>
      </c>
      <c r="F30" s="908">
        <f t="shared" si="3"/>
        <v>-3.5523406438642269E-10</v>
      </c>
      <c r="G30" s="908">
        <f t="shared" si="3"/>
        <v>4.4340531246689352E-10</v>
      </c>
      <c r="H30" s="908">
        <f t="shared" si="3"/>
        <v>6.5055516529355373E-11</v>
      </c>
      <c r="I30" s="908">
        <f t="shared" si="3"/>
        <v>-9.3299590275819355E-11</v>
      </c>
      <c r="J30" s="908">
        <f t="shared" si="3"/>
        <v>1.6630963273200905E-10</v>
      </c>
      <c r="K30" s="908">
        <f t="shared" si="3"/>
        <v>-1.6777512712451426E-10</v>
      </c>
      <c r="L30" s="908">
        <f t="shared" si="3"/>
        <v>2.2684254474825138E-10</v>
      </c>
      <c r="M30" s="908">
        <f t="shared" si="3"/>
        <v>2.1057466881302389E-10</v>
      </c>
      <c r="N30" s="908">
        <f t="shared" si="3"/>
        <v>-1.6777512712451426E-10</v>
      </c>
      <c r="O30" s="908">
        <f t="shared" si="3"/>
        <v>2.3115731551115459E-11</v>
      </c>
      <c r="P30" s="908">
        <f t="shared" si="3"/>
        <v>1.0298606412106892E-10</v>
      </c>
      <c r="Q30" s="909"/>
    </row>
    <row r="31" spans="1:17" ht="15.75" thickTop="1">
      <c r="A31" s="859">
        <f t="shared" si="1"/>
        <v>20</v>
      </c>
      <c r="B31" s="81"/>
      <c r="C31" s="884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59">
        <f t="shared" si="1"/>
        <v>21</v>
      </c>
      <c r="B32" s="709">
        <f t="shared" ref="B32:O32" si="4">B22</f>
        <v>9220</v>
      </c>
      <c r="C32" s="81" t="str">
        <f t="shared" si="4"/>
        <v>A&amp;G-Administrative expense transferred-Credit</v>
      </c>
      <c r="D32" s="81">
        <f t="shared" si="4"/>
        <v>-3907670.4829000006</v>
      </c>
      <c r="E32" s="81">
        <f t="shared" si="4"/>
        <v>-4194183.1487000012</v>
      </c>
      <c r="F32" s="81">
        <f t="shared" si="4"/>
        <v>-3893524.4295000006</v>
      </c>
      <c r="G32" s="81">
        <f t="shared" si="4"/>
        <v>-3977652.7277999995</v>
      </c>
      <c r="H32" s="81">
        <f t="shared" si="4"/>
        <v>-4067299.7337000002</v>
      </c>
      <c r="I32" s="81">
        <f t="shared" si="4"/>
        <v>-3611820.8709000009</v>
      </c>
      <c r="J32" s="81">
        <f t="shared" si="4"/>
        <v>-4091130.5630900292</v>
      </c>
      <c r="K32" s="81">
        <f t="shared" si="4"/>
        <v>-4036197.2706900295</v>
      </c>
      <c r="L32" s="81">
        <f t="shared" si="4"/>
        <v>-3884057.4690350574</v>
      </c>
      <c r="M32" s="81">
        <f t="shared" si="4"/>
        <v>-4330596.873187772</v>
      </c>
      <c r="N32" s="81">
        <f t="shared" si="4"/>
        <v>-3793887.1603926597</v>
      </c>
      <c r="O32" s="81">
        <f t="shared" si="4"/>
        <v>-4140888.3959770026</v>
      </c>
      <c r="P32" s="81">
        <f>SUM(D32:O32)</f>
        <v>-47928909.12587256</v>
      </c>
      <c r="Q32" s="81"/>
    </row>
    <row r="33" spans="1:17">
      <c r="A33" s="859">
        <f t="shared" si="1"/>
        <v>22</v>
      </c>
      <c r="B33" s="81"/>
      <c r="C33" s="81" t="s">
        <v>196</v>
      </c>
      <c r="D33" s="915">
        <f>Allocation!$E$15</f>
        <v>5.67090596975168E-2</v>
      </c>
      <c r="E33" s="915">
        <f>D33</f>
        <v>5.67090596975168E-2</v>
      </c>
      <c r="F33" s="915">
        <f t="shared" ref="F33:O33" si="5">E33</f>
        <v>5.67090596975168E-2</v>
      </c>
      <c r="G33" s="915">
        <f t="shared" si="5"/>
        <v>5.67090596975168E-2</v>
      </c>
      <c r="H33" s="915">
        <f t="shared" si="5"/>
        <v>5.67090596975168E-2</v>
      </c>
      <c r="I33" s="915">
        <f t="shared" si="5"/>
        <v>5.67090596975168E-2</v>
      </c>
      <c r="J33" s="915">
        <f t="shared" si="5"/>
        <v>5.67090596975168E-2</v>
      </c>
      <c r="K33" s="915">
        <f t="shared" si="5"/>
        <v>5.67090596975168E-2</v>
      </c>
      <c r="L33" s="915">
        <f t="shared" si="5"/>
        <v>5.67090596975168E-2</v>
      </c>
      <c r="M33" s="915">
        <f t="shared" si="5"/>
        <v>5.67090596975168E-2</v>
      </c>
      <c r="N33" s="915">
        <f t="shared" si="5"/>
        <v>5.67090596975168E-2</v>
      </c>
      <c r="O33" s="915">
        <f t="shared" si="5"/>
        <v>5.67090596975168E-2</v>
      </c>
      <c r="P33" s="74"/>
      <c r="Q33" s="917"/>
    </row>
    <row r="34" spans="1:17">
      <c r="A34" s="859">
        <f t="shared" si="1"/>
        <v>23</v>
      </c>
      <c r="B34" s="81"/>
      <c r="C34" s="81" t="s">
        <v>211</v>
      </c>
      <c r="D34" s="81">
        <f>D32*D33</f>
        <v>-221600.31869300044</v>
      </c>
      <c r="E34" s="81">
        <f t="shared" ref="E34:O34" si="6">E32*E33</f>
        <v>-237848.18256194735</v>
      </c>
      <c r="F34" s="81">
        <f t="shared" si="6"/>
        <v>-220798.10930625559</v>
      </c>
      <c r="G34" s="81">
        <f t="shared" si="6"/>
        <v>-225568.94599680073</v>
      </c>
      <c r="H34" s="81">
        <f t="shared" si="6"/>
        <v>-230652.74340608751</v>
      </c>
      <c r="I34" s="81">
        <f t="shared" si="6"/>
        <v>-204822.96538460528</v>
      </c>
      <c r="J34" s="81">
        <f t="shared" si="6"/>
        <v>-232004.16733260799</v>
      </c>
      <c r="K34" s="81">
        <f t="shared" si="6"/>
        <v>-228888.95197451525</v>
      </c>
      <c r="L34" s="81">
        <f t="shared" si="6"/>
        <v>-220261.24688009507</v>
      </c>
      <c r="M34" s="81">
        <f t="shared" si="6"/>
        <v>-245584.07660748495</v>
      </c>
      <c r="N34" s="81">
        <f t="shared" si="6"/>
        <v>-215147.77346434983</v>
      </c>
      <c r="O34" s="81">
        <f t="shared" si="6"/>
        <v>-234825.88724821442</v>
      </c>
      <c r="P34" s="81">
        <f>SUM(D34:O34)</f>
        <v>-2718003.3688559649</v>
      </c>
      <c r="Q34" s="831"/>
    </row>
    <row r="35" spans="1:17">
      <c r="A35" s="81"/>
      <c r="B35" s="81"/>
      <c r="C35" s="88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74"/>
      <c r="P35" s="890"/>
      <c r="Q35" s="81"/>
    </row>
    <row r="36" spans="1:17">
      <c r="A36" s="81"/>
      <c r="B36" s="81" t="s">
        <v>568</v>
      </c>
      <c r="C36" s="884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74"/>
      <c r="P36" s="74"/>
      <c r="Q36" s="81"/>
    </row>
    <row r="37" spans="1:17">
      <c r="A37" s="81"/>
      <c r="B37" s="81"/>
      <c r="C37" s="884"/>
      <c r="D37" s="909"/>
      <c r="E37" s="909"/>
      <c r="F37" s="909"/>
      <c r="G37" s="909"/>
      <c r="H37" s="909"/>
      <c r="I37" s="909"/>
      <c r="J37" s="909"/>
      <c r="K37" s="909"/>
      <c r="L37" s="909"/>
      <c r="M37" s="909"/>
      <c r="N37" s="909"/>
      <c r="O37" s="909"/>
      <c r="P37" s="909"/>
      <c r="Q37" s="74"/>
    </row>
    <row r="38" spans="1:17">
      <c r="A38" s="81"/>
      <c r="B38" s="81"/>
      <c r="C38" s="81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>
      <c r="A39" s="81"/>
      <c r="B39" s="81"/>
      <c r="C39" s="17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74"/>
      <c r="Q39" s="81"/>
    </row>
    <row r="40" spans="1:17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>
      <c r="A41" s="81"/>
      <c r="B41" s="81" t="s">
        <v>961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4"/>
      <c r="Q41" s="81"/>
    </row>
    <row r="42" spans="1:17">
      <c r="A42" s="81"/>
      <c r="B42" s="81" t="s">
        <v>1651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4"/>
      <c r="P43" s="74"/>
      <c r="Q43" s="81"/>
    </row>
    <row r="44" spans="1:17">
      <c r="A44" s="81"/>
    </row>
    <row r="45" spans="1:17">
      <c r="A45" s="81"/>
    </row>
  </sheetData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2" fitToHeight="2" orientation="landscape" verticalDpi="300" r:id="rId1"/>
  <headerFooter alignWithMargins="0">
    <oddFooter>&amp;RSchedule &amp;A
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/>
  <dimension ref="A1:R75"/>
  <sheetViews>
    <sheetView view="pageBreakPreview" zoomScale="60" zoomScaleNormal="75" workbookViewId="0">
      <pane xSplit="3" ySplit="11" topLeftCell="D21" activePane="bottomRight" state="frozen"/>
      <selection activeCell="F55" sqref="F55"/>
      <selection pane="topRight" activeCell="F55" sqref="F55"/>
      <selection pane="bottomLeft" activeCell="F55" sqref="F55"/>
      <selection pane="bottomRight" activeCell="C59" sqref="C59:O63"/>
    </sheetView>
  </sheetViews>
  <sheetFormatPr defaultColWidth="7.109375" defaultRowHeight="15"/>
  <cols>
    <col min="1" max="1" width="4.6640625" style="80" customWidth="1"/>
    <col min="2" max="2" width="7.21875" style="80" customWidth="1"/>
    <col min="3" max="3" width="38.88671875" style="80" customWidth="1"/>
    <col min="4" max="5" width="11.109375" style="80" customWidth="1"/>
    <col min="6" max="6" width="11.77734375" style="80" bestFit="1" customWidth="1"/>
    <col min="7" max="7" width="11.33203125" style="80" bestFit="1" customWidth="1"/>
    <col min="8" max="8" width="11.109375" style="80" customWidth="1"/>
    <col min="9" max="9" width="12" style="80" bestFit="1" customWidth="1"/>
    <col min="10" max="13" width="11.33203125" style="80" bestFit="1" customWidth="1"/>
    <col min="14" max="14" width="10" style="80" customWidth="1"/>
    <col min="15" max="15" width="10.77734375" style="80" customWidth="1"/>
    <col min="16" max="16" width="12.44140625" style="80" customWidth="1"/>
    <col min="17" max="17" width="12.5546875" style="80" customWidth="1"/>
    <col min="18" max="18" width="7.109375" style="80"/>
    <col min="19" max="19" width="8.109375" style="80" customWidth="1"/>
    <col min="20" max="20" width="8.77734375" style="80" customWidth="1"/>
    <col min="21" max="16384" width="7.109375" style="80"/>
  </cols>
  <sheetData>
    <row r="1" spans="1:18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81"/>
    </row>
    <row r="2" spans="1:18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81"/>
    </row>
    <row r="3" spans="1:18" ht="15.75">
      <c r="A3" s="1172" t="s">
        <v>191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81"/>
    </row>
    <row r="4" spans="1:18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81"/>
    </row>
    <row r="5" spans="1:18">
      <c r="A5" s="81"/>
      <c r="B5" s="150"/>
      <c r="C5" s="150"/>
      <c r="D5" s="150"/>
      <c r="E5" s="150"/>
      <c r="F5" s="150"/>
      <c r="G5" s="878"/>
      <c r="H5" s="150"/>
      <c r="I5" s="150"/>
      <c r="J5" s="150"/>
      <c r="K5" s="150"/>
      <c r="L5" s="150"/>
      <c r="M5" s="150"/>
      <c r="N5" s="150"/>
      <c r="O5" s="150"/>
      <c r="P5" s="81"/>
      <c r="Q5" s="81"/>
    </row>
    <row r="6" spans="1:18">
      <c r="A6" s="88" t="str">
        <f>'C.2.1 F'!A6</f>
        <v>Data:________Base Period___X____Forecasted Period</v>
      </c>
      <c r="B6" s="81"/>
      <c r="C6" s="88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70" t="s">
        <v>1456</v>
      </c>
      <c r="Q6" s="81"/>
    </row>
    <row r="7" spans="1:18" ht="15.75">
      <c r="A7" s="88" t="str">
        <f>'C.2.1 F'!A7</f>
        <v>Type of Filing:___X____Original________Updated ________Revised</v>
      </c>
      <c r="B7" s="81"/>
      <c r="C7" s="88"/>
      <c r="D7" s="81"/>
      <c r="E7" s="81"/>
      <c r="F7" s="911"/>
      <c r="G7" s="81"/>
      <c r="H7" s="81"/>
      <c r="I7" s="81"/>
      <c r="J7" s="81"/>
      <c r="K7" s="81"/>
      <c r="L7" s="81"/>
      <c r="M7" s="81"/>
      <c r="N7" s="81"/>
      <c r="O7" s="81"/>
      <c r="P7" s="510" t="s">
        <v>38</v>
      </c>
      <c r="Q7" s="81"/>
    </row>
    <row r="8" spans="1:18">
      <c r="A8" s="392" t="str">
        <f>'C.2.1 F'!A8</f>
        <v>Workpaper Reference No(s).____________________</v>
      </c>
      <c r="B8" s="82"/>
      <c r="C8" s="434"/>
      <c r="D8" s="151"/>
      <c r="E8" s="151"/>
      <c r="F8" s="151"/>
      <c r="G8" s="151"/>
      <c r="H8" s="151"/>
      <c r="I8" s="151"/>
      <c r="J8" s="151"/>
      <c r="K8" s="151"/>
      <c r="L8" s="151"/>
      <c r="M8" s="82"/>
      <c r="N8" s="82"/>
      <c r="O8" s="82"/>
      <c r="P8" s="511" t="str">
        <f>C.1!J9</f>
        <v>Witness: Waller, Martin</v>
      </c>
      <c r="Q8" s="81"/>
    </row>
    <row r="9" spans="1:18">
      <c r="A9" s="393" t="s">
        <v>94</v>
      </c>
      <c r="B9" s="833" t="s">
        <v>101</v>
      </c>
      <c r="C9" s="912"/>
      <c r="D9" s="900" t="s">
        <v>44</v>
      </c>
      <c r="E9" s="856" t="s">
        <v>44</v>
      </c>
      <c r="F9" s="856" t="s">
        <v>44</v>
      </c>
      <c r="G9" s="856" t="s">
        <v>44</v>
      </c>
      <c r="H9" s="856" t="s">
        <v>44</v>
      </c>
      <c r="I9" s="856" t="s">
        <v>44</v>
      </c>
      <c r="J9" s="856" t="s">
        <v>44</v>
      </c>
      <c r="K9" s="856" t="s">
        <v>44</v>
      </c>
      <c r="L9" s="856" t="s">
        <v>44</v>
      </c>
      <c r="M9" s="856" t="s">
        <v>44</v>
      </c>
      <c r="N9" s="856" t="s">
        <v>44</v>
      </c>
      <c r="O9" s="856" t="s">
        <v>44</v>
      </c>
      <c r="P9" s="913"/>
      <c r="Q9" s="81"/>
    </row>
    <row r="10" spans="1:18">
      <c r="A10" s="394" t="s">
        <v>100</v>
      </c>
      <c r="B10" s="82" t="s">
        <v>100</v>
      </c>
      <c r="C10" s="914" t="s">
        <v>960</v>
      </c>
      <c r="D10" s="615">
        <f>'C.2.2-F 09'!D10</f>
        <v>43191</v>
      </c>
      <c r="E10" s="615">
        <f>'C.2.2-F 09'!F10</f>
        <v>43252</v>
      </c>
      <c r="F10" s="615">
        <f>'C.2.2-F 09'!F10</f>
        <v>43252</v>
      </c>
      <c r="G10" s="615">
        <f>'C.2.2-F 09'!G10</f>
        <v>43282</v>
      </c>
      <c r="H10" s="615">
        <f>'C.2.2-F 09'!H10</f>
        <v>43313</v>
      </c>
      <c r="I10" s="615">
        <f>'C.2.2-F 09'!I10</f>
        <v>43344</v>
      </c>
      <c r="J10" s="615">
        <f>'C.2.2-F 09'!J10</f>
        <v>43374</v>
      </c>
      <c r="K10" s="615">
        <f>'C.2.2-F 09'!K10</f>
        <v>43405</v>
      </c>
      <c r="L10" s="615">
        <f>'C.2.2-F 09'!L10</f>
        <v>43435</v>
      </c>
      <c r="M10" s="615">
        <f>'C.2.2-F 09'!M10</f>
        <v>43466</v>
      </c>
      <c r="N10" s="615">
        <f>'C.2.2-F 09'!N10</f>
        <v>43497</v>
      </c>
      <c r="O10" s="615">
        <f>'C.2.2-F 09'!O10</f>
        <v>43525</v>
      </c>
      <c r="P10" s="364" t="str">
        <f>'C.2.2 B 09'!P10</f>
        <v>Total</v>
      </c>
      <c r="Q10" s="76"/>
    </row>
    <row r="11" spans="1:18">
      <c r="A11" s="81"/>
      <c r="B11" s="81"/>
      <c r="C11" s="81"/>
      <c r="D11" s="857" t="s">
        <v>147</v>
      </c>
      <c r="E11" s="857" t="s">
        <v>147</v>
      </c>
      <c r="F11" s="857" t="s">
        <v>147</v>
      </c>
      <c r="G11" s="857" t="s">
        <v>147</v>
      </c>
      <c r="H11" s="857" t="s">
        <v>147</v>
      </c>
      <c r="I11" s="857" t="s">
        <v>147</v>
      </c>
      <c r="J11" s="857" t="s">
        <v>147</v>
      </c>
      <c r="K11" s="857" t="s">
        <v>147</v>
      </c>
      <c r="L11" s="857" t="s">
        <v>147</v>
      </c>
      <c r="M11" s="857" t="s">
        <v>147</v>
      </c>
      <c r="N11" s="857" t="s">
        <v>147</v>
      </c>
      <c r="O11" s="857" t="s">
        <v>147</v>
      </c>
      <c r="P11" s="857" t="s">
        <v>147</v>
      </c>
      <c r="Q11" s="857"/>
    </row>
    <row r="12" spans="1:18">
      <c r="A12" s="859">
        <v>1</v>
      </c>
      <c r="B12" s="709">
        <v>4030</v>
      </c>
      <c r="C12" s="81" t="s">
        <v>92</v>
      </c>
      <c r="D12" s="399">
        <v>0</v>
      </c>
      <c r="E12" s="399">
        <v>0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0</v>
      </c>
      <c r="M12" s="399">
        <v>0</v>
      </c>
      <c r="N12" s="399">
        <v>0</v>
      </c>
      <c r="O12" s="399">
        <v>0</v>
      </c>
      <c r="P12" s="431">
        <f t="shared" ref="P12:P48" si="0">SUM(D12:O12)</f>
        <v>0</v>
      </c>
      <c r="Q12" s="81"/>
    </row>
    <row r="13" spans="1:18">
      <c r="A13" s="859">
        <f>A12+1</f>
        <v>2</v>
      </c>
      <c r="B13" s="836">
        <v>4060</v>
      </c>
      <c r="C13" s="196" t="s">
        <v>868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431"/>
      <c r="Q13" s="81"/>
    </row>
    <row r="14" spans="1:18">
      <c r="A14" s="859">
        <f t="shared" ref="A14:A54" si="1">A13+1</f>
        <v>3</v>
      </c>
      <c r="B14" s="709">
        <v>4081</v>
      </c>
      <c r="C14" s="81" t="s">
        <v>869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0</v>
      </c>
      <c r="M14" s="399">
        <v>0</v>
      </c>
      <c r="N14" s="399">
        <v>0</v>
      </c>
      <c r="O14" s="399">
        <v>0</v>
      </c>
      <c r="P14" s="431">
        <f t="shared" si="0"/>
        <v>0</v>
      </c>
      <c r="Q14" s="81"/>
    </row>
    <row r="15" spans="1:18">
      <c r="A15" s="859">
        <f t="shared" si="1"/>
        <v>4</v>
      </c>
      <c r="B15" s="709">
        <v>8170</v>
      </c>
      <c r="C15" s="81" t="s">
        <v>894</v>
      </c>
      <c r="D15" s="96">
        <v>40.036581902291019</v>
      </c>
      <c r="E15" s="96">
        <v>39.818833011095883</v>
      </c>
      <c r="F15" s="96">
        <v>39.855011435385833</v>
      </c>
      <c r="G15" s="96">
        <v>41.475503356706511</v>
      </c>
      <c r="H15" s="96">
        <v>39.57764351582955</v>
      </c>
      <c r="I15" s="96">
        <v>40.203228769176604</v>
      </c>
      <c r="J15" s="96">
        <v>40.749447604237574</v>
      </c>
      <c r="K15" s="96">
        <v>41.422094957848472</v>
      </c>
      <c r="L15" s="96">
        <v>40.995310145974692</v>
      </c>
      <c r="M15" s="96">
        <v>41.746012449991156</v>
      </c>
      <c r="N15" s="96">
        <v>40.154161781233356</v>
      </c>
      <c r="O15" s="96">
        <v>40.366710023936811</v>
      </c>
      <c r="P15" s="81">
        <f t="shared" si="0"/>
        <v>486.4005389537075</v>
      </c>
      <c r="Q15" s="81"/>
      <c r="R15" s="709"/>
    </row>
    <row r="16" spans="1:18">
      <c r="A16" s="859">
        <f t="shared" si="1"/>
        <v>5</v>
      </c>
      <c r="B16" s="709">
        <v>8180</v>
      </c>
      <c r="C16" s="81" t="s">
        <v>895</v>
      </c>
      <c r="D16" s="96">
        <v>41.70744791256547</v>
      </c>
      <c r="E16" s="96">
        <v>41.480611601720938</v>
      </c>
      <c r="F16" s="96">
        <v>41.518299877666038</v>
      </c>
      <c r="G16" s="96">
        <v>43.206420571039899</v>
      </c>
      <c r="H16" s="96">
        <v>41.229356428753647</v>
      </c>
      <c r="I16" s="96">
        <v>41.881049533637537</v>
      </c>
      <c r="J16" s="96">
        <v>42.450063983166842</v>
      </c>
      <c r="K16" s="96">
        <v>43.150783253675939</v>
      </c>
      <c r="L16" s="96">
        <v>42.706187225110341</v>
      </c>
      <c r="M16" s="96">
        <v>43.488218950971003</v>
      </c>
      <c r="N16" s="96">
        <v>41.829934809386998</v>
      </c>
      <c r="O16" s="96">
        <v>42.051353430564376</v>
      </c>
      <c r="P16" s="81">
        <f t="shared" si="0"/>
        <v>506.69972757825894</v>
      </c>
      <c r="Q16" s="81"/>
      <c r="R16" s="709"/>
    </row>
    <row r="17" spans="1:18">
      <c r="A17" s="859">
        <f t="shared" si="1"/>
        <v>6</v>
      </c>
      <c r="B17" s="709">
        <v>8190</v>
      </c>
      <c r="C17" s="81" t="s">
        <v>896</v>
      </c>
      <c r="D17" s="96">
        <v>465.03523537254159</v>
      </c>
      <c r="E17" s="96">
        <v>462.50602578326732</v>
      </c>
      <c r="F17" s="96">
        <v>462.92624752187987</v>
      </c>
      <c r="G17" s="96">
        <v>481.74867956390045</v>
      </c>
      <c r="H17" s="96">
        <v>459.70454752585033</v>
      </c>
      <c r="I17" s="96">
        <v>466.97088175602573</v>
      </c>
      <c r="J17" s="96">
        <v>473.3153545471198</v>
      </c>
      <c r="K17" s="96">
        <v>481.1283272222737</v>
      </c>
      <c r="L17" s="96">
        <v>476.17111144577422</v>
      </c>
      <c r="M17" s="96">
        <v>484.89071252198471</v>
      </c>
      <c r="N17" s="96">
        <v>466.40095602303239</v>
      </c>
      <c r="O17" s="96">
        <v>468.86975873738112</v>
      </c>
      <c r="P17" s="81">
        <f t="shared" si="0"/>
        <v>5649.6678380210305</v>
      </c>
      <c r="Q17" s="81"/>
      <c r="R17" s="709"/>
    </row>
    <row r="18" spans="1:18">
      <c r="A18" s="859">
        <f t="shared" si="1"/>
        <v>7</v>
      </c>
      <c r="B18" s="709">
        <v>8210</v>
      </c>
      <c r="C18" s="81" t="s">
        <v>898</v>
      </c>
      <c r="D18" s="96">
        <v>275.68807651945593</v>
      </c>
      <c r="E18" s="96">
        <v>274.18867846583748</v>
      </c>
      <c r="F18" s="96">
        <v>274.43779963777826</v>
      </c>
      <c r="G18" s="96">
        <v>285.59635213095828</v>
      </c>
      <c r="H18" s="96">
        <v>272.52787065289908</v>
      </c>
      <c r="I18" s="96">
        <v>276.83559091770809</v>
      </c>
      <c r="J18" s="96">
        <v>280.59680161157206</v>
      </c>
      <c r="K18" s="96">
        <v>285.22858700088068</v>
      </c>
      <c r="L18" s="96">
        <v>282.28978757588612</v>
      </c>
      <c r="M18" s="96">
        <v>287.45905189365698</v>
      </c>
      <c r="N18" s="96">
        <v>276.49772032826343</v>
      </c>
      <c r="O18" s="96">
        <v>277.96130721341541</v>
      </c>
      <c r="P18" s="81">
        <f t="shared" si="0"/>
        <v>3349.3076239483116</v>
      </c>
      <c r="Q18" s="81"/>
      <c r="R18" s="709"/>
    </row>
    <row r="19" spans="1:18">
      <c r="A19" s="859">
        <f t="shared" si="1"/>
        <v>8</v>
      </c>
      <c r="B19" s="709">
        <v>8240</v>
      </c>
      <c r="C19" s="81" t="s">
        <v>899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81">
        <f t="shared" si="0"/>
        <v>0</v>
      </c>
      <c r="Q19" s="81"/>
      <c r="R19" s="709"/>
    </row>
    <row r="20" spans="1:18">
      <c r="A20" s="859">
        <f t="shared" si="1"/>
        <v>9</v>
      </c>
      <c r="B20" s="709">
        <v>8250</v>
      </c>
      <c r="C20" s="81" t="s">
        <v>911</v>
      </c>
      <c r="D20" s="96">
        <v>1353.0965071868736</v>
      </c>
      <c r="E20" s="96">
        <v>1345.7373558777283</v>
      </c>
      <c r="F20" s="96">
        <v>1346.9600601450838</v>
      </c>
      <c r="G20" s="96">
        <v>1401.7270221203787</v>
      </c>
      <c r="H20" s="96">
        <v>1337.585994095359</v>
      </c>
      <c r="I20" s="96">
        <v>1358.7285887183798</v>
      </c>
      <c r="J20" s="96">
        <v>1377.1888758548896</v>
      </c>
      <c r="K20" s="96">
        <v>1399.9220049456953</v>
      </c>
      <c r="L20" s="96">
        <v>1385.4981702717923</v>
      </c>
      <c r="M20" s="96">
        <v>1410.8692838194174</v>
      </c>
      <c r="N20" s="96">
        <v>1357.070296055779</v>
      </c>
      <c r="O20" s="96">
        <v>1364.2536836264917</v>
      </c>
      <c r="P20" s="81">
        <f t="shared" si="0"/>
        <v>16438.637842717872</v>
      </c>
      <c r="Q20" s="81"/>
      <c r="R20" s="709"/>
    </row>
    <row r="21" spans="1:18">
      <c r="A21" s="859">
        <f t="shared" si="1"/>
        <v>10</v>
      </c>
      <c r="B21" s="366">
        <v>8500</v>
      </c>
      <c r="C21" s="196" t="s">
        <v>916</v>
      </c>
      <c r="D21" s="96">
        <v>8318.3193290533382</v>
      </c>
      <c r="E21" s="96">
        <v>6960.8831488267606</v>
      </c>
      <c r="F21" s="96">
        <v>6690.2217428700806</v>
      </c>
      <c r="G21" s="96">
        <v>6736.6597645958045</v>
      </c>
      <c r="H21" s="96">
        <v>6762.1472282883724</v>
      </c>
      <c r="I21" s="96">
        <v>8625.49180109806</v>
      </c>
      <c r="J21" s="96">
        <v>6696.4044167520033</v>
      </c>
      <c r="K21" s="96">
        <v>6860.1139119980571</v>
      </c>
      <c r="L21" s="96">
        <v>6987.1158933009101</v>
      </c>
      <c r="M21" s="96">
        <v>7361.7888327476376</v>
      </c>
      <c r="N21" s="96">
        <v>7086.3649409126756</v>
      </c>
      <c r="O21" s="96">
        <v>7339.0703562190738</v>
      </c>
      <c r="P21" s="81">
        <f t="shared" si="0"/>
        <v>86424.58136666278</v>
      </c>
      <c r="Q21" s="81"/>
      <c r="R21" s="709"/>
    </row>
    <row r="22" spans="1:18">
      <c r="A22" s="859">
        <f t="shared" si="1"/>
        <v>11</v>
      </c>
      <c r="B22" s="709">
        <v>8560</v>
      </c>
      <c r="C22" s="81" t="s">
        <v>917</v>
      </c>
      <c r="D22" s="96">
        <v>74.620568826680255</v>
      </c>
      <c r="E22" s="96">
        <v>72.977126069074529</v>
      </c>
      <c r="F22" s="96">
        <v>77.25005234639994</v>
      </c>
      <c r="G22" s="96">
        <v>80.161700345523485</v>
      </c>
      <c r="H22" s="96">
        <v>80.663095239926136</v>
      </c>
      <c r="I22" s="96">
        <v>75.376423215234894</v>
      </c>
      <c r="J22" s="96">
        <v>78.863754640246754</v>
      </c>
      <c r="K22" s="96">
        <v>84.160059462032748</v>
      </c>
      <c r="L22" s="96">
        <v>65.919388769020557</v>
      </c>
      <c r="M22" s="96">
        <v>89.901724253433798</v>
      </c>
      <c r="N22" s="96">
        <v>58.524034990340432</v>
      </c>
      <c r="O22" s="96">
        <v>92.00585076517433</v>
      </c>
      <c r="P22" s="81">
        <f t="shared" si="0"/>
        <v>930.42377892308787</v>
      </c>
      <c r="Q22" s="81"/>
      <c r="R22" s="709"/>
    </row>
    <row r="23" spans="1:18">
      <c r="A23" s="859">
        <f t="shared" si="1"/>
        <v>12</v>
      </c>
      <c r="B23" s="709">
        <v>8570</v>
      </c>
      <c r="C23" s="81" t="s">
        <v>918</v>
      </c>
      <c r="D23" s="96">
        <v>80.071558745974656</v>
      </c>
      <c r="E23" s="96">
        <v>79.636069693094143</v>
      </c>
      <c r="F23" s="96">
        <v>79.708425091288206</v>
      </c>
      <c r="G23" s="96">
        <v>82.949343968730673</v>
      </c>
      <c r="H23" s="96">
        <v>79.153700371800383</v>
      </c>
      <c r="I23" s="96">
        <v>80.404845798906081</v>
      </c>
      <c r="J23" s="96">
        <v>81.497261571223532</v>
      </c>
      <c r="K23" s="96">
        <v>82.842529312146681</v>
      </c>
      <c r="L23" s="96">
        <v>81.988976798117363</v>
      </c>
      <c r="M23" s="96">
        <v>83.490351310644186</v>
      </c>
      <c r="N23" s="96">
        <v>80.306713790105363</v>
      </c>
      <c r="O23" s="96">
        <v>80.731801754495493</v>
      </c>
      <c r="P23" s="81">
        <f t="shared" si="0"/>
        <v>972.78157820652677</v>
      </c>
      <c r="Q23" s="81"/>
      <c r="R23" s="709"/>
    </row>
    <row r="24" spans="1:18">
      <c r="A24" s="859">
        <f t="shared" si="1"/>
        <v>13</v>
      </c>
      <c r="B24" s="709">
        <v>8650</v>
      </c>
      <c r="C24" s="661" t="s">
        <v>1430</v>
      </c>
      <c r="D24" s="96">
        <v>5298.0477130803256</v>
      </c>
      <c r="E24" s="96">
        <v>4433.4157482436904</v>
      </c>
      <c r="F24" s="96">
        <v>4257.702537821061</v>
      </c>
      <c r="G24" s="96">
        <v>4288.9345333234214</v>
      </c>
      <c r="H24" s="96">
        <v>4305.7048516894029</v>
      </c>
      <c r="I24" s="96">
        <v>5491.3178316544627</v>
      </c>
      <c r="J24" s="96">
        <v>4264.3130924060515</v>
      </c>
      <c r="K24" s="96">
        <v>4363.3947468683791</v>
      </c>
      <c r="L24" s="96">
        <v>4449.1890820726312</v>
      </c>
      <c r="M24" s="96">
        <v>4687.9531139649853</v>
      </c>
      <c r="N24" s="96">
        <v>4513.4808199829013</v>
      </c>
      <c r="O24" s="96">
        <v>4672.1393571348917</v>
      </c>
      <c r="P24" s="81">
        <f t="shared" si="0"/>
        <v>55025.593428242195</v>
      </c>
      <c r="Q24" s="81"/>
      <c r="R24" s="709"/>
    </row>
    <row r="25" spans="1:18">
      <c r="A25" s="859">
        <f t="shared" si="1"/>
        <v>14</v>
      </c>
      <c r="B25" s="709">
        <v>8700</v>
      </c>
      <c r="C25" s="81" t="s">
        <v>921</v>
      </c>
      <c r="D25" s="96">
        <v>275736.39491261786</v>
      </c>
      <c r="E25" s="96">
        <v>297424.92548677098</v>
      </c>
      <c r="F25" s="96">
        <v>290308.89154495514</v>
      </c>
      <c r="G25" s="96">
        <v>266473.99656340276</v>
      </c>
      <c r="H25" s="96">
        <v>279195.67115997849</v>
      </c>
      <c r="I25" s="96">
        <v>290705.14564415946</v>
      </c>
      <c r="J25" s="96">
        <v>263463.26119267487</v>
      </c>
      <c r="K25" s="96">
        <v>308461.35233482841</v>
      </c>
      <c r="L25" s="96">
        <v>266872.54038288497</v>
      </c>
      <c r="M25" s="96">
        <v>303089.90929767932</v>
      </c>
      <c r="N25" s="96">
        <v>283943.70923870167</v>
      </c>
      <c r="O25" s="96">
        <v>302924.23008182942</v>
      </c>
      <c r="P25" s="81">
        <f t="shared" si="0"/>
        <v>3428600.027840483</v>
      </c>
      <c r="Q25" s="81"/>
      <c r="R25" s="709"/>
    </row>
    <row r="26" spans="1:18">
      <c r="A26" s="859">
        <f t="shared" si="1"/>
        <v>15</v>
      </c>
      <c r="B26" s="709">
        <v>8711</v>
      </c>
      <c r="C26" s="81" t="s">
        <v>190</v>
      </c>
      <c r="D26" s="96">
        <v>7027.3723298555979</v>
      </c>
      <c r="E26" s="96">
        <v>6574.9497540886368</v>
      </c>
      <c r="F26" s="96">
        <v>7988.8037103075239</v>
      </c>
      <c r="G26" s="96">
        <v>8236.8785602089156</v>
      </c>
      <c r="H26" s="96">
        <v>9255.4204016723652</v>
      </c>
      <c r="I26" s="96">
        <v>7205.6420788337955</v>
      </c>
      <c r="J26" s="96">
        <v>8127.9410753636785</v>
      </c>
      <c r="K26" s="96">
        <v>9598.9980041400049</v>
      </c>
      <c r="L26" s="96">
        <v>3685.4852452222749</v>
      </c>
      <c r="M26" s="96">
        <v>11375.430406451404</v>
      </c>
      <c r="N26" s="96">
        <v>1587.4467325980484</v>
      </c>
      <c r="O26" s="96">
        <v>12697.929211079232</v>
      </c>
      <c r="P26" s="81">
        <f t="shared" si="0"/>
        <v>93362.297509821467</v>
      </c>
      <c r="Q26" s="81"/>
    </row>
    <row r="27" spans="1:18">
      <c r="A27" s="859">
        <f t="shared" si="1"/>
        <v>16</v>
      </c>
      <c r="B27" s="709">
        <v>8740</v>
      </c>
      <c r="C27" s="81" t="s">
        <v>923</v>
      </c>
      <c r="D27" s="96">
        <v>2675.929590510671</v>
      </c>
      <c r="E27" s="96">
        <v>1924.6730834617138</v>
      </c>
      <c r="F27" s="96">
        <v>2714.1373306586083</v>
      </c>
      <c r="G27" s="96">
        <v>2405.9395027209712</v>
      </c>
      <c r="H27" s="96">
        <v>2285.1064785644153</v>
      </c>
      <c r="I27" s="96">
        <v>3601.1133828692673</v>
      </c>
      <c r="J27" s="96">
        <v>1748.759481340657</v>
      </c>
      <c r="K27" s="96">
        <v>2213.4161061606551</v>
      </c>
      <c r="L27" s="96">
        <v>1844.6534552949045</v>
      </c>
      <c r="M27" s="96">
        <v>2751.948727615702</v>
      </c>
      <c r="N27" s="96">
        <v>1532.5645370854688</v>
      </c>
      <c r="O27" s="96">
        <v>2985.8063713916372</v>
      </c>
      <c r="P27" s="81">
        <f t="shared" si="0"/>
        <v>28684.048047674671</v>
      </c>
      <c r="Q27" s="81"/>
      <c r="R27" s="709"/>
    </row>
    <row r="28" spans="1:18">
      <c r="A28" s="859">
        <f t="shared" si="1"/>
        <v>17</v>
      </c>
      <c r="B28" s="709">
        <v>8750</v>
      </c>
      <c r="C28" s="81" t="s">
        <v>1236</v>
      </c>
      <c r="D28" s="96">
        <v>17297.994164726439</v>
      </c>
      <c r="E28" s="96">
        <v>16559.567156563859</v>
      </c>
      <c r="F28" s="96">
        <v>18390.692609707501</v>
      </c>
      <c r="G28" s="96">
        <v>17505.846634703768</v>
      </c>
      <c r="H28" s="96">
        <v>18749.835368179814</v>
      </c>
      <c r="I28" s="96">
        <v>16579.511711918367</v>
      </c>
      <c r="J28" s="96">
        <v>17611.488415407897</v>
      </c>
      <c r="K28" s="96">
        <v>18911.021927623256</v>
      </c>
      <c r="L28" s="96">
        <v>15453.594879980981</v>
      </c>
      <c r="M28" s="96">
        <v>18709.238054622059</v>
      </c>
      <c r="N28" s="96">
        <v>13381.381603840555</v>
      </c>
      <c r="O28" s="96">
        <v>23177.393027027058</v>
      </c>
      <c r="P28" s="81">
        <f t="shared" si="0"/>
        <v>212327.56555430157</v>
      </c>
      <c r="Q28" s="81"/>
      <c r="R28" s="709"/>
    </row>
    <row r="29" spans="1:18">
      <c r="A29" s="859">
        <f t="shared" si="1"/>
        <v>18</v>
      </c>
      <c r="B29" s="366">
        <v>8760</v>
      </c>
      <c r="C29" s="80" t="s">
        <v>925</v>
      </c>
      <c r="D29" s="96">
        <v>-94.104428356360287</v>
      </c>
      <c r="E29" s="96">
        <v>-88.045980636551377</v>
      </c>
      <c r="F29" s="96">
        <v>-106.97907711759278</v>
      </c>
      <c r="G29" s="96">
        <v>-110.30107869140721</v>
      </c>
      <c r="H29" s="96">
        <v>-123.94050083227478</v>
      </c>
      <c r="I29" s="96">
        <v>-96.491661027888583</v>
      </c>
      <c r="J29" s="96">
        <v>-108.84228310512705</v>
      </c>
      <c r="K29" s="96">
        <v>-128.54139179957184</v>
      </c>
      <c r="L29" s="96">
        <v>-49.352797310025153</v>
      </c>
      <c r="M29" s="96">
        <v>-152.32982193910101</v>
      </c>
      <c r="N29" s="96">
        <v>-21.257699223171933</v>
      </c>
      <c r="O29" s="96">
        <v>-170.0395700739389</v>
      </c>
      <c r="P29" s="81">
        <f t="shared" si="0"/>
        <v>-1250.2262901130109</v>
      </c>
      <c r="Q29" s="81"/>
      <c r="R29" s="709"/>
    </row>
    <row r="30" spans="1:18">
      <c r="A30" s="859">
        <f t="shared" si="1"/>
        <v>19</v>
      </c>
      <c r="B30" s="709">
        <v>8770</v>
      </c>
      <c r="C30" s="81" t="s">
        <v>926</v>
      </c>
      <c r="D30" s="96">
        <v>55.283578183448789</v>
      </c>
      <c r="E30" s="96">
        <v>51.72441870457655</v>
      </c>
      <c r="F30" s="96">
        <v>62.847054884892806</v>
      </c>
      <c r="G30" s="96">
        <v>64.798632902412294</v>
      </c>
      <c r="H30" s="96">
        <v>72.811391424745437</v>
      </c>
      <c r="I30" s="96">
        <v>56.686007020684244</v>
      </c>
      <c r="J30" s="96">
        <v>63.941633489564374</v>
      </c>
      <c r="K30" s="96">
        <v>75.514279269097329</v>
      </c>
      <c r="L30" s="96">
        <v>28.993313878158961</v>
      </c>
      <c r="M30" s="96">
        <v>89.489280875823368</v>
      </c>
      <c r="N30" s="96">
        <v>12.4882717798799</v>
      </c>
      <c r="O30" s="96">
        <v>99.893235957660124</v>
      </c>
      <c r="P30" s="81">
        <f t="shared" si="0"/>
        <v>734.47109837094422</v>
      </c>
      <c r="Q30" s="81"/>
    </row>
    <row r="31" spans="1:18">
      <c r="A31" s="859">
        <f t="shared" si="1"/>
        <v>20</v>
      </c>
      <c r="B31" s="709">
        <v>8800</v>
      </c>
      <c r="C31" s="81" t="s">
        <v>929</v>
      </c>
      <c r="D31" s="96">
        <v>45.81368014339472</v>
      </c>
      <c r="E31" s="96">
        <v>40.103198435586464</v>
      </c>
      <c r="F31" s="96">
        <v>59.358833228563022</v>
      </c>
      <c r="G31" s="96">
        <v>48.649024452875622</v>
      </c>
      <c r="H31" s="96">
        <v>45.111800112604683</v>
      </c>
      <c r="I31" s="96">
        <v>62.425843899247646</v>
      </c>
      <c r="J31" s="96">
        <v>42.221944945934013</v>
      </c>
      <c r="K31" s="96">
        <v>75.016584643669106</v>
      </c>
      <c r="L31" s="96">
        <v>45.726111016051902</v>
      </c>
      <c r="M31" s="96">
        <v>49.003877749065268</v>
      </c>
      <c r="N31" s="96">
        <v>39.21016432684879</v>
      </c>
      <c r="O31" s="96">
        <v>54.650791018153157</v>
      </c>
      <c r="P31" s="81">
        <f t="shared" si="0"/>
        <v>607.29185397199444</v>
      </c>
      <c r="Q31" s="81"/>
    </row>
    <row r="32" spans="1:18">
      <c r="A32" s="859">
        <f t="shared" si="1"/>
        <v>21</v>
      </c>
      <c r="B32" s="709">
        <v>8810</v>
      </c>
      <c r="C32" s="81" t="s">
        <v>930</v>
      </c>
      <c r="D32" s="96">
        <v>22636.574905593472</v>
      </c>
      <c r="E32" s="96">
        <v>22513.460272626606</v>
      </c>
      <c r="F32" s="96">
        <v>22533.915455674061</v>
      </c>
      <c r="G32" s="96">
        <v>23450.137196341326</v>
      </c>
      <c r="H32" s="96">
        <v>22377.092385643569</v>
      </c>
      <c r="I32" s="96">
        <v>22730.796592505816</v>
      </c>
      <c r="J32" s="96">
        <v>23039.627241557715</v>
      </c>
      <c r="K32" s="96">
        <v>23419.940232367524</v>
      </c>
      <c r="L32" s="96">
        <v>23178.637256351038</v>
      </c>
      <c r="M32" s="96">
        <v>23603.082304585743</v>
      </c>
      <c r="N32" s="96">
        <v>22703.054250497698</v>
      </c>
      <c r="O32" s="96">
        <v>22823.228450901508</v>
      </c>
      <c r="P32" s="81">
        <f t="shared" si="0"/>
        <v>275009.54654464609</v>
      </c>
      <c r="Q32" s="81"/>
      <c r="R32" s="709"/>
    </row>
    <row r="33" spans="1:18">
      <c r="A33" s="859">
        <f t="shared" si="1"/>
        <v>22</v>
      </c>
      <c r="B33" s="366">
        <v>9010</v>
      </c>
      <c r="C33" s="80" t="s">
        <v>182</v>
      </c>
      <c r="D33" s="96">
        <v>1805.6911196453659</v>
      </c>
      <c r="E33" s="96">
        <v>1951.6249642302364</v>
      </c>
      <c r="F33" s="96">
        <v>1832.8794173703373</v>
      </c>
      <c r="G33" s="96">
        <v>1891.2930107854086</v>
      </c>
      <c r="H33" s="96">
        <v>1964.8625946454281</v>
      </c>
      <c r="I33" s="96">
        <v>1761.3954513065096</v>
      </c>
      <c r="J33" s="96">
        <v>1930.3869147595242</v>
      </c>
      <c r="K33" s="96">
        <v>2003.8298717070131</v>
      </c>
      <c r="L33" s="96">
        <v>1854.6714128168976</v>
      </c>
      <c r="M33" s="96">
        <v>2023.5391216834253</v>
      </c>
      <c r="N33" s="96">
        <v>1757.9104520455489</v>
      </c>
      <c r="O33" s="96">
        <v>1958.7043873072273</v>
      </c>
      <c r="P33" s="81">
        <f t="shared" si="0"/>
        <v>22736.788718302923</v>
      </c>
      <c r="Q33" s="81"/>
      <c r="R33" s="709"/>
    </row>
    <row r="34" spans="1:18">
      <c r="A34" s="859">
        <f t="shared" si="1"/>
        <v>23</v>
      </c>
      <c r="B34" s="366">
        <v>9020</v>
      </c>
      <c r="C34" s="80" t="s">
        <v>940</v>
      </c>
      <c r="D34" s="96">
        <v>-89.418526803043477</v>
      </c>
      <c r="E34" s="96">
        <v>-74.825582248838657</v>
      </c>
      <c r="F34" s="96">
        <v>-71.859958444237321</v>
      </c>
      <c r="G34" s="96">
        <v>-72.387080731196988</v>
      </c>
      <c r="H34" s="96">
        <v>-72.670124079146035</v>
      </c>
      <c r="I34" s="96">
        <v>-92.680469732564774</v>
      </c>
      <c r="J34" s="96">
        <v>-71.971528985756137</v>
      </c>
      <c r="K34" s="96">
        <v>-73.643793196090783</v>
      </c>
      <c r="L34" s="96">
        <v>-75.091798853546521</v>
      </c>
      <c r="M34" s="96">
        <v>-79.121571543712832</v>
      </c>
      <c r="N34" s="96">
        <v>-76.176891476504665</v>
      </c>
      <c r="O34" s="96">
        <v>-78.85467269425979</v>
      </c>
      <c r="P34" s="81">
        <f t="shared" si="0"/>
        <v>-928.70199878889787</v>
      </c>
      <c r="Q34" s="81"/>
      <c r="R34" s="709"/>
    </row>
    <row r="35" spans="1:18">
      <c r="A35" s="859">
        <f t="shared" si="1"/>
        <v>24</v>
      </c>
      <c r="B35" s="709">
        <v>9030</v>
      </c>
      <c r="C35" s="81" t="s">
        <v>945</v>
      </c>
      <c r="D35" s="96">
        <v>362213.71910749667</v>
      </c>
      <c r="E35" s="96">
        <v>318244.17642645363</v>
      </c>
      <c r="F35" s="96">
        <v>302626.57183763711</v>
      </c>
      <c r="G35" s="96">
        <v>307187.27779892366</v>
      </c>
      <c r="H35" s="96">
        <v>310921.75353640475</v>
      </c>
      <c r="I35" s="96">
        <v>370510.27305567672</v>
      </c>
      <c r="J35" s="96">
        <v>307622.36908867885</v>
      </c>
      <c r="K35" s="96">
        <v>313295.57009283517</v>
      </c>
      <c r="L35" s="96">
        <v>315354.77259455703</v>
      </c>
      <c r="M35" s="96">
        <v>334764.76170207036</v>
      </c>
      <c r="N35" s="96">
        <v>316176.10992187692</v>
      </c>
      <c r="O35" s="96">
        <v>330982.0167252089</v>
      </c>
      <c r="P35" s="81">
        <f t="shared" si="0"/>
        <v>3889899.3718878198</v>
      </c>
      <c r="Q35" s="81"/>
      <c r="R35" s="709"/>
    </row>
    <row r="36" spans="1:18">
      <c r="A36" s="859">
        <f t="shared" si="1"/>
        <v>25</v>
      </c>
      <c r="B36" s="709">
        <v>9100</v>
      </c>
      <c r="C36" s="81" t="s">
        <v>948</v>
      </c>
      <c r="D36" s="96">
        <v>129.95579600306419</v>
      </c>
      <c r="E36" s="96">
        <v>202.5173264555884</v>
      </c>
      <c r="F36" s="96">
        <v>96.246543732494999</v>
      </c>
      <c r="G36" s="96">
        <v>102.05258633769314</v>
      </c>
      <c r="H36" s="96">
        <v>122.52359139749251</v>
      </c>
      <c r="I36" s="96">
        <v>121.55091465295459</v>
      </c>
      <c r="J36" s="96">
        <v>103.84502342344136</v>
      </c>
      <c r="K36" s="96">
        <v>102.59100089985874</v>
      </c>
      <c r="L36" s="96">
        <v>93.093067977990714</v>
      </c>
      <c r="M36" s="96">
        <v>96.303385641379975</v>
      </c>
      <c r="N36" s="96">
        <v>127.9802479586352</v>
      </c>
      <c r="O36" s="96">
        <v>99.098057264286282</v>
      </c>
      <c r="P36" s="81">
        <f t="shared" si="0"/>
        <v>1397.7575417448802</v>
      </c>
      <c r="Q36" s="81"/>
      <c r="R36" s="709"/>
    </row>
    <row r="37" spans="1:18">
      <c r="A37" s="859">
        <f t="shared" si="1"/>
        <v>26</v>
      </c>
      <c r="B37" s="709">
        <v>9110</v>
      </c>
      <c r="C37" s="81" t="s">
        <v>949</v>
      </c>
      <c r="D37" s="96">
        <v>9719.4268926922996</v>
      </c>
      <c r="E37" s="96">
        <v>9878.9403253874407</v>
      </c>
      <c r="F37" s="96">
        <v>10582.135111526617</v>
      </c>
      <c r="G37" s="96">
        <v>10159.029728322921</v>
      </c>
      <c r="H37" s="96">
        <v>10243.952161814912</v>
      </c>
      <c r="I37" s="96">
        <v>10601.143973816734</v>
      </c>
      <c r="J37" s="96">
        <v>9886.1189447600318</v>
      </c>
      <c r="K37" s="96">
        <v>12285.133421482878</v>
      </c>
      <c r="L37" s="96">
        <v>9808.9413147047053</v>
      </c>
      <c r="M37" s="96">
        <v>10521.738670215535</v>
      </c>
      <c r="N37" s="96">
        <v>9080.8642044271346</v>
      </c>
      <c r="O37" s="96">
        <v>10807.253893755014</v>
      </c>
      <c r="P37" s="81">
        <f t="shared" si="0"/>
        <v>123574.67864290622</v>
      </c>
      <c r="Q37" s="81"/>
      <c r="R37" s="709"/>
    </row>
    <row r="38" spans="1:18">
      <c r="A38" s="859">
        <f t="shared" si="1"/>
        <v>27</v>
      </c>
      <c r="B38" s="709">
        <v>9120</v>
      </c>
      <c r="C38" s="81" t="s">
        <v>950</v>
      </c>
      <c r="D38" s="96">
        <v>84.986240991391455</v>
      </c>
      <c r="E38" s="96">
        <v>132.43877410962966</v>
      </c>
      <c r="F38" s="96">
        <v>62.941647943470343</v>
      </c>
      <c r="G38" s="96">
        <v>66.738583141651276</v>
      </c>
      <c r="H38" s="96">
        <v>80.125856528881215</v>
      </c>
      <c r="I38" s="96">
        <v>79.489762235587264</v>
      </c>
      <c r="J38" s="96">
        <v>67.910770106884542</v>
      </c>
      <c r="K38" s="96">
        <v>67.090686173149791</v>
      </c>
      <c r="L38" s="96">
        <v>60.87939247910851</v>
      </c>
      <c r="M38" s="96">
        <v>62.978820430696658</v>
      </c>
      <c r="N38" s="96">
        <v>83.694306292380759</v>
      </c>
      <c r="O38" s="96">
        <v>64.806431382581536</v>
      </c>
      <c r="P38" s="81">
        <f t="shared" si="0"/>
        <v>914.08127181541306</v>
      </c>
      <c r="Q38" s="81"/>
    </row>
    <row r="39" spans="1:18">
      <c r="A39" s="859">
        <f t="shared" si="1"/>
        <v>28</v>
      </c>
      <c r="B39" s="709">
        <v>9130</v>
      </c>
      <c r="C39" s="81" t="s">
        <v>951</v>
      </c>
      <c r="D39" s="96">
        <v>64.296932298398531</v>
      </c>
      <c r="E39" s="96">
        <v>100.19747659473856</v>
      </c>
      <c r="F39" s="96">
        <v>47.618941952978929</v>
      </c>
      <c r="G39" s="96">
        <v>50.491539711521689</v>
      </c>
      <c r="H39" s="96">
        <v>60.619774595166739</v>
      </c>
      <c r="I39" s="96">
        <v>60.138533029070629</v>
      </c>
      <c r="J39" s="96">
        <v>51.378365920864248</v>
      </c>
      <c r="K39" s="96">
        <v>50.757925711352108</v>
      </c>
      <c r="L39" s="96">
        <v>46.05872822394123</v>
      </c>
      <c r="M39" s="96">
        <v>47.647065056985795</v>
      </c>
      <c r="N39" s="96">
        <v>63.319510107379912</v>
      </c>
      <c r="O39" s="96">
        <v>49.029756846508022</v>
      </c>
      <c r="P39" s="81">
        <f t="shared" si="0"/>
        <v>691.55455004890632</v>
      </c>
      <c r="Q39" s="81"/>
      <c r="R39" s="709"/>
    </row>
    <row r="40" spans="1:18">
      <c r="A40" s="859">
        <f t="shared" si="1"/>
        <v>29</v>
      </c>
      <c r="B40" s="709">
        <v>9200</v>
      </c>
      <c r="C40" s="81" t="s">
        <v>183</v>
      </c>
      <c r="D40" s="96">
        <v>10841.401934126989</v>
      </c>
      <c r="E40" s="96">
        <v>9041.2160061607592</v>
      </c>
      <c r="F40" s="96">
        <v>8689.2180893282748</v>
      </c>
      <c r="G40" s="96">
        <v>8865.1823806848934</v>
      </c>
      <c r="H40" s="96">
        <v>8791.1542297364103</v>
      </c>
      <c r="I40" s="96">
        <v>11357.636835191708</v>
      </c>
      <c r="J40" s="96">
        <v>9231.9994590432507</v>
      </c>
      <c r="K40" s="96">
        <v>8908.3813391689655</v>
      </c>
      <c r="L40" s="96">
        <v>8869.8966534767424</v>
      </c>
      <c r="M40" s="96">
        <v>9563.8415000939422</v>
      </c>
      <c r="N40" s="96">
        <v>9215.157642332204</v>
      </c>
      <c r="O40" s="96">
        <v>9504.7422151406536</v>
      </c>
      <c r="P40" s="81">
        <f t="shared" si="0"/>
        <v>112879.82828448479</v>
      </c>
      <c r="Q40" s="81"/>
      <c r="R40" s="709"/>
    </row>
    <row r="41" spans="1:18">
      <c r="A41" s="859">
        <f t="shared" si="1"/>
        <v>30</v>
      </c>
      <c r="B41" s="709">
        <v>9210</v>
      </c>
      <c r="C41" s="81" t="s">
        <v>952</v>
      </c>
      <c r="D41" s="96">
        <v>296.00803409968876</v>
      </c>
      <c r="E41" s="96">
        <v>315.41737452202017</v>
      </c>
      <c r="F41" s="96">
        <v>333.94444970182894</v>
      </c>
      <c r="G41" s="96">
        <v>289.63380799379831</v>
      </c>
      <c r="H41" s="96">
        <v>287.74261613115681</v>
      </c>
      <c r="I41" s="96">
        <v>366.19198438816989</v>
      </c>
      <c r="J41" s="96">
        <v>261.16839866612747</v>
      </c>
      <c r="K41" s="96">
        <v>411.65701625794969</v>
      </c>
      <c r="L41" s="96">
        <v>270.19209505575674</v>
      </c>
      <c r="M41" s="96">
        <v>285.13209357848677</v>
      </c>
      <c r="N41" s="96">
        <v>263.91915316369517</v>
      </c>
      <c r="O41" s="96">
        <v>315.91400122253521</v>
      </c>
      <c r="P41" s="81">
        <f t="shared" si="0"/>
        <v>3696.9210247812143</v>
      </c>
      <c r="Q41" s="81"/>
      <c r="R41" s="709"/>
    </row>
    <row r="42" spans="1:18">
      <c r="A42" s="859">
        <f t="shared" si="1"/>
        <v>31</v>
      </c>
      <c r="B42" s="709">
        <v>9220</v>
      </c>
      <c r="C42" s="81" t="s">
        <v>953</v>
      </c>
      <c r="D42" s="96">
        <f t="shared" ref="D42:O42" si="2">-(SUM(D12:D41,D43:D48))</f>
        <v>-964767.74610000011</v>
      </c>
      <c r="E42" s="96">
        <f t="shared" si="2"/>
        <v>-1027879.2406999997</v>
      </c>
      <c r="F42" s="96">
        <f t="shared" si="2"/>
        <v>-904057.30799999973</v>
      </c>
      <c r="G42" s="96">
        <f t="shared" si="2"/>
        <v>-1001650.8632</v>
      </c>
      <c r="H42" s="96">
        <f t="shared" si="2"/>
        <v>-857469.34970000002</v>
      </c>
      <c r="I42" s="96">
        <f t="shared" si="2"/>
        <v>-934151.79590000014</v>
      </c>
      <c r="J42" s="96">
        <f t="shared" si="2"/>
        <v>-892708.49933869124</v>
      </c>
      <c r="K42" s="96">
        <f t="shared" si="2"/>
        <v>-965621.16813869157</v>
      </c>
      <c r="L42" s="96">
        <f t="shared" si="2"/>
        <v>-921858.61508549622</v>
      </c>
      <c r="M42" s="96">
        <f t="shared" si="2"/>
        <v>-1016466.980780595</v>
      </c>
      <c r="N42" s="96">
        <f t="shared" si="2"/>
        <v>-930601.72984359309</v>
      </c>
      <c r="O42" s="96">
        <f t="shared" si="2"/>
        <v>-992136.77913869149</v>
      </c>
      <c r="P42" s="81">
        <f t="shared" si="0"/>
        <v>-11409370.075925758</v>
      </c>
      <c r="Q42" s="81"/>
    </row>
    <row r="43" spans="1:18">
      <c r="A43" s="859">
        <f t="shared" si="1"/>
        <v>32</v>
      </c>
      <c r="B43" s="709">
        <v>9230</v>
      </c>
      <c r="C43" s="81" t="s">
        <v>954</v>
      </c>
      <c r="D43" s="96">
        <v>45562.763239856788</v>
      </c>
      <c r="E43" s="96">
        <v>38127.001306984501</v>
      </c>
      <c r="F43" s="96">
        <v>36615.882525468907</v>
      </c>
      <c r="G43" s="96">
        <v>36884.475051177767</v>
      </c>
      <c r="H43" s="96">
        <v>37028.698373908468</v>
      </c>
      <c r="I43" s="96">
        <v>47224.869949879721</v>
      </c>
      <c r="J43" s="96">
        <v>36672.732737047118</v>
      </c>
      <c r="K43" s="96">
        <v>37524.826604102083</v>
      </c>
      <c r="L43" s="96">
        <v>38262.650646830371</v>
      </c>
      <c r="M43" s="96">
        <v>40316.001172241158</v>
      </c>
      <c r="N43" s="96">
        <v>38815.554167395574</v>
      </c>
      <c r="O43" s="96">
        <v>40180.004197996604</v>
      </c>
      <c r="P43" s="81">
        <f t="shared" si="0"/>
        <v>473215.45997288916</v>
      </c>
      <c r="Q43" s="81"/>
    </row>
    <row r="44" spans="1:18">
      <c r="A44" s="859">
        <f t="shared" si="1"/>
        <v>33</v>
      </c>
      <c r="B44" s="709">
        <v>9240</v>
      </c>
      <c r="C44" s="81" t="s">
        <v>955</v>
      </c>
      <c r="D44" s="96">
        <v>-15824.776121374758</v>
      </c>
      <c r="E44" s="96">
        <v>-15663.944049953556</v>
      </c>
      <c r="F44" s="96">
        <v>-16093.745995802801</v>
      </c>
      <c r="G44" s="96">
        <v>-15715.263685278842</v>
      </c>
      <c r="H44" s="96">
        <v>-15830.732864760728</v>
      </c>
      <c r="I44" s="96">
        <v>-17130.677555991333</v>
      </c>
      <c r="J44" s="96">
        <v>-15235.058526163692</v>
      </c>
      <c r="K44" s="96">
        <v>-15471.953628513438</v>
      </c>
      <c r="L44" s="96">
        <v>-15767.957953693192</v>
      </c>
      <c r="M44" s="96">
        <v>-15445.835599821106</v>
      </c>
      <c r="N44" s="96">
        <v>-15445.835599821106</v>
      </c>
      <c r="O44" s="96">
        <v>-15717.554740427289</v>
      </c>
      <c r="P44" s="81">
        <f t="shared" si="0"/>
        <v>-189343.33632160188</v>
      </c>
      <c r="Q44" s="81"/>
      <c r="R44" s="709"/>
    </row>
    <row r="45" spans="1:18">
      <c r="A45" s="859">
        <f t="shared" si="1"/>
        <v>34</v>
      </c>
      <c r="B45" s="709">
        <v>9250</v>
      </c>
      <c r="C45" s="81" t="s">
        <v>956</v>
      </c>
      <c r="D45" s="96">
        <v>50882.855319189133</v>
      </c>
      <c r="E45" s="96">
        <v>51747.724004912685</v>
      </c>
      <c r="F45" s="96">
        <v>51453.932184362697</v>
      </c>
      <c r="G45" s="96">
        <v>51253.51107768053</v>
      </c>
      <c r="H45" s="96">
        <v>52101.850033742623</v>
      </c>
      <c r="I45" s="96">
        <v>53053.72260581499</v>
      </c>
      <c r="J45" s="96">
        <v>53214.924643656508</v>
      </c>
      <c r="K45" s="96">
        <v>53717.900349439697</v>
      </c>
      <c r="L45" s="96">
        <v>53404.254827317258</v>
      </c>
      <c r="M45" s="96">
        <v>54604.571982393863</v>
      </c>
      <c r="N45" s="96">
        <v>51778.199178124734</v>
      </c>
      <c r="O45" s="96">
        <v>54239.360655628851</v>
      </c>
      <c r="P45" s="81">
        <f t="shared" si="0"/>
        <v>631452.80686226371</v>
      </c>
      <c r="Q45" s="81"/>
      <c r="R45" s="709"/>
    </row>
    <row r="46" spans="1:18">
      <c r="A46" s="859">
        <f t="shared" si="1"/>
        <v>35</v>
      </c>
      <c r="B46" s="918">
        <v>9260</v>
      </c>
      <c r="C46" s="81" t="s">
        <v>957</v>
      </c>
      <c r="D46" s="96">
        <v>149958.91104249071</v>
      </c>
      <c r="E46" s="96">
        <v>231974.41225895478</v>
      </c>
      <c r="F46" s="96">
        <v>146898.94310775067</v>
      </c>
      <c r="G46" s="96">
        <v>259735.03019309763</v>
      </c>
      <c r="H46" s="96">
        <v>93286.852691979992</v>
      </c>
      <c r="I46" s="96">
        <v>88626.640115348666</v>
      </c>
      <c r="J46" s="96">
        <v>155991.59267847161</v>
      </c>
      <c r="K46" s="96">
        <v>170729.64341638141</v>
      </c>
      <c r="L46" s="96">
        <v>177461.5139111224</v>
      </c>
      <c r="M46" s="96">
        <v>198371.94854639939</v>
      </c>
      <c r="N46" s="96">
        <v>175739.47903471699</v>
      </c>
      <c r="O46" s="96">
        <v>174569.42964761809</v>
      </c>
      <c r="P46" s="81">
        <f t="shared" si="0"/>
        <v>2023344.3966443324</v>
      </c>
      <c r="Q46" s="81"/>
      <c r="R46" s="709"/>
    </row>
    <row r="47" spans="1:18">
      <c r="A47" s="859">
        <f t="shared" si="1"/>
        <v>36</v>
      </c>
      <c r="B47" s="709">
        <v>9302</v>
      </c>
      <c r="C47" s="81" t="s">
        <v>864</v>
      </c>
      <c r="D47" s="96">
        <v>7794.0433374127133</v>
      </c>
      <c r="E47" s="96">
        <v>23190.343099848826</v>
      </c>
      <c r="F47" s="96">
        <v>5760.3524584263196</v>
      </c>
      <c r="G47" s="96">
        <v>9435.3938521344753</v>
      </c>
      <c r="H47" s="96">
        <v>13247.21445540278</v>
      </c>
      <c r="I47" s="96">
        <v>10310.060902742784</v>
      </c>
      <c r="J47" s="96">
        <v>5657.3245986610036</v>
      </c>
      <c r="K47" s="96">
        <v>5801.3027139874739</v>
      </c>
      <c r="L47" s="96">
        <v>7342.588438557339</v>
      </c>
      <c r="M47" s="96">
        <v>7326.114462601684</v>
      </c>
      <c r="N47" s="96">
        <v>5922.3278381685977</v>
      </c>
      <c r="O47" s="96">
        <v>6192.2868044057295</v>
      </c>
      <c r="P47" s="81">
        <f t="shared" si="0"/>
        <v>107979.35296234973</v>
      </c>
      <c r="Q47" s="81"/>
      <c r="R47" s="709"/>
    </row>
    <row r="48" spans="1:18">
      <c r="A48" s="859">
        <f t="shared" si="1"/>
        <v>37</v>
      </c>
      <c r="B48" s="709">
        <v>9310</v>
      </c>
      <c r="C48" s="81" t="s">
        <v>185</v>
      </c>
      <c r="D48" s="96">
        <v>0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81">
        <f t="shared" si="0"/>
        <v>0</v>
      </c>
      <c r="Q48" s="81"/>
    </row>
    <row r="49" spans="1:17">
      <c r="A49" s="859">
        <f t="shared" si="1"/>
        <v>38</v>
      </c>
      <c r="B49" s="81"/>
      <c r="C49" s="884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81"/>
      <c r="P49" s="81"/>
      <c r="Q49" s="673"/>
    </row>
    <row r="50" spans="1:17" ht="15.75" thickBot="1">
      <c r="A50" s="859">
        <f t="shared" si="1"/>
        <v>39</v>
      </c>
      <c r="B50" s="81" t="s">
        <v>741</v>
      </c>
      <c r="C50" s="884"/>
      <c r="D50" s="908">
        <f t="shared" ref="D50:P50" si="3">SUM(D12:D49)</f>
        <v>-7.6397554948925972E-11</v>
      </c>
      <c r="E50" s="908">
        <f t="shared" si="3"/>
        <v>1.964508555829525E-10</v>
      </c>
      <c r="F50" s="908">
        <f t="shared" si="3"/>
        <v>1.1459633242338896E-10</v>
      </c>
      <c r="G50" s="908">
        <f t="shared" si="3"/>
        <v>-2.1827872842550278E-11</v>
      </c>
      <c r="H50" s="908">
        <f t="shared" si="3"/>
        <v>1.8189894035458565E-11</v>
      </c>
      <c r="I50" s="908">
        <f t="shared" si="3"/>
        <v>-1.6370904631912708E-11</v>
      </c>
      <c r="J50" s="908">
        <f t="shared" si="3"/>
        <v>2.0008883439004421E-11</v>
      </c>
      <c r="K50" s="908">
        <f t="shared" si="3"/>
        <v>1.4370016288012266E-10</v>
      </c>
      <c r="L50" s="908">
        <f t="shared" si="3"/>
        <v>8.1854523159563541E-11</v>
      </c>
      <c r="M50" s="908">
        <f t="shared" si="3"/>
        <v>-6.4574123825877905E-11</v>
      </c>
      <c r="N50" s="908">
        <f t="shared" si="3"/>
        <v>-8.5492501966655254E-11</v>
      </c>
      <c r="O50" s="908">
        <f t="shared" si="3"/>
        <v>1.9099388737231493E-11</v>
      </c>
      <c r="P50" s="908">
        <f t="shared" si="3"/>
        <v>1.1204974725842476E-9</v>
      </c>
      <c r="Q50" s="81"/>
    </row>
    <row r="51" spans="1:17" ht="15.75" thickTop="1">
      <c r="A51" s="859">
        <f t="shared" si="1"/>
        <v>40</v>
      </c>
      <c r="B51" s="81"/>
      <c r="C51" s="884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>
      <c r="A52" s="859">
        <f t="shared" si="1"/>
        <v>41</v>
      </c>
      <c r="B52" s="709">
        <f t="shared" ref="B52:O52" si="4">B42</f>
        <v>9220</v>
      </c>
      <c r="C52" s="81" t="str">
        <f t="shared" si="4"/>
        <v>A&amp;G-Administrative expense transferred-Credit</v>
      </c>
      <c r="D52" s="81">
        <f t="shared" si="4"/>
        <v>-964767.74610000011</v>
      </c>
      <c r="E52" s="81">
        <f t="shared" si="4"/>
        <v>-1027879.2406999997</v>
      </c>
      <c r="F52" s="81">
        <f t="shared" si="4"/>
        <v>-904057.30799999973</v>
      </c>
      <c r="G52" s="81">
        <f t="shared" si="4"/>
        <v>-1001650.8632</v>
      </c>
      <c r="H52" s="81">
        <f t="shared" si="4"/>
        <v>-857469.34970000002</v>
      </c>
      <c r="I52" s="81">
        <f t="shared" si="4"/>
        <v>-934151.79590000014</v>
      </c>
      <c r="J52" s="81">
        <f t="shared" si="4"/>
        <v>-892708.49933869124</v>
      </c>
      <c r="K52" s="81">
        <f t="shared" si="4"/>
        <v>-965621.16813869157</v>
      </c>
      <c r="L52" s="81">
        <f t="shared" si="4"/>
        <v>-921858.61508549622</v>
      </c>
      <c r="M52" s="81">
        <f t="shared" si="4"/>
        <v>-1016466.980780595</v>
      </c>
      <c r="N52" s="81">
        <f t="shared" si="4"/>
        <v>-930601.72984359309</v>
      </c>
      <c r="O52" s="81">
        <f t="shared" si="4"/>
        <v>-992136.77913869149</v>
      </c>
      <c r="P52" s="81">
        <f>SUM(D52:O52)</f>
        <v>-11409370.075925758</v>
      </c>
      <c r="Q52" s="81"/>
    </row>
    <row r="53" spans="1:17">
      <c r="A53" s="859">
        <f t="shared" si="1"/>
        <v>42</v>
      </c>
      <c r="B53" s="81"/>
      <c r="C53" s="81" t="s">
        <v>196</v>
      </c>
      <c r="D53" s="915">
        <f>Allocation!$E$17</f>
        <v>0.49440000000000001</v>
      </c>
      <c r="E53" s="915">
        <f>D53</f>
        <v>0.49440000000000001</v>
      </c>
      <c r="F53" s="915">
        <f t="shared" ref="F53:O53" si="5">E53</f>
        <v>0.49440000000000001</v>
      </c>
      <c r="G53" s="915">
        <f t="shared" si="5"/>
        <v>0.49440000000000001</v>
      </c>
      <c r="H53" s="915">
        <f t="shared" si="5"/>
        <v>0.49440000000000001</v>
      </c>
      <c r="I53" s="915">
        <f t="shared" si="5"/>
        <v>0.49440000000000001</v>
      </c>
      <c r="J53" s="915">
        <f t="shared" si="5"/>
        <v>0.49440000000000001</v>
      </c>
      <c r="K53" s="915">
        <f t="shared" si="5"/>
        <v>0.49440000000000001</v>
      </c>
      <c r="L53" s="915">
        <f t="shared" si="5"/>
        <v>0.49440000000000001</v>
      </c>
      <c r="M53" s="915">
        <f t="shared" si="5"/>
        <v>0.49440000000000001</v>
      </c>
      <c r="N53" s="915">
        <f t="shared" si="5"/>
        <v>0.49440000000000001</v>
      </c>
      <c r="O53" s="915">
        <f t="shared" si="5"/>
        <v>0.49440000000000001</v>
      </c>
      <c r="P53" s="919">
        <f>P54/P52</f>
        <v>0.49440000000000006</v>
      </c>
      <c r="Q53" s="81"/>
    </row>
    <row r="54" spans="1:17">
      <c r="A54" s="859">
        <f t="shared" si="1"/>
        <v>43</v>
      </c>
      <c r="B54" s="81"/>
      <c r="C54" s="81" t="s">
        <v>211</v>
      </c>
      <c r="D54" s="81">
        <f>D52*D53</f>
        <v>-476981.17367184005</v>
      </c>
      <c r="E54" s="81">
        <f t="shared" ref="E54:O54" si="6">E52*E53</f>
        <v>-508183.49660207989</v>
      </c>
      <c r="F54" s="81">
        <f t="shared" si="6"/>
        <v>-446965.93307519989</v>
      </c>
      <c r="G54" s="81">
        <f t="shared" si="6"/>
        <v>-495216.18676608003</v>
      </c>
      <c r="H54" s="81">
        <f t="shared" si="6"/>
        <v>-423932.84649168001</v>
      </c>
      <c r="I54" s="81">
        <f t="shared" si="6"/>
        <v>-461844.64789296006</v>
      </c>
      <c r="J54" s="81">
        <f t="shared" si="6"/>
        <v>-441355.08207304898</v>
      </c>
      <c r="K54" s="81">
        <f t="shared" si="6"/>
        <v>-477403.10552776913</v>
      </c>
      <c r="L54" s="81">
        <f t="shared" si="6"/>
        <v>-455766.89929826936</v>
      </c>
      <c r="M54" s="81">
        <f t="shared" si="6"/>
        <v>-502541.27529792616</v>
      </c>
      <c r="N54" s="81">
        <f t="shared" si="6"/>
        <v>-460089.49523467245</v>
      </c>
      <c r="O54" s="81">
        <f t="shared" si="6"/>
        <v>-490512.42360616906</v>
      </c>
      <c r="P54" s="81">
        <f>SUM(D54:O54)</f>
        <v>-5640792.5655376958</v>
      </c>
      <c r="Q54" s="81"/>
    </row>
    <row r="55" spans="1:17">
      <c r="A55" s="81"/>
      <c r="B55" s="81"/>
      <c r="C55" s="884"/>
      <c r="D55" s="652"/>
      <c r="E55" s="81"/>
      <c r="F55" s="81"/>
      <c r="G55" s="81"/>
      <c r="H55" s="81"/>
      <c r="I55" s="81"/>
      <c r="J55" s="74"/>
      <c r="K55" s="74"/>
      <c r="L55" s="74"/>
      <c r="M55" s="74"/>
      <c r="N55" s="74"/>
      <c r="O55" s="74"/>
      <c r="P55" s="74"/>
      <c r="Q55" s="81"/>
    </row>
    <row r="56" spans="1:17">
      <c r="A56" s="81"/>
      <c r="B56" s="81"/>
      <c r="C56" s="884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74"/>
      <c r="O56" s="74"/>
      <c r="P56" s="81"/>
      <c r="Q56" s="81"/>
    </row>
    <row r="57" spans="1:17">
      <c r="A57" s="81"/>
      <c r="B57" s="81" t="s">
        <v>568</v>
      </c>
      <c r="C57" s="884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74"/>
      <c r="O57" s="74"/>
      <c r="P57" s="81"/>
      <c r="Q57" s="81"/>
    </row>
    <row r="58" spans="1:17">
      <c r="A58" s="81"/>
      <c r="B58" s="81"/>
      <c r="C58" s="884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74"/>
      <c r="O58" s="74"/>
      <c r="P58" s="81"/>
      <c r="Q58" s="81"/>
    </row>
    <row r="59" spans="1:17">
      <c r="A59" s="81"/>
      <c r="B59" s="81"/>
      <c r="C59" s="17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>
      <c r="A62" s="81"/>
      <c r="B62" s="81" t="s">
        <v>961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>
      <c r="A63" s="81"/>
      <c r="B63" s="81" t="s">
        <v>1651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389"/>
      <c r="P63" s="81"/>
      <c r="Q63" s="81"/>
    </row>
    <row r="64" spans="1:17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170"/>
      <c r="P64" s="81"/>
      <c r="Q64" s="81"/>
    </row>
    <row r="65" spans="1:17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170"/>
      <c r="P65" s="81"/>
      <c r="Q65" s="81"/>
    </row>
    <row r="66" spans="1:17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>
      <c r="A67" s="81"/>
      <c r="Q67" s="81"/>
    </row>
    <row r="68" spans="1:17">
      <c r="A68" s="81"/>
      <c r="Q68" s="81"/>
    </row>
    <row r="69" spans="1:17">
      <c r="Q69" s="81"/>
    </row>
    <row r="70" spans="1:17">
      <c r="Q70" s="81"/>
    </row>
    <row r="71" spans="1:17">
      <c r="Q71" s="81"/>
    </row>
    <row r="72" spans="1:17">
      <c r="Q72" s="81"/>
    </row>
    <row r="73" spans="1:17">
      <c r="Q73" s="81"/>
    </row>
    <row r="74" spans="1:17">
      <c r="Q74" s="81"/>
    </row>
    <row r="75" spans="1:17">
      <c r="Q75" s="81"/>
    </row>
  </sheetData>
  <sortState ref="R44:S118">
    <sortCondition ref="R44:R118"/>
  </sortState>
  <mergeCells count="4">
    <mergeCell ref="A1:P1"/>
    <mergeCell ref="A2:P2"/>
    <mergeCell ref="A3:P3"/>
    <mergeCell ref="A4:P4"/>
  </mergeCells>
  <phoneticPr fontId="22" type="noConversion"/>
  <printOptions horizontalCentered="1"/>
  <pageMargins left="0.5" right="0.5" top="0.75" bottom="0.5" header="0.5" footer="0.25"/>
  <pageSetup scale="50" fitToHeight="2" orientation="landscape" verticalDpi="300" r:id="rId1"/>
  <headerFooter alignWithMargins="0">
    <oddFooter>&amp;RSchedule &amp;A
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84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B69" sqref="B69:N73"/>
    </sheetView>
  </sheetViews>
  <sheetFormatPr defaultRowHeight="15"/>
  <cols>
    <col min="1" max="1" width="4.6640625" style="196" customWidth="1"/>
    <col min="2" max="2" width="40.6640625" style="196" customWidth="1"/>
    <col min="3" max="3" width="9.5546875" style="196" bestFit="1" customWidth="1"/>
    <col min="4" max="4" width="10.6640625" style="196" customWidth="1"/>
    <col min="5" max="5" width="11.33203125" style="196" customWidth="1"/>
    <col min="6" max="6" width="12.33203125" style="196" customWidth="1"/>
    <col min="7" max="7" width="10.88671875" style="196" customWidth="1"/>
    <col min="8" max="8" width="11.77734375" style="196" customWidth="1"/>
    <col min="9" max="9" width="10.33203125" style="196" customWidth="1"/>
    <col min="10" max="14" width="9.6640625" style="196" customWidth="1"/>
    <col min="15" max="15" width="13.77734375" style="196" customWidth="1"/>
    <col min="16" max="16" width="9.77734375" style="196" bestFit="1" customWidth="1"/>
    <col min="17" max="17" width="11.44140625" style="196" bestFit="1" customWidth="1"/>
    <col min="18" max="16384" width="8.88671875" style="196"/>
  </cols>
  <sheetData>
    <row r="1" spans="1:19" s="81" customFormat="1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 s="81" customFormat="1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 s="81" customFormat="1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</row>
    <row r="4" spans="1:19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81"/>
      <c r="Q4" s="693"/>
    </row>
    <row r="5" spans="1:19">
      <c r="A5" s="81"/>
      <c r="B5" s="150"/>
      <c r="C5" s="150"/>
      <c r="D5" s="150"/>
      <c r="E5" s="150"/>
      <c r="F5" s="878"/>
      <c r="G5" s="202"/>
      <c r="H5" s="202"/>
      <c r="I5" s="202"/>
      <c r="J5" s="673"/>
      <c r="K5" s="693"/>
      <c r="Q5" s="801"/>
    </row>
    <row r="6" spans="1:19">
      <c r="A6" s="234" t="str">
        <f>'C.2.1 B'!A6</f>
        <v>Data:___X____Base Period________Forecasted Period</v>
      </c>
      <c r="I6" s="202"/>
      <c r="M6" s="231"/>
      <c r="O6" s="507" t="s">
        <v>1457</v>
      </c>
      <c r="P6" s="81"/>
    </row>
    <row r="7" spans="1:19">
      <c r="A7" s="234" t="str">
        <f>'C.2.1 B'!A7</f>
        <v>Type of Filing:___X____Original________Updated ________Revised</v>
      </c>
      <c r="E7" s="673"/>
      <c r="I7" s="202"/>
      <c r="J7" s="673"/>
      <c r="M7" s="231"/>
      <c r="N7" s="840"/>
      <c r="O7" s="508" t="s">
        <v>720</v>
      </c>
    </row>
    <row r="8" spans="1:19">
      <c r="A8" s="314" t="str">
        <f>'C.2.1 B'!A8</f>
        <v>Workpaper Reference No(s).____________________</v>
      </c>
      <c r="B8" s="238"/>
      <c r="C8" s="237"/>
      <c r="D8" s="237"/>
      <c r="E8" s="237"/>
      <c r="F8" s="237"/>
      <c r="G8" s="237"/>
      <c r="H8" s="237"/>
      <c r="I8" s="202"/>
      <c r="J8" s="237"/>
      <c r="K8" s="238"/>
      <c r="L8" s="238"/>
      <c r="M8" s="238"/>
      <c r="N8" s="204"/>
      <c r="O8" s="509" t="s">
        <v>1366</v>
      </c>
    </row>
    <row r="9" spans="1:19">
      <c r="A9" s="315" t="s">
        <v>94</v>
      </c>
      <c r="C9" s="296" t="str">
        <f>'C.2.2 B 09'!D9</f>
        <v>actual</v>
      </c>
      <c r="D9" s="296" t="str">
        <f>'C.2.2 B 09'!E9</f>
        <v>actual</v>
      </c>
      <c r="E9" s="296" t="str">
        <f>'C.2.2 B 09'!F9</f>
        <v>actual</v>
      </c>
      <c r="F9" s="296" t="str">
        <f>'C.2.2 B 09'!G9</f>
        <v>actual</v>
      </c>
      <c r="G9" s="296" t="str">
        <f>'C.2.2 B 09'!H9</f>
        <v>actual</v>
      </c>
      <c r="H9" s="296" t="str">
        <f>'C.2.2 B 09'!I9</f>
        <v>actual</v>
      </c>
      <c r="I9" s="841" t="str">
        <f>'C.2.2 B 09'!J9</f>
        <v>Forecasted</v>
      </c>
      <c r="J9" s="296" t="str">
        <f>'C.2.2 B 09'!K9</f>
        <v>Forecasted</v>
      </c>
      <c r="K9" s="296" t="str">
        <f>'C.2.2 B 09'!L9</f>
        <v>Forecasted</v>
      </c>
      <c r="L9" s="296" t="str">
        <f>'C.2.2 B 09'!M9</f>
        <v>Budgeted</v>
      </c>
      <c r="M9" s="296" t="str">
        <f>'C.2.2 B 09'!N9</f>
        <v>Budgeted</v>
      </c>
      <c r="N9" s="296" t="str">
        <f>'C.2.2 B 09'!O9</f>
        <v>Budgeted</v>
      </c>
      <c r="O9" s="882"/>
    </row>
    <row r="10" spans="1:19">
      <c r="A10" s="316" t="s">
        <v>100</v>
      </c>
      <c r="B10" s="204" t="s">
        <v>192</v>
      </c>
      <c r="C10" s="208">
        <f>'C.2.2 B 09'!D10</f>
        <v>42736</v>
      </c>
      <c r="D10" s="208">
        <f>'C.2.2 B 09'!E10</f>
        <v>42767</v>
      </c>
      <c r="E10" s="208">
        <f>'C.2.2 B 09'!F10</f>
        <v>42795</v>
      </c>
      <c r="F10" s="208">
        <f>'C.2.2 B 09'!G10</f>
        <v>42826</v>
      </c>
      <c r="G10" s="208">
        <f>'C.2.2 B 09'!H10</f>
        <v>42856</v>
      </c>
      <c r="H10" s="208">
        <f>'C.2.2 B 09'!I10</f>
        <v>42887</v>
      </c>
      <c r="I10" s="208">
        <f>'C.2.2 B 09'!J10</f>
        <v>42917</v>
      </c>
      <c r="J10" s="208">
        <f>'C.2.2 B 09'!K10</f>
        <v>42948</v>
      </c>
      <c r="K10" s="208">
        <f>'C.2.2 B 09'!L10</f>
        <v>42979</v>
      </c>
      <c r="L10" s="208">
        <f>'C.2.2 B 09'!M10</f>
        <v>43009</v>
      </c>
      <c r="M10" s="208">
        <f>'C.2.2 B 09'!N10</f>
        <v>43040</v>
      </c>
      <c r="N10" s="208">
        <f>'C.2.2 B 09'!O10</f>
        <v>43070</v>
      </c>
      <c r="O10" s="208" t="str">
        <f>'C.2.2 B 09'!P10</f>
        <v>Total</v>
      </c>
      <c r="P10" s="889"/>
    </row>
    <row r="11" spans="1:19" ht="15.75">
      <c r="B11" s="298" t="s">
        <v>194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1:19">
      <c r="A12" s="462">
        <v>1</v>
      </c>
      <c r="B12" s="196" t="s">
        <v>290</v>
      </c>
      <c r="C12" s="920">
        <v>33474.340000000004</v>
      </c>
      <c r="D12" s="920">
        <v>25321.230000000003</v>
      </c>
      <c r="E12" s="920">
        <v>39053.539999999994</v>
      </c>
      <c r="F12" s="920">
        <v>21058.19</v>
      </c>
      <c r="G12" s="920">
        <v>21412.68</v>
      </c>
      <c r="H12" s="920">
        <v>20019.219999999994</v>
      </c>
      <c r="I12" s="920">
        <v>40601.718864485592</v>
      </c>
      <c r="J12" s="920">
        <v>15608.958704531018</v>
      </c>
      <c r="K12" s="920">
        <v>43260.915184325546</v>
      </c>
      <c r="L12" s="920">
        <v>20682.961310440078</v>
      </c>
      <c r="M12" s="920">
        <v>65700.187412063271</v>
      </c>
      <c r="N12" s="920">
        <v>11722.963207230254</v>
      </c>
      <c r="O12" s="920">
        <f>SUM(C12:N12)</f>
        <v>357916.90468307579</v>
      </c>
      <c r="P12" s="921"/>
      <c r="Q12" s="693"/>
      <c r="R12" s="673"/>
    </row>
    <row r="13" spans="1:19">
      <c r="A13" s="462">
        <f>A12+1</f>
        <v>2</v>
      </c>
      <c r="B13" s="196" t="s">
        <v>291</v>
      </c>
      <c r="C13" s="920">
        <v>3150.3100000000004</v>
      </c>
      <c r="D13" s="920">
        <v>26.650000000000205</v>
      </c>
      <c r="E13" s="920">
        <v>-325.63000000000005</v>
      </c>
      <c r="F13" s="920">
        <v>-3.5399999999999991</v>
      </c>
      <c r="G13" s="920">
        <v>27.099999999999998</v>
      </c>
      <c r="H13" s="920">
        <v>5.23</v>
      </c>
      <c r="I13" s="920">
        <v>729.31524253571342</v>
      </c>
      <c r="J13" s="920">
        <v>280.37856085158143</v>
      </c>
      <c r="K13" s="920">
        <v>777.08150621108064</v>
      </c>
      <c r="L13" s="920">
        <v>371.52119088422967</v>
      </c>
      <c r="M13" s="920">
        <v>1180.1507290121922</v>
      </c>
      <c r="N13" s="920">
        <v>210.57570944851918</v>
      </c>
      <c r="O13" s="196">
        <f t="shared" ref="O13:O22" si="0">SUM(C13:N13)</f>
        <v>6429.1429389433169</v>
      </c>
      <c r="P13" s="921"/>
    </row>
    <row r="14" spans="1:19">
      <c r="A14" s="462">
        <f t="shared" ref="A14:A67" si="1">A13+1</f>
        <v>3</v>
      </c>
      <c r="B14" s="196" t="s">
        <v>292</v>
      </c>
      <c r="C14" s="920">
        <v>3217.2799999999997</v>
      </c>
      <c r="D14" s="920">
        <v>939</v>
      </c>
      <c r="E14" s="920">
        <v>-2302.87</v>
      </c>
      <c r="F14" s="920">
        <v>238.95999999999998</v>
      </c>
      <c r="G14" s="920">
        <v>15.780000000000001</v>
      </c>
      <c r="H14" s="920">
        <v>4.4699999999999989</v>
      </c>
      <c r="I14" s="920">
        <v>534.9658929786948</v>
      </c>
      <c r="J14" s="920">
        <v>205.66273461740062</v>
      </c>
      <c r="K14" s="920">
        <v>570.00330946337408</v>
      </c>
      <c r="L14" s="920">
        <v>272.51749867569447</v>
      </c>
      <c r="M14" s="920">
        <v>865.66185892453689</v>
      </c>
      <c r="N14" s="920">
        <v>154.46108332122637</v>
      </c>
      <c r="O14" s="196">
        <f t="shared" si="0"/>
        <v>4715.8923779809274</v>
      </c>
      <c r="P14" s="921"/>
    </row>
    <row r="15" spans="1:19">
      <c r="A15" s="462">
        <f t="shared" si="1"/>
        <v>4</v>
      </c>
      <c r="B15" s="81" t="s">
        <v>1233</v>
      </c>
      <c r="C15" s="920">
        <v>0</v>
      </c>
      <c r="D15" s="920">
        <v>12.75</v>
      </c>
      <c r="E15" s="920">
        <v>0</v>
      </c>
      <c r="F15" s="920">
        <v>46.75</v>
      </c>
      <c r="G15" s="920">
        <v>0</v>
      </c>
      <c r="H15" s="920">
        <v>12.75</v>
      </c>
      <c r="I15" s="920">
        <v>0</v>
      </c>
      <c r="J15" s="920">
        <v>0</v>
      </c>
      <c r="K15" s="920">
        <v>0</v>
      </c>
      <c r="L15" s="920">
        <v>0</v>
      </c>
      <c r="M15" s="920">
        <v>0</v>
      </c>
      <c r="N15" s="920">
        <v>0</v>
      </c>
      <c r="O15" s="196">
        <f t="shared" si="0"/>
        <v>72.25</v>
      </c>
      <c r="P15" s="921"/>
    </row>
    <row r="16" spans="1:19">
      <c r="A16" s="462">
        <f t="shared" si="1"/>
        <v>5</v>
      </c>
      <c r="B16" s="196" t="s">
        <v>110</v>
      </c>
      <c r="C16" s="920">
        <v>245588</v>
      </c>
      <c r="D16" s="920">
        <v>245588</v>
      </c>
      <c r="E16" s="920">
        <v>245588</v>
      </c>
      <c r="F16" s="920">
        <v>245588</v>
      </c>
      <c r="G16" s="920">
        <v>245588</v>
      </c>
      <c r="H16" s="920">
        <v>245588</v>
      </c>
      <c r="I16" s="920">
        <v>248199</v>
      </c>
      <c r="J16" s="920">
        <v>248199</v>
      </c>
      <c r="K16" s="920">
        <v>248199</v>
      </c>
      <c r="L16" s="920">
        <v>391500</v>
      </c>
      <c r="M16" s="920">
        <v>391500</v>
      </c>
      <c r="N16" s="920">
        <v>391500</v>
      </c>
      <c r="O16" s="196">
        <f t="shared" si="0"/>
        <v>3392625</v>
      </c>
      <c r="P16" s="921"/>
      <c r="R16" s="922"/>
      <c r="S16" s="922"/>
    </row>
    <row r="17" spans="1:18">
      <c r="A17" s="462">
        <f t="shared" si="1"/>
        <v>6</v>
      </c>
      <c r="B17" s="196" t="s">
        <v>1374</v>
      </c>
      <c r="C17" s="920">
        <v>0</v>
      </c>
      <c r="D17" s="920">
        <v>0</v>
      </c>
      <c r="E17" s="920">
        <v>30150.68</v>
      </c>
      <c r="F17" s="920">
        <v>0</v>
      </c>
      <c r="G17" s="920">
        <v>0</v>
      </c>
      <c r="H17" s="920">
        <v>52130.400000000001</v>
      </c>
      <c r="I17" s="920">
        <v>0</v>
      </c>
      <c r="J17" s="920">
        <v>0</v>
      </c>
      <c r="K17" s="920">
        <v>0</v>
      </c>
      <c r="L17" s="920">
        <v>0</v>
      </c>
      <c r="M17" s="920">
        <v>0</v>
      </c>
      <c r="N17" s="920">
        <v>0</v>
      </c>
      <c r="O17" s="196">
        <f t="shared" si="0"/>
        <v>82281.08</v>
      </c>
      <c r="P17" s="921"/>
    </row>
    <row r="18" spans="1:18">
      <c r="A18" s="462">
        <f t="shared" si="1"/>
        <v>7</v>
      </c>
      <c r="B18" s="196" t="s">
        <v>109</v>
      </c>
      <c r="C18" s="920">
        <v>19080.940000000002</v>
      </c>
      <c r="D18" s="920">
        <v>0</v>
      </c>
      <c r="E18" s="920">
        <v>158.94999999999999</v>
      </c>
      <c r="F18" s="920">
        <v>37106.720000000001</v>
      </c>
      <c r="G18" s="920">
        <v>42</v>
      </c>
      <c r="H18" s="920">
        <v>0</v>
      </c>
      <c r="I18" s="920">
        <v>17415</v>
      </c>
      <c r="J18" s="920">
        <v>192</v>
      </c>
      <c r="K18" s="920">
        <v>47279</v>
      </c>
      <c r="L18" s="920">
        <v>12215</v>
      </c>
      <c r="M18" s="920">
        <v>64</v>
      </c>
      <c r="N18" s="920">
        <v>873</v>
      </c>
      <c r="O18" s="196">
        <f t="shared" si="0"/>
        <v>134426.60999999999</v>
      </c>
      <c r="P18" s="921"/>
    </row>
    <row r="19" spans="1:18" ht="17.25" customHeight="1">
      <c r="A19" s="462">
        <f t="shared" si="1"/>
        <v>8</v>
      </c>
      <c r="B19" s="196" t="s">
        <v>294</v>
      </c>
      <c r="C19" s="920">
        <v>27573.13</v>
      </c>
      <c r="D19" s="920">
        <v>27573.13</v>
      </c>
      <c r="E19" s="920">
        <v>27573.13</v>
      </c>
      <c r="F19" s="920">
        <v>27573.13</v>
      </c>
      <c r="G19" s="920">
        <v>27573.13</v>
      </c>
      <c r="H19" s="920">
        <v>27573.09</v>
      </c>
      <c r="I19" s="920">
        <v>25193</v>
      </c>
      <c r="J19" s="920">
        <v>25193</v>
      </c>
      <c r="K19" s="920">
        <v>25193</v>
      </c>
      <c r="L19" s="920">
        <v>24523</v>
      </c>
      <c r="M19" s="920">
        <v>24523</v>
      </c>
      <c r="N19" s="920">
        <v>24523</v>
      </c>
      <c r="O19" s="196">
        <f t="shared" si="0"/>
        <v>314586.74</v>
      </c>
      <c r="P19" s="921"/>
    </row>
    <row r="20" spans="1:18">
      <c r="A20" s="462">
        <f t="shared" si="1"/>
        <v>9</v>
      </c>
      <c r="B20" s="196" t="s">
        <v>43</v>
      </c>
      <c r="C20" s="920">
        <v>16598.849999999999</v>
      </c>
      <c r="D20" s="920">
        <v>15182.25</v>
      </c>
      <c r="E20" s="920">
        <v>12466.42</v>
      </c>
      <c r="F20" s="920">
        <v>10993.38</v>
      </c>
      <c r="G20" s="920">
        <v>15015.51</v>
      </c>
      <c r="H20" s="920">
        <v>10886.26</v>
      </c>
      <c r="I20" s="920">
        <v>9046.8071913007643</v>
      </c>
      <c r="J20" s="920">
        <v>9046.8071913007643</v>
      </c>
      <c r="K20" s="920">
        <v>9046.8071913007643</v>
      </c>
      <c r="L20" s="431">
        <f t="shared" ref="L20:N20" si="2">L52</f>
        <v>9841.2856277506526</v>
      </c>
      <c r="M20" s="431">
        <f t="shared" si="2"/>
        <v>9841.2856277506526</v>
      </c>
      <c r="N20" s="431">
        <f t="shared" si="2"/>
        <v>9841.2856277506526</v>
      </c>
      <c r="O20" s="196">
        <f t="shared" si="0"/>
        <v>137806.94845715421</v>
      </c>
      <c r="P20" s="673"/>
      <c r="Q20" s="673"/>
      <c r="R20" s="693"/>
    </row>
    <row r="21" spans="1:18" ht="15.75">
      <c r="A21" s="462">
        <f t="shared" si="1"/>
        <v>10</v>
      </c>
      <c r="B21" s="196" t="s">
        <v>1009</v>
      </c>
      <c r="C21" s="920">
        <v>26372.68</v>
      </c>
      <c r="D21" s="920">
        <v>20039.37</v>
      </c>
      <c r="E21" s="920">
        <v>15692.2</v>
      </c>
      <c r="F21" s="920">
        <v>-105354.85</v>
      </c>
      <c r="G21" s="920">
        <v>142730.79</v>
      </c>
      <c r="H21" s="920">
        <v>15677.17</v>
      </c>
      <c r="I21" s="920">
        <v>12839.193393306026</v>
      </c>
      <c r="J21" s="920">
        <v>12839.193393306026</v>
      </c>
      <c r="K21" s="920">
        <v>12839.193393306026</v>
      </c>
      <c r="L21" s="431">
        <f t="shared" ref="L21:N21" si="3">L39</f>
        <v>13777.24350902516</v>
      </c>
      <c r="M21" s="431">
        <f t="shared" si="3"/>
        <v>13777.24350902516</v>
      </c>
      <c r="N21" s="431">
        <f t="shared" si="3"/>
        <v>13777.24350902516</v>
      </c>
      <c r="O21" s="196">
        <f t="shared" si="0"/>
        <v>195006.67070699358</v>
      </c>
      <c r="P21" s="673"/>
      <c r="Q21" s="673"/>
      <c r="R21" s="911"/>
    </row>
    <row r="22" spans="1:18">
      <c r="A22" s="462">
        <f t="shared" si="1"/>
        <v>11</v>
      </c>
      <c r="B22" s="196" t="s">
        <v>1234</v>
      </c>
      <c r="C22" s="920">
        <v>55870.77</v>
      </c>
      <c r="D22" s="920">
        <v>11950.04</v>
      </c>
      <c r="E22" s="920">
        <v>6562.43</v>
      </c>
      <c r="F22" s="920">
        <v>12969.21</v>
      </c>
      <c r="G22" s="920">
        <v>19059.84</v>
      </c>
      <c r="H22" s="920">
        <v>17434.490000000002</v>
      </c>
      <c r="I22" s="920">
        <v>13807.999415393204</v>
      </c>
      <c r="J22" s="920">
        <v>13807.999415393204</v>
      </c>
      <c r="K22" s="920">
        <v>13807.999415393204</v>
      </c>
      <c r="L22" s="431">
        <f t="shared" ref="L22:N22" si="4">L67</f>
        <v>12004.719879765182</v>
      </c>
      <c r="M22" s="431">
        <f t="shared" si="4"/>
        <v>12004.719879765182</v>
      </c>
      <c r="N22" s="431">
        <f t="shared" si="4"/>
        <v>12004.719879765182</v>
      </c>
      <c r="O22" s="196">
        <f t="shared" si="0"/>
        <v>201284.93788547511</v>
      </c>
      <c r="P22" s="673"/>
      <c r="Q22" s="673"/>
      <c r="R22" s="693"/>
    </row>
    <row r="23" spans="1:18">
      <c r="A23" s="462">
        <f t="shared" si="1"/>
        <v>12</v>
      </c>
    </row>
    <row r="24" spans="1:18">
      <c r="A24" s="462">
        <f t="shared" si="1"/>
        <v>13</v>
      </c>
      <c r="B24" s="196" t="s">
        <v>97</v>
      </c>
      <c r="C24" s="546">
        <f t="shared" ref="C24:H24" si="5">SUM(C12:C22)</f>
        <v>430926.3</v>
      </c>
      <c r="D24" s="546">
        <f t="shared" si="5"/>
        <v>346632.42</v>
      </c>
      <c r="E24" s="546">
        <f t="shared" si="5"/>
        <v>374616.85</v>
      </c>
      <c r="F24" s="546">
        <f t="shared" si="5"/>
        <v>250215.94999999995</v>
      </c>
      <c r="G24" s="546">
        <f t="shared" si="5"/>
        <v>471464.83</v>
      </c>
      <c r="H24" s="546">
        <f t="shared" si="5"/>
        <v>389331.08</v>
      </c>
      <c r="I24" s="546">
        <f t="shared" ref="I24:N24" si="6">SUM(I12:I23)</f>
        <v>368367.00000000006</v>
      </c>
      <c r="J24" s="546">
        <f t="shared" si="6"/>
        <v>325373.00000000006</v>
      </c>
      <c r="K24" s="546">
        <f t="shared" si="6"/>
        <v>400973.00000000006</v>
      </c>
      <c r="L24" s="546">
        <f t="shared" si="6"/>
        <v>485188.249016541</v>
      </c>
      <c r="M24" s="546">
        <f t="shared" si="6"/>
        <v>519456.249016541</v>
      </c>
      <c r="N24" s="546">
        <f t="shared" si="6"/>
        <v>464607.249016541</v>
      </c>
      <c r="O24" s="546">
        <f>SUM(C24:N24)</f>
        <v>4827152.1770496229</v>
      </c>
      <c r="P24" s="673"/>
    </row>
    <row r="25" spans="1:18">
      <c r="A25" s="462">
        <f t="shared" si="1"/>
        <v>14</v>
      </c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231"/>
    </row>
    <row r="26" spans="1:18" ht="15.75">
      <c r="A26" s="462">
        <f t="shared" si="1"/>
        <v>15</v>
      </c>
      <c r="B26" s="298" t="s">
        <v>77</v>
      </c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P26" s="693"/>
    </row>
    <row r="27" spans="1:18">
      <c r="A27" s="462">
        <f t="shared" si="1"/>
        <v>16</v>
      </c>
      <c r="B27" s="196" t="s">
        <v>290</v>
      </c>
      <c r="C27" s="920">
        <v>375716.89000000007</v>
      </c>
      <c r="D27" s="920">
        <v>330989.88999999996</v>
      </c>
      <c r="E27" s="920">
        <v>264586.61000000016</v>
      </c>
      <c r="F27" s="920">
        <v>257411.09000000008</v>
      </c>
      <c r="G27" s="920">
        <v>370189.22000000009</v>
      </c>
      <c r="H27" s="920">
        <v>256178.7300000001</v>
      </c>
      <c r="I27" s="920">
        <v>191592.62908226048</v>
      </c>
      <c r="J27" s="920">
        <v>191592.62908226048</v>
      </c>
      <c r="K27" s="920">
        <v>191592.62908226048</v>
      </c>
      <c r="L27" s="920">
        <v>205198.53309371014</v>
      </c>
      <c r="M27" s="920">
        <v>205198.53309371014</v>
      </c>
      <c r="N27" s="920">
        <v>205198.53309371014</v>
      </c>
      <c r="O27" s="920">
        <f t="shared" ref="O27:O34" si="7">SUM(C27:N27)</f>
        <v>3045445.9165279116</v>
      </c>
      <c r="Q27" s="693"/>
    </row>
    <row r="28" spans="1:18">
      <c r="A28" s="462">
        <f t="shared" si="1"/>
        <v>17</v>
      </c>
      <c r="B28" s="196" t="s">
        <v>291</v>
      </c>
      <c r="C28" s="920">
        <v>29576.989999999998</v>
      </c>
      <c r="D28" s="920">
        <v>-104.88000000000193</v>
      </c>
      <c r="E28" s="920">
        <v>-1000.2900000000009</v>
      </c>
      <c r="F28" s="920">
        <v>39.809999999999945</v>
      </c>
      <c r="G28" s="920">
        <v>663.03</v>
      </c>
      <c r="H28" s="920">
        <v>271.64000000000004</v>
      </c>
      <c r="I28" s="920">
        <v>3041.2257454254577</v>
      </c>
      <c r="J28" s="920">
        <v>3041.2257454254577</v>
      </c>
      <c r="K28" s="920">
        <v>3041.2257454254577</v>
      </c>
      <c r="L28" s="920">
        <v>3257.1976529441035</v>
      </c>
      <c r="M28" s="920">
        <v>3257.1976529441035</v>
      </c>
      <c r="N28" s="920">
        <v>3257.1976529441035</v>
      </c>
      <c r="O28" s="196">
        <f t="shared" si="7"/>
        <v>48341.570195108674</v>
      </c>
    </row>
    <row r="29" spans="1:18">
      <c r="A29" s="462">
        <f t="shared" si="1"/>
        <v>18</v>
      </c>
      <c r="B29" s="196" t="s">
        <v>292</v>
      </c>
      <c r="C29" s="920">
        <v>55762.23000000001</v>
      </c>
      <c r="D29" s="920">
        <v>26610.37000000001</v>
      </c>
      <c r="E29" s="920">
        <v>-5864.0599999999995</v>
      </c>
      <c r="F29" s="920">
        <v>489.35000000000036</v>
      </c>
      <c r="G29" s="920">
        <v>1661.5199999999998</v>
      </c>
      <c r="H29" s="920">
        <v>982.85999999999979</v>
      </c>
      <c r="I29" s="920">
        <v>8225.4857808324214</v>
      </c>
      <c r="J29" s="920">
        <v>8225.4857808324214</v>
      </c>
      <c r="K29" s="920">
        <v>8225.4857808324214</v>
      </c>
      <c r="L29" s="920">
        <v>8809.6166553740459</v>
      </c>
      <c r="M29" s="920">
        <v>8809.6166553740459</v>
      </c>
      <c r="N29" s="920">
        <v>8809.6166553740459</v>
      </c>
      <c r="O29" s="196">
        <f t="shared" si="7"/>
        <v>130747.57730861942</v>
      </c>
    </row>
    <row r="30" spans="1:18">
      <c r="A30" s="462">
        <f t="shared" si="1"/>
        <v>19</v>
      </c>
      <c r="B30" s="196" t="s">
        <v>293</v>
      </c>
      <c r="C30" s="920">
        <v>44000</v>
      </c>
      <c r="D30" s="920">
        <v>44000</v>
      </c>
      <c r="E30" s="920">
        <v>44000</v>
      </c>
      <c r="F30" s="920">
        <v>44000</v>
      </c>
      <c r="G30" s="920">
        <v>44000</v>
      </c>
      <c r="H30" s="920">
        <v>44000</v>
      </c>
      <c r="I30" s="920">
        <v>44000</v>
      </c>
      <c r="J30" s="920">
        <v>44000</v>
      </c>
      <c r="K30" s="920">
        <v>44000</v>
      </c>
      <c r="L30" s="920">
        <v>64500</v>
      </c>
      <c r="M30" s="920">
        <v>64500</v>
      </c>
      <c r="N30" s="920">
        <v>64500</v>
      </c>
      <c r="O30" s="196">
        <f t="shared" si="7"/>
        <v>589500</v>
      </c>
      <c r="P30" s="673"/>
    </row>
    <row r="31" spans="1:18">
      <c r="A31" s="462">
        <f t="shared" si="1"/>
        <v>20</v>
      </c>
      <c r="B31" s="196" t="s">
        <v>206</v>
      </c>
      <c r="C31" s="920">
        <v>0</v>
      </c>
      <c r="D31" s="920">
        <v>0</v>
      </c>
      <c r="E31" s="920">
        <v>0</v>
      </c>
      <c r="F31" s="920">
        <v>0</v>
      </c>
      <c r="G31" s="920">
        <v>0</v>
      </c>
      <c r="H31" s="920">
        <v>0</v>
      </c>
      <c r="I31" s="920">
        <v>0</v>
      </c>
      <c r="J31" s="920">
        <v>0</v>
      </c>
      <c r="K31" s="920">
        <v>0</v>
      </c>
      <c r="L31" s="920">
        <v>0</v>
      </c>
      <c r="M31" s="920">
        <v>0</v>
      </c>
      <c r="N31" s="920">
        <v>0</v>
      </c>
      <c r="O31" s="196">
        <f t="shared" si="7"/>
        <v>0</v>
      </c>
    </row>
    <row r="32" spans="1:18">
      <c r="A32" s="462">
        <f t="shared" si="1"/>
        <v>21</v>
      </c>
      <c r="B32" s="196" t="s">
        <v>207</v>
      </c>
      <c r="C32" s="920">
        <v>258.72000000000003</v>
      </c>
      <c r="D32" s="920">
        <v>-16187.62</v>
      </c>
      <c r="E32" s="920">
        <v>0</v>
      </c>
      <c r="F32" s="920">
        <v>-2327654.2799999998</v>
      </c>
      <c r="G32" s="920">
        <v>2327847.39</v>
      </c>
      <c r="H32" s="920">
        <v>180543.62</v>
      </c>
      <c r="I32" s="920">
        <v>0</v>
      </c>
      <c r="J32" s="920">
        <v>0</v>
      </c>
      <c r="K32" s="920">
        <v>0</v>
      </c>
      <c r="L32" s="920">
        <v>0</v>
      </c>
      <c r="M32" s="920">
        <v>0</v>
      </c>
      <c r="N32" s="920">
        <v>0</v>
      </c>
      <c r="O32" s="196">
        <f t="shared" si="7"/>
        <v>164807.83000000042</v>
      </c>
      <c r="Q32" s="103"/>
      <c r="R32" s="693"/>
    </row>
    <row r="33" spans="1:17">
      <c r="A33" s="462">
        <f t="shared" si="1"/>
        <v>22</v>
      </c>
      <c r="B33" s="80"/>
      <c r="C33" s="632"/>
      <c r="D33" s="632"/>
      <c r="E33" s="632"/>
      <c r="F33" s="514"/>
      <c r="G33" s="514"/>
      <c r="H33" s="514"/>
      <c r="I33" s="514"/>
      <c r="J33" s="514"/>
      <c r="K33" s="514"/>
      <c r="L33" s="514"/>
      <c r="M33" s="514"/>
      <c r="N33" s="514"/>
    </row>
    <row r="34" spans="1:17">
      <c r="A34" s="462">
        <f t="shared" si="1"/>
        <v>23</v>
      </c>
      <c r="B34" s="196" t="s">
        <v>208</v>
      </c>
      <c r="C34" s="546">
        <f t="shared" ref="C34:N34" si="8">SUM(C27:C32)</f>
        <v>505314.83000000007</v>
      </c>
      <c r="D34" s="546">
        <f t="shared" si="8"/>
        <v>385307.75999999995</v>
      </c>
      <c r="E34" s="546">
        <f t="shared" si="8"/>
        <v>301722.26000000018</v>
      </c>
      <c r="F34" s="546">
        <f t="shared" si="8"/>
        <v>-2025714.0299999998</v>
      </c>
      <c r="G34" s="546">
        <f t="shared" si="8"/>
        <v>2744361.16</v>
      </c>
      <c r="H34" s="546">
        <f t="shared" si="8"/>
        <v>481976.85000000009</v>
      </c>
      <c r="I34" s="546">
        <f t="shared" si="8"/>
        <v>246859.34060851834</v>
      </c>
      <c r="J34" s="546">
        <f t="shared" si="8"/>
        <v>246859.34060851834</v>
      </c>
      <c r="K34" s="546">
        <f t="shared" si="8"/>
        <v>246859.34060851834</v>
      </c>
      <c r="L34" s="546">
        <f t="shared" si="8"/>
        <v>281765.34740202827</v>
      </c>
      <c r="M34" s="546">
        <f t="shared" si="8"/>
        <v>281765.34740202827</v>
      </c>
      <c r="N34" s="546">
        <f t="shared" si="8"/>
        <v>281765.34740202827</v>
      </c>
      <c r="O34" s="546">
        <f t="shared" si="7"/>
        <v>3978842.8940316415</v>
      </c>
    </row>
    <row r="35" spans="1:17">
      <c r="A35" s="462">
        <f t="shared" si="1"/>
        <v>24</v>
      </c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</row>
    <row r="36" spans="1:17">
      <c r="A36" s="462">
        <f t="shared" si="1"/>
        <v>25</v>
      </c>
      <c r="B36" s="196" t="s">
        <v>209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>
        <f>Allocation!$G$14</f>
        <v>9.8900000000000002E-2</v>
      </c>
      <c r="M36" s="320">
        <f t="shared" ref="M36:N36" si="9">L36</f>
        <v>9.8900000000000002E-2</v>
      </c>
      <c r="N36" s="320">
        <f t="shared" si="9"/>
        <v>9.8900000000000002E-2</v>
      </c>
    </row>
    <row r="37" spans="1:17">
      <c r="A37" s="462">
        <f t="shared" si="1"/>
        <v>26</v>
      </c>
      <c r="B37" s="196" t="s">
        <v>210</v>
      </c>
      <c r="C37" s="582"/>
      <c r="D37" s="582"/>
      <c r="E37" s="582"/>
      <c r="F37" s="582"/>
      <c r="G37" s="582"/>
      <c r="H37" s="582"/>
      <c r="I37" s="582"/>
      <c r="J37" s="582"/>
      <c r="K37" s="320"/>
      <c r="L37" s="582">
        <f>Allocation!$H$14</f>
        <v>0.49440000000000001</v>
      </c>
      <c r="M37" s="320">
        <f t="shared" ref="M37:N37" si="10">L37</f>
        <v>0.49440000000000001</v>
      </c>
      <c r="N37" s="320">
        <f t="shared" si="10"/>
        <v>0.49440000000000001</v>
      </c>
    </row>
    <row r="38" spans="1:17">
      <c r="A38" s="462">
        <f t="shared" si="1"/>
        <v>27</v>
      </c>
    </row>
    <row r="39" spans="1:17">
      <c r="A39" s="462">
        <f t="shared" si="1"/>
        <v>28</v>
      </c>
      <c r="B39" s="196" t="s">
        <v>211</v>
      </c>
      <c r="C39" s="546">
        <f t="shared" ref="C39:K39" si="11">C21</f>
        <v>26372.68</v>
      </c>
      <c r="D39" s="546">
        <f t="shared" si="11"/>
        <v>20039.37</v>
      </c>
      <c r="E39" s="546">
        <f t="shared" si="11"/>
        <v>15692.2</v>
      </c>
      <c r="F39" s="546">
        <f t="shared" si="11"/>
        <v>-105354.85</v>
      </c>
      <c r="G39" s="546">
        <f t="shared" si="11"/>
        <v>142730.79</v>
      </c>
      <c r="H39" s="546">
        <f t="shared" si="11"/>
        <v>15677.17</v>
      </c>
      <c r="I39" s="546">
        <f t="shared" si="11"/>
        <v>12839.193393306026</v>
      </c>
      <c r="J39" s="546">
        <f t="shared" si="11"/>
        <v>12839.193393306026</v>
      </c>
      <c r="K39" s="546">
        <f t="shared" si="11"/>
        <v>12839.193393306026</v>
      </c>
      <c r="L39" s="546">
        <f t="shared" ref="L39:N39" si="12">(L34)*L36*L37</f>
        <v>13777.24350902516</v>
      </c>
      <c r="M39" s="546">
        <f t="shared" si="12"/>
        <v>13777.24350902516</v>
      </c>
      <c r="N39" s="546">
        <f t="shared" si="12"/>
        <v>13777.24350902516</v>
      </c>
      <c r="O39" s="546">
        <f>SUM(C39:N39)</f>
        <v>195006.67070699358</v>
      </c>
    </row>
    <row r="40" spans="1:17">
      <c r="A40" s="462">
        <f t="shared" si="1"/>
        <v>29</v>
      </c>
    </row>
    <row r="41" spans="1:17" ht="15.75">
      <c r="A41" s="462">
        <f t="shared" si="1"/>
        <v>30</v>
      </c>
      <c r="B41" s="298" t="s">
        <v>78</v>
      </c>
    </row>
    <row r="42" spans="1:17">
      <c r="A42" s="462">
        <f t="shared" si="1"/>
        <v>31</v>
      </c>
      <c r="B42" s="196" t="s">
        <v>290</v>
      </c>
      <c r="C42" s="920">
        <v>199726.84999999998</v>
      </c>
      <c r="D42" s="920">
        <v>206662.44000000003</v>
      </c>
      <c r="E42" s="920">
        <v>179393.83999999997</v>
      </c>
      <c r="F42" s="920">
        <v>149612.49</v>
      </c>
      <c r="G42" s="920">
        <v>219422.88</v>
      </c>
      <c r="H42" s="920">
        <v>147259.89000000001</v>
      </c>
      <c r="I42" s="920">
        <v>109106.3382309841</v>
      </c>
      <c r="J42" s="920">
        <v>109106.3382309841</v>
      </c>
      <c r="K42" s="920">
        <v>109106.3382309841</v>
      </c>
      <c r="L42" s="920">
        <v>117898.4140319592</v>
      </c>
      <c r="M42" s="920">
        <v>117898.4140319592</v>
      </c>
      <c r="N42" s="920">
        <v>117898.4140319592</v>
      </c>
      <c r="O42" s="920">
        <f t="shared" ref="O42:O47" si="13">SUM(C42:N42)</f>
        <v>1783092.6467888297</v>
      </c>
      <c r="P42" s="673"/>
    </row>
    <row r="43" spans="1:17">
      <c r="A43" s="462">
        <f t="shared" si="1"/>
        <v>32</v>
      </c>
      <c r="B43" s="196" t="s">
        <v>291</v>
      </c>
      <c r="C43" s="920">
        <v>16982.820000000003</v>
      </c>
      <c r="D43" s="920">
        <v>288.73999999999978</v>
      </c>
      <c r="E43" s="920">
        <v>-479.12999999999988</v>
      </c>
      <c r="F43" s="920">
        <v>12.310000000000002</v>
      </c>
      <c r="G43" s="920">
        <v>393.75</v>
      </c>
      <c r="H43" s="920">
        <v>155.62</v>
      </c>
      <c r="I43" s="920">
        <v>1718.0659856307532</v>
      </c>
      <c r="J43" s="920">
        <v>1718.0659856307532</v>
      </c>
      <c r="K43" s="920">
        <v>1718.0659856307532</v>
      </c>
      <c r="L43" s="920">
        <v>1856.5122631033203</v>
      </c>
      <c r="M43" s="920">
        <v>1856.5122631033203</v>
      </c>
      <c r="N43" s="920">
        <v>1856.5122631033203</v>
      </c>
      <c r="O43" s="196">
        <f t="shared" si="13"/>
        <v>28077.844746202223</v>
      </c>
    </row>
    <row r="44" spans="1:17">
      <c r="A44" s="462">
        <f t="shared" si="1"/>
        <v>33</v>
      </c>
      <c r="B44" s="196" t="s">
        <v>292</v>
      </c>
      <c r="C44" s="920">
        <v>32014</v>
      </c>
      <c r="D44" s="920">
        <v>16790.55</v>
      </c>
      <c r="E44" s="920">
        <v>-3067.1200000000008</v>
      </c>
      <c r="F44" s="920">
        <v>245.43000000000006</v>
      </c>
      <c r="G44" s="920">
        <v>984.52</v>
      </c>
      <c r="H44" s="920">
        <v>565.58000000000015</v>
      </c>
      <c r="I44" s="920">
        <v>4705.7879529602587</v>
      </c>
      <c r="J44" s="920">
        <v>4705.7879529602587</v>
      </c>
      <c r="K44" s="920">
        <v>4705.7879529602587</v>
      </c>
      <c r="L44" s="920">
        <v>5084.9927274633828</v>
      </c>
      <c r="M44" s="920">
        <v>5084.9927274633828</v>
      </c>
      <c r="N44" s="920">
        <v>5084.9927274633828</v>
      </c>
      <c r="O44" s="196">
        <f t="shared" si="13"/>
        <v>76905.302041270916</v>
      </c>
    </row>
    <row r="45" spans="1:17">
      <c r="A45" s="462">
        <f t="shared" si="1"/>
        <v>34</v>
      </c>
      <c r="B45" s="196" t="s">
        <v>293</v>
      </c>
      <c r="C45" s="920">
        <v>44000</v>
      </c>
      <c r="D45" s="920">
        <v>44000</v>
      </c>
      <c r="E45" s="920">
        <v>44000</v>
      </c>
      <c r="F45" s="920">
        <v>44000</v>
      </c>
      <c r="G45" s="920">
        <v>44000</v>
      </c>
      <c r="H45" s="920">
        <v>44000</v>
      </c>
      <c r="I45" s="920">
        <v>44000</v>
      </c>
      <c r="J45" s="920">
        <v>44000</v>
      </c>
      <c r="K45" s="920">
        <v>44000</v>
      </c>
      <c r="L45" s="920">
        <v>48700</v>
      </c>
      <c r="M45" s="920">
        <v>48700</v>
      </c>
      <c r="N45" s="920">
        <v>48700</v>
      </c>
      <c r="O45" s="196">
        <f t="shared" si="13"/>
        <v>542100</v>
      </c>
      <c r="P45" s="673"/>
    </row>
    <row r="46" spans="1:17">
      <c r="A46" s="462">
        <f t="shared" si="1"/>
        <v>35</v>
      </c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</row>
    <row r="47" spans="1:17">
      <c r="A47" s="462">
        <f t="shared" si="1"/>
        <v>36</v>
      </c>
      <c r="B47" s="196" t="s">
        <v>208</v>
      </c>
      <c r="C47" s="546">
        <f t="shared" ref="C47:N47" si="14">SUM(C42:C45)</f>
        <v>292723.67</v>
      </c>
      <c r="D47" s="546">
        <f t="shared" si="14"/>
        <v>267741.73</v>
      </c>
      <c r="E47" s="546">
        <f t="shared" si="14"/>
        <v>219847.58999999997</v>
      </c>
      <c r="F47" s="546">
        <f t="shared" si="14"/>
        <v>193870.22999999998</v>
      </c>
      <c r="G47" s="546">
        <f t="shared" si="14"/>
        <v>264801.15000000002</v>
      </c>
      <c r="H47" s="546">
        <f t="shared" si="14"/>
        <v>191981.09</v>
      </c>
      <c r="I47" s="546">
        <f t="shared" si="14"/>
        <v>159530.19216957511</v>
      </c>
      <c r="J47" s="546">
        <f>SUM(J42:J45)</f>
        <v>159530.19216957511</v>
      </c>
      <c r="K47" s="546">
        <f t="shared" si="14"/>
        <v>159530.19216957511</v>
      </c>
      <c r="L47" s="546">
        <f t="shared" si="14"/>
        <v>173539.91902252589</v>
      </c>
      <c r="M47" s="546">
        <f t="shared" si="14"/>
        <v>173539.91902252589</v>
      </c>
      <c r="N47" s="546">
        <f t="shared" si="14"/>
        <v>173539.91902252589</v>
      </c>
      <c r="O47" s="546">
        <f t="shared" si="13"/>
        <v>2430175.7935763029</v>
      </c>
      <c r="Q47" s="103"/>
    </row>
    <row r="48" spans="1:17">
      <c r="A48" s="462">
        <f t="shared" si="1"/>
        <v>37</v>
      </c>
      <c r="C48" s="763"/>
      <c r="D48" s="763"/>
      <c r="E48" s="763"/>
      <c r="F48" s="763"/>
      <c r="G48" s="763"/>
      <c r="H48" s="763"/>
      <c r="I48" s="763"/>
      <c r="J48" s="763"/>
      <c r="K48" s="763"/>
      <c r="L48" s="763"/>
      <c r="M48" s="763"/>
      <c r="N48" s="763"/>
    </row>
    <row r="49" spans="1:17">
      <c r="A49" s="462">
        <f t="shared" si="1"/>
        <v>38</v>
      </c>
      <c r="B49" s="196" t="s">
        <v>209</v>
      </c>
      <c r="C49" s="582"/>
      <c r="D49" s="582"/>
      <c r="E49" s="582"/>
      <c r="F49" s="582"/>
      <c r="G49" s="582"/>
      <c r="H49" s="582"/>
      <c r="I49" s="582"/>
      <c r="J49" s="582"/>
      <c r="K49" s="582"/>
      <c r="L49" s="582">
        <f>Allocation!$C$15</f>
        <v>0.10929999999999999</v>
      </c>
      <c r="M49" s="582">
        <f t="shared" ref="M49:N49" si="15">L49</f>
        <v>0.10929999999999999</v>
      </c>
      <c r="N49" s="582">
        <f t="shared" si="15"/>
        <v>0.10929999999999999</v>
      </c>
    </row>
    <row r="50" spans="1:17">
      <c r="A50" s="462">
        <f t="shared" si="1"/>
        <v>39</v>
      </c>
      <c r="B50" s="196" t="s">
        <v>210</v>
      </c>
      <c r="C50" s="582"/>
      <c r="D50" s="831"/>
      <c r="E50" s="582"/>
      <c r="F50" s="582"/>
      <c r="G50" s="582"/>
      <c r="H50" s="582"/>
      <c r="I50" s="582"/>
      <c r="J50" s="582"/>
      <c r="K50" s="582"/>
      <c r="L50" s="582">
        <f>Allocation!$D$15</f>
        <v>0.51883860656465508</v>
      </c>
      <c r="M50" s="582">
        <f t="shared" ref="M50:N50" si="16">L50</f>
        <v>0.51883860656465508</v>
      </c>
      <c r="N50" s="582">
        <f t="shared" si="16"/>
        <v>0.51883860656465508</v>
      </c>
    </row>
    <row r="51" spans="1:17">
      <c r="A51" s="462">
        <f t="shared" si="1"/>
        <v>40</v>
      </c>
      <c r="J51" s="582"/>
    </row>
    <row r="52" spans="1:17">
      <c r="A52" s="462">
        <f t="shared" si="1"/>
        <v>41</v>
      </c>
      <c r="B52" s="196" t="s">
        <v>211</v>
      </c>
      <c r="C52" s="546">
        <f t="shared" ref="C52:K52" si="17">C20</f>
        <v>16598.849999999999</v>
      </c>
      <c r="D52" s="546">
        <f t="shared" si="17"/>
        <v>15182.25</v>
      </c>
      <c r="E52" s="546">
        <f t="shared" si="17"/>
        <v>12466.42</v>
      </c>
      <c r="F52" s="546">
        <f t="shared" si="17"/>
        <v>10993.38</v>
      </c>
      <c r="G52" s="546">
        <f t="shared" si="17"/>
        <v>15015.51</v>
      </c>
      <c r="H52" s="546">
        <f t="shared" si="17"/>
        <v>10886.26</v>
      </c>
      <c r="I52" s="546">
        <f t="shared" si="17"/>
        <v>9046.8071913007643</v>
      </c>
      <c r="J52" s="546">
        <f t="shared" si="17"/>
        <v>9046.8071913007643</v>
      </c>
      <c r="K52" s="546">
        <f t="shared" si="17"/>
        <v>9046.8071913007643</v>
      </c>
      <c r="L52" s="546">
        <f t="shared" ref="L52:N52" si="18">(L47)*L49*L50</f>
        <v>9841.2856277506526</v>
      </c>
      <c r="M52" s="546">
        <f t="shared" si="18"/>
        <v>9841.2856277506526</v>
      </c>
      <c r="N52" s="546">
        <f t="shared" si="18"/>
        <v>9841.2856277506526</v>
      </c>
      <c r="O52" s="546">
        <f>SUM(C52:N52)</f>
        <v>137806.94845715421</v>
      </c>
    </row>
    <row r="53" spans="1:17">
      <c r="A53" s="462">
        <f t="shared" si="1"/>
        <v>42</v>
      </c>
    </row>
    <row r="54" spans="1:17" ht="15.75">
      <c r="A54" s="462">
        <f t="shared" si="1"/>
        <v>43</v>
      </c>
      <c r="B54" s="298" t="s">
        <v>79</v>
      </c>
    </row>
    <row r="55" spans="1:17">
      <c r="A55" s="462">
        <f t="shared" si="1"/>
        <v>44</v>
      </c>
      <c r="B55" s="196" t="s">
        <v>290</v>
      </c>
      <c r="C55" s="920">
        <v>102721.98999999998</v>
      </c>
      <c r="D55" s="920">
        <v>18098.100000000002</v>
      </c>
      <c r="E55" s="920">
        <v>9388.9100000000035</v>
      </c>
      <c r="F55" s="920">
        <v>20668.28</v>
      </c>
      <c r="G55" s="920">
        <v>32893.550000000003</v>
      </c>
      <c r="H55" s="920">
        <v>29690.670000000002</v>
      </c>
      <c r="I55" s="920">
        <v>22205.157145459118</v>
      </c>
      <c r="J55" s="920">
        <v>22205.157145459118</v>
      </c>
      <c r="K55" s="920">
        <v>22205.157145459118</v>
      </c>
      <c r="L55" s="920">
        <v>23789.232510700818</v>
      </c>
      <c r="M55" s="920">
        <v>23789.232510700818</v>
      </c>
      <c r="N55" s="920">
        <v>23789.232510700818</v>
      </c>
      <c r="O55" s="920">
        <f t="shared" ref="O55:O62" si="19">SUM(C55:N55)</f>
        <v>351444.66896847979</v>
      </c>
    </row>
    <row r="56" spans="1:17">
      <c r="A56" s="462">
        <f t="shared" si="1"/>
        <v>45</v>
      </c>
      <c r="B56" s="196" t="s">
        <v>291</v>
      </c>
      <c r="C56" s="920">
        <v>1639.9999999999998</v>
      </c>
      <c r="D56" s="920">
        <v>43.640000000000043</v>
      </c>
      <c r="E56" s="920">
        <v>-177.32</v>
      </c>
      <c r="F56" s="920">
        <v>-2.08</v>
      </c>
      <c r="G56" s="920">
        <v>14.970000000000002</v>
      </c>
      <c r="H56" s="920">
        <v>2.57</v>
      </c>
      <c r="I56" s="920">
        <v>158.30191411948655</v>
      </c>
      <c r="J56" s="920">
        <v>158.30191411948655</v>
      </c>
      <c r="K56" s="920">
        <v>158.30191411948655</v>
      </c>
      <c r="L56" s="920">
        <v>169.59488362132888</v>
      </c>
      <c r="M56" s="920">
        <v>169.59488362132888</v>
      </c>
      <c r="N56" s="920">
        <v>169.59488362132888</v>
      </c>
      <c r="O56" s="196">
        <f t="shared" si="19"/>
        <v>2505.4703932224461</v>
      </c>
    </row>
    <row r="57" spans="1:17">
      <c r="A57" s="462">
        <f t="shared" si="1"/>
        <v>46</v>
      </c>
      <c r="B57" s="196" t="s">
        <v>292</v>
      </c>
      <c r="C57" s="920">
        <v>1674.8899999999999</v>
      </c>
      <c r="D57" s="920">
        <v>541.69999999999993</v>
      </c>
      <c r="E57" s="920">
        <v>-1258.2600000000002</v>
      </c>
      <c r="F57" s="920">
        <v>130.43</v>
      </c>
      <c r="G57" s="920">
        <v>8.7499999999999982</v>
      </c>
      <c r="H57" s="920">
        <v>2.2599999999999998</v>
      </c>
      <c r="I57" s="920">
        <v>114.40267061676961</v>
      </c>
      <c r="J57" s="920">
        <v>114.40267061676961</v>
      </c>
      <c r="K57" s="920">
        <v>114.40267061676961</v>
      </c>
      <c r="L57" s="920">
        <v>122.56394824496891</v>
      </c>
      <c r="M57" s="920">
        <v>122.56394824496891</v>
      </c>
      <c r="N57" s="920">
        <v>122.56394824496891</v>
      </c>
      <c r="O57" s="196">
        <f t="shared" si="19"/>
        <v>1810.6698565852155</v>
      </c>
    </row>
    <row r="58" spans="1:17">
      <c r="A58" s="462">
        <f t="shared" si="1"/>
        <v>47</v>
      </c>
      <c r="B58" s="80" t="s">
        <v>1233</v>
      </c>
      <c r="C58" s="920">
        <v>148.74</v>
      </c>
      <c r="D58" s="920">
        <v>97.74</v>
      </c>
      <c r="E58" s="920">
        <v>106.24</v>
      </c>
      <c r="F58" s="920">
        <v>12.75</v>
      </c>
      <c r="G58" s="920">
        <v>12.75</v>
      </c>
      <c r="H58" s="920">
        <v>0</v>
      </c>
      <c r="I58" s="920">
        <v>0</v>
      </c>
      <c r="J58" s="920">
        <v>0</v>
      </c>
      <c r="K58" s="920">
        <v>0</v>
      </c>
      <c r="L58" s="920">
        <v>0</v>
      </c>
      <c r="M58" s="920">
        <v>0</v>
      </c>
      <c r="N58" s="920">
        <v>0</v>
      </c>
      <c r="O58" s="196">
        <f t="shared" si="19"/>
        <v>378.22</v>
      </c>
    </row>
    <row r="59" spans="1:17">
      <c r="A59" s="462">
        <f t="shared" si="1"/>
        <v>48</v>
      </c>
      <c r="B59" s="196" t="s">
        <v>293</v>
      </c>
      <c r="C59" s="920">
        <v>5000</v>
      </c>
      <c r="D59" s="920">
        <v>5000</v>
      </c>
      <c r="E59" s="920">
        <v>5000</v>
      </c>
      <c r="F59" s="920">
        <v>5000</v>
      </c>
      <c r="G59" s="920">
        <v>5000</v>
      </c>
      <c r="H59" s="920">
        <v>5000</v>
      </c>
      <c r="I59" s="920">
        <v>5000</v>
      </c>
      <c r="J59" s="920">
        <v>5000</v>
      </c>
      <c r="K59" s="920">
        <v>5000</v>
      </c>
      <c r="L59" s="920">
        <v>200</v>
      </c>
      <c r="M59" s="920">
        <v>200</v>
      </c>
      <c r="N59" s="920">
        <v>200</v>
      </c>
      <c r="O59" s="196">
        <f t="shared" si="19"/>
        <v>45600</v>
      </c>
    </row>
    <row r="60" spans="1:17">
      <c r="A60" s="462">
        <f t="shared" si="1"/>
        <v>49</v>
      </c>
      <c r="B60" s="103" t="s">
        <v>1373</v>
      </c>
      <c r="C60" s="920">
        <v>0</v>
      </c>
      <c r="D60" s="920">
        <v>0</v>
      </c>
      <c r="E60" s="920">
        <v>0</v>
      </c>
      <c r="F60" s="920">
        <v>0</v>
      </c>
      <c r="G60" s="920">
        <v>0</v>
      </c>
      <c r="H60" s="920">
        <v>0</v>
      </c>
      <c r="I60" s="920">
        <v>0</v>
      </c>
      <c r="J60" s="920">
        <v>0</v>
      </c>
      <c r="K60" s="920">
        <v>0</v>
      </c>
      <c r="L60" s="920">
        <v>0</v>
      </c>
      <c r="M60" s="920">
        <v>0</v>
      </c>
      <c r="N60" s="920">
        <v>0</v>
      </c>
      <c r="O60" s="196">
        <f t="shared" si="19"/>
        <v>0</v>
      </c>
    </row>
    <row r="61" spans="1:17">
      <c r="A61" s="462">
        <f t="shared" si="1"/>
        <v>50</v>
      </c>
      <c r="B61" s="80"/>
      <c r="C61" s="514"/>
      <c r="D61" s="514"/>
      <c r="E61" s="632"/>
      <c r="F61" s="632"/>
      <c r="G61" s="514"/>
      <c r="H61" s="514"/>
      <c r="I61" s="514"/>
      <c r="J61" s="514"/>
      <c r="K61" s="514"/>
      <c r="L61" s="514"/>
      <c r="M61" s="514"/>
      <c r="N61" s="514"/>
      <c r="Q61" s="103"/>
    </row>
    <row r="62" spans="1:17">
      <c r="A62" s="462">
        <f t="shared" si="1"/>
        <v>51</v>
      </c>
      <c r="B62" s="196" t="s">
        <v>208</v>
      </c>
      <c r="C62" s="546">
        <f t="shared" ref="C62:N62" si="20">SUM(C55:C60)</f>
        <v>111185.61999999998</v>
      </c>
      <c r="D62" s="546">
        <f t="shared" si="20"/>
        <v>23781.180000000004</v>
      </c>
      <c r="E62" s="546">
        <f t="shared" si="20"/>
        <v>13059.570000000003</v>
      </c>
      <c r="F62" s="546">
        <f t="shared" si="20"/>
        <v>25809.379999999997</v>
      </c>
      <c r="G62" s="546">
        <f t="shared" si="20"/>
        <v>37930.020000000004</v>
      </c>
      <c r="H62" s="546">
        <f t="shared" si="20"/>
        <v>34695.5</v>
      </c>
      <c r="I62" s="546">
        <f t="shared" si="20"/>
        <v>27477.861730195371</v>
      </c>
      <c r="J62" s="546">
        <f t="shared" si="20"/>
        <v>27477.861730195371</v>
      </c>
      <c r="K62" s="546">
        <f t="shared" si="20"/>
        <v>27477.861730195371</v>
      </c>
      <c r="L62" s="546">
        <f t="shared" si="20"/>
        <v>24281.391342567116</v>
      </c>
      <c r="M62" s="546">
        <f t="shared" si="20"/>
        <v>24281.391342567116</v>
      </c>
      <c r="N62" s="546">
        <f t="shared" si="20"/>
        <v>24281.391342567116</v>
      </c>
      <c r="O62" s="546">
        <f t="shared" si="19"/>
        <v>401739.02921828738</v>
      </c>
    </row>
    <row r="63" spans="1:17">
      <c r="A63" s="462">
        <f t="shared" si="1"/>
        <v>52</v>
      </c>
      <c r="C63" s="763"/>
      <c r="D63" s="763"/>
      <c r="E63" s="763"/>
      <c r="F63" s="763"/>
      <c r="G63" s="763"/>
      <c r="H63" s="763"/>
      <c r="I63" s="763"/>
      <c r="J63" s="763"/>
      <c r="K63" s="763"/>
      <c r="L63" s="763"/>
      <c r="M63" s="763"/>
      <c r="N63" s="763"/>
    </row>
    <row r="64" spans="1:17">
      <c r="A64" s="462">
        <f t="shared" si="1"/>
        <v>53</v>
      </c>
      <c r="B64" s="196" t="s">
        <v>209</v>
      </c>
      <c r="C64" s="582"/>
      <c r="D64" s="582"/>
      <c r="E64" s="582"/>
      <c r="F64" s="582"/>
      <c r="G64" s="582"/>
      <c r="H64" s="582"/>
      <c r="I64" s="582"/>
      <c r="J64" s="582"/>
      <c r="K64" s="582"/>
      <c r="L64" s="582">
        <v>1</v>
      </c>
      <c r="M64" s="582">
        <f t="shared" ref="M64:N64" si="21">L64</f>
        <v>1</v>
      </c>
      <c r="N64" s="582">
        <f t="shared" si="21"/>
        <v>1</v>
      </c>
    </row>
    <row r="65" spans="1:16">
      <c r="A65" s="462">
        <f t="shared" si="1"/>
        <v>54</v>
      </c>
      <c r="B65" s="196" t="s">
        <v>210</v>
      </c>
      <c r="C65" s="582"/>
      <c r="D65" s="582"/>
      <c r="E65" s="582"/>
      <c r="F65" s="582"/>
      <c r="G65" s="582"/>
      <c r="H65" s="582"/>
      <c r="I65" s="582"/>
      <c r="J65" s="582"/>
      <c r="K65" s="582"/>
      <c r="L65" s="582">
        <f>Allocation!$H$17</f>
        <v>0.49440000000000001</v>
      </c>
      <c r="M65" s="582">
        <f t="shared" ref="M65:N65" si="22">L65</f>
        <v>0.49440000000000001</v>
      </c>
      <c r="N65" s="582">
        <f t="shared" si="22"/>
        <v>0.49440000000000001</v>
      </c>
    </row>
    <row r="66" spans="1:16">
      <c r="A66" s="462">
        <f t="shared" si="1"/>
        <v>55</v>
      </c>
    </row>
    <row r="67" spans="1:16">
      <c r="A67" s="462">
        <f t="shared" si="1"/>
        <v>56</v>
      </c>
      <c r="B67" s="196" t="s">
        <v>211</v>
      </c>
      <c r="C67" s="546">
        <f t="shared" ref="C67:K67" si="23">C22</f>
        <v>55870.77</v>
      </c>
      <c r="D67" s="546">
        <f t="shared" si="23"/>
        <v>11950.04</v>
      </c>
      <c r="E67" s="546">
        <f t="shared" si="23"/>
        <v>6562.43</v>
      </c>
      <c r="F67" s="546">
        <f t="shared" si="23"/>
        <v>12969.21</v>
      </c>
      <c r="G67" s="546">
        <f t="shared" si="23"/>
        <v>19059.84</v>
      </c>
      <c r="H67" s="546">
        <f t="shared" si="23"/>
        <v>17434.490000000002</v>
      </c>
      <c r="I67" s="546">
        <f t="shared" si="23"/>
        <v>13807.999415393204</v>
      </c>
      <c r="J67" s="546">
        <f t="shared" si="23"/>
        <v>13807.999415393204</v>
      </c>
      <c r="K67" s="546">
        <f t="shared" si="23"/>
        <v>13807.999415393204</v>
      </c>
      <c r="L67" s="546">
        <f t="shared" ref="L67:N67" si="24">(L62)*L64*L65</f>
        <v>12004.719879765182</v>
      </c>
      <c r="M67" s="546">
        <f t="shared" si="24"/>
        <v>12004.719879765182</v>
      </c>
      <c r="N67" s="546">
        <f t="shared" si="24"/>
        <v>12004.719879765182</v>
      </c>
      <c r="O67" s="546">
        <f>SUM(C67:N67)</f>
        <v>201284.93788547511</v>
      </c>
    </row>
    <row r="68" spans="1:16">
      <c r="C68" s="763"/>
    </row>
    <row r="70" spans="1:16">
      <c r="B70" s="507"/>
      <c r="C70" s="582"/>
      <c r="D70" s="582"/>
      <c r="E70" s="582"/>
      <c r="F70" s="582"/>
      <c r="G70" s="582"/>
      <c r="H70" s="582"/>
      <c r="I70" s="582"/>
      <c r="J70" s="582"/>
      <c r="K70" s="582"/>
      <c r="L70" s="582"/>
      <c r="M70" s="582"/>
      <c r="N70" s="582"/>
      <c r="O70" s="673"/>
    </row>
    <row r="71" spans="1:16">
      <c r="B71" s="507"/>
      <c r="C71" s="582"/>
      <c r="D71" s="582"/>
      <c r="E71" s="582"/>
      <c r="F71" s="582"/>
      <c r="G71" s="582"/>
      <c r="H71" s="582"/>
      <c r="I71" s="582"/>
      <c r="J71" s="582"/>
      <c r="K71" s="582"/>
      <c r="L71" s="582"/>
      <c r="M71" s="582"/>
      <c r="N71" s="582"/>
      <c r="P71" s="673"/>
    </row>
    <row r="72" spans="1:16">
      <c r="B72" s="507"/>
      <c r="C72" s="582"/>
      <c r="D72" s="582"/>
      <c r="E72" s="582"/>
      <c r="F72" s="582"/>
      <c r="G72" s="582"/>
      <c r="H72" s="582"/>
      <c r="I72" s="582"/>
      <c r="J72" s="582"/>
      <c r="K72" s="582"/>
      <c r="L72" s="582"/>
      <c r="M72" s="582"/>
      <c r="N72" s="582"/>
      <c r="P72" s="673"/>
    </row>
    <row r="73" spans="1:16">
      <c r="P73" s="673"/>
    </row>
    <row r="74" spans="1:16">
      <c r="P74" s="673"/>
    </row>
    <row r="75" spans="1:16">
      <c r="E75" s="673"/>
      <c r="J75" s="693"/>
    </row>
    <row r="78" spans="1:16">
      <c r="J78" s="673"/>
      <c r="K78" s="673"/>
    </row>
    <row r="79" spans="1:16">
      <c r="J79" s="673"/>
      <c r="K79" s="673"/>
    </row>
    <row r="80" spans="1:16">
      <c r="J80" s="673"/>
      <c r="K80" s="673"/>
    </row>
    <row r="81" spans="10:11">
      <c r="J81" s="673"/>
      <c r="K81" s="673"/>
    </row>
    <row r="82" spans="10:11">
      <c r="J82" s="673"/>
      <c r="K82" s="673"/>
    </row>
    <row r="83" spans="10:11">
      <c r="J83" s="673"/>
      <c r="K83" s="673"/>
    </row>
    <row r="84" spans="10:11">
      <c r="J84" s="673"/>
      <c r="K84" s="673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" bottom="0.17" header="0.18" footer="0.42"/>
  <pageSetup scale="48" orientation="landscape" r:id="rId1"/>
  <headerFooter alignWithMargins="0">
    <oddFooter>&amp;RSchedule &amp;A
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69"/>
  <sheetViews>
    <sheetView view="pageBreakPreview" zoomScale="70" zoomScaleNormal="70" zoomScaleSheetLayoutView="70" workbookViewId="0">
      <pane xSplit="2" ySplit="10" topLeftCell="C11" activePane="bottomRight" state="frozen"/>
      <selection activeCell="F55" sqref="F55"/>
      <selection pane="topRight" activeCell="F55" sqref="F55"/>
      <selection pane="bottomLeft" activeCell="F55" sqref="F55"/>
      <selection pane="bottomRight" activeCell="N58" sqref="N58"/>
    </sheetView>
  </sheetViews>
  <sheetFormatPr defaultRowHeight="15"/>
  <cols>
    <col min="1" max="1" width="4.6640625" style="81" customWidth="1"/>
    <col min="2" max="2" width="40.6640625" style="81" customWidth="1"/>
    <col min="3" max="14" width="10" style="81" customWidth="1"/>
    <col min="15" max="15" width="13.88671875" style="81" customWidth="1"/>
    <col min="16" max="16" width="13.109375" style="81" bestFit="1" customWidth="1"/>
    <col min="17" max="17" width="12" style="81" bestFit="1" customWidth="1"/>
    <col min="18" max="18" width="11.44140625" style="81" bestFit="1" customWidth="1"/>
    <col min="19" max="16384" width="8.88671875" style="81"/>
  </cols>
  <sheetData>
    <row r="1" spans="1:19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</row>
    <row r="2" spans="1:19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</row>
    <row r="3" spans="1:19">
      <c r="A3" s="1172" t="s">
        <v>193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Q3" s="693"/>
    </row>
    <row r="4" spans="1:19">
      <c r="A4" s="1172" t="str">
        <f>'Table of Contents'!A4:C4</f>
        <v>Forecasted Test Period: Twelve Months Ended March 31, 2019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</row>
    <row r="5" spans="1:19">
      <c r="B5" s="150"/>
      <c r="C5" s="150"/>
      <c r="D5" s="150"/>
      <c r="E5" s="150"/>
      <c r="F5" s="878"/>
      <c r="G5" s="150"/>
      <c r="H5" s="150"/>
      <c r="I5" s="150"/>
      <c r="J5" s="150"/>
      <c r="K5" s="150"/>
      <c r="L5" s="150"/>
      <c r="M5" s="372"/>
      <c r="N5" s="150"/>
    </row>
    <row r="6" spans="1:19">
      <c r="A6" s="88" t="str">
        <f>'C.2.1 F'!A6</f>
        <v>Data:________Base Period___X____Forecasted Period</v>
      </c>
      <c r="M6" s="74"/>
      <c r="O6" s="170" t="s">
        <v>1457</v>
      </c>
    </row>
    <row r="7" spans="1:19">
      <c r="A7" s="88" t="str">
        <f>'C.2.1 F'!A7</f>
        <v>Type of Filing:___X____Original________Updated ________Revised</v>
      </c>
      <c r="E7" s="673"/>
      <c r="H7" s="673"/>
      <c r="M7" s="74"/>
      <c r="N7" s="923"/>
      <c r="O7" s="510" t="s">
        <v>721</v>
      </c>
    </row>
    <row r="8" spans="1:19">
      <c r="A8" s="392" t="str">
        <f>'C.2.1 F'!A8</f>
        <v>Workpaper Reference No(s).____________________</v>
      </c>
      <c r="B8" s="82"/>
      <c r="C8" s="151"/>
      <c r="D8" s="151"/>
      <c r="E8" s="151"/>
      <c r="F8" s="151"/>
      <c r="G8" s="151"/>
      <c r="H8" s="151"/>
      <c r="I8" s="151"/>
      <c r="J8" s="151"/>
      <c r="K8" s="151"/>
      <c r="L8" s="82"/>
      <c r="M8" s="82"/>
      <c r="N8" s="362"/>
      <c r="O8" s="924" t="str">
        <f>LEFT(C.1!J9,15)</f>
        <v>Witness: Waller</v>
      </c>
    </row>
    <row r="9" spans="1:19">
      <c r="A9" s="393" t="s">
        <v>94</v>
      </c>
      <c r="C9" s="860" t="str">
        <f>'C.2.2-F 09'!D9</f>
        <v>Forecasted</v>
      </c>
      <c r="D9" s="860" t="str">
        <f>'C.2.2-F 09'!E9</f>
        <v>Forecasted</v>
      </c>
      <c r="E9" s="860" t="str">
        <f>'C.2.2-F 09'!F9</f>
        <v>Forecasted</v>
      </c>
      <c r="F9" s="860" t="str">
        <f>'C.2.2-F 09'!G9</f>
        <v>Forecasted</v>
      </c>
      <c r="G9" s="860" t="str">
        <f>'C.2.2-F 09'!H9</f>
        <v>Forecasted</v>
      </c>
      <c r="H9" s="860" t="str">
        <f>'C.2.2-F 09'!I9</f>
        <v>Forecasted</v>
      </c>
      <c r="I9" s="860" t="str">
        <f>'C.2.2-F 09'!J9</f>
        <v>Forecasted</v>
      </c>
      <c r="J9" s="860" t="str">
        <f>'C.2.2-F 09'!K9</f>
        <v>Forecasted</v>
      </c>
      <c r="K9" s="860" t="str">
        <f>'C.2.2-F 09'!L9</f>
        <v>Forecasted</v>
      </c>
      <c r="L9" s="860" t="str">
        <f>'C.2.2-F 09'!M9</f>
        <v>Forecasted</v>
      </c>
      <c r="M9" s="860" t="str">
        <f>'C.2.2-F 09'!N9</f>
        <v>Forecasted</v>
      </c>
      <c r="N9" s="860" t="str">
        <f>'C.2.2-F 09'!O9</f>
        <v>Forecasted</v>
      </c>
      <c r="O9" s="913"/>
    </row>
    <row r="10" spans="1:19">
      <c r="A10" s="394" t="s">
        <v>100</v>
      </c>
      <c r="B10" s="362" t="s">
        <v>192</v>
      </c>
      <c r="C10" s="395">
        <f>'C.2.2-F 09'!D10</f>
        <v>43191</v>
      </c>
      <c r="D10" s="395">
        <f>'C.2.2-F 09'!E10</f>
        <v>43221</v>
      </c>
      <c r="E10" s="395">
        <f>'C.2.2-F 09'!F10</f>
        <v>43252</v>
      </c>
      <c r="F10" s="395">
        <f>'C.2.2-F 09'!G10</f>
        <v>43282</v>
      </c>
      <c r="G10" s="395">
        <f>'C.2.2-F 09'!H10</f>
        <v>43313</v>
      </c>
      <c r="H10" s="395">
        <f>'C.2.2-F 09'!I10</f>
        <v>43344</v>
      </c>
      <c r="I10" s="395">
        <f>'C.2.2-F 09'!J10</f>
        <v>43374</v>
      </c>
      <c r="J10" s="395">
        <f>'C.2.2-F 09'!K10</f>
        <v>43405</v>
      </c>
      <c r="K10" s="395">
        <f>'C.2.2-F 09'!L10</f>
        <v>43435</v>
      </c>
      <c r="L10" s="395">
        <f>'C.2.2-F 09'!M10</f>
        <v>43466</v>
      </c>
      <c r="M10" s="395">
        <f>'C.2.2-F 09'!N10</f>
        <v>43497</v>
      </c>
      <c r="N10" s="395">
        <f>'C.2.2-F 09'!O10</f>
        <v>43525</v>
      </c>
      <c r="O10" s="364" t="str">
        <f>'C.2.2 B 09'!P10</f>
        <v>Total</v>
      </c>
      <c r="P10" s="76"/>
    </row>
    <row r="11" spans="1:19" ht="15.75">
      <c r="B11" s="298"/>
      <c r="C11" s="857"/>
      <c r="D11" s="857"/>
      <c r="E11" s="857"/>
      <c r="F11" s="857"/>
      <c r="G11" s="857"/>
      <c r="H11" s="857"/>
      <c r="I11" s="857"/>
      <c r="J11" s="857"/>
      <c r="K11" s="857"/>
      <c r="L11" s="857"/>
      <c r="M11" s="857"/>
      <c r="N11" s="857"/>
      <c r="O11" s="857"/>
    </row>
    <row r="12" spans="1:19" ht="15.75">
      <c r="B12" s="298" t="s">
        <v>194</v>
      </c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</row>
    <row r="13" spans="1:19">
      <c r="A13" s="859">
        <v>1</v>
      </c>
      <c r="B13" s="81" t="s">
        <v>290</v>
      </c>
      <c r="C13" s="920">
        <f>'C.2.3 B'!F12*1.03</f>
        <v>21689.935699999998</v>
      </c>
      <c r="D13" s="920">
        <f>'C.2.3 B'!G12*1.03</f>
        <v>22055.060400000002</v>
      </c>
      <c r="E13" s="920">
        <f>'C.2.3 B'!H12*1.03</f>
        <v>20619.796599999994</v>
      </c>
      <c r="F13" s="920">
        <f>'C.2.3 B'!I12*1.03</f>
        <v>41819.770430420162</v>
      </c>
      <c r="G13" s="920">
        <f>'C.2.3 B'!J12*1.03</f>
        <v>16077.227465666949</v>
      </c>
      <c r="H13" s="920">
        <f>'C.2.3 B'!K12*1.03</f>
        <v>44558.742639855314</v>
      </c>
      <c r="I13" s="920">
        <f>'C.2.3 B'!L12*1.03</f>
        <v>21303.45014975328</v>
      </c>
      <c r="J13" s="920">
        <f>'C.2.3 B'!M12*1.03</f>
        <v>67671.193034425174</v>
      </c>
      <c r="K13" s="920">
        <f>'C.2.3 B'!N12*1.03</f>
        <v>12074.652103447163</v>
      </c>
      <c r="L13" s="920">
        <f>'C.2.3 B'!C12*1.03*1.03</f>
        <v>35512.927306000005</v>
      </c>
      <c r="M13" s="920">
        <f>'C.2.3 B'!D12*1.03*1.03</f>
        <v>26863.292907000006</v>
      </c>
      <c r="N13" s="920">
        <f>'C.2.3 B'!E12*1.03*1.03</f>
        <v>41431.900585999996</v>
      </c>
      <c r="O13" s="347">
        <f t="shared" ref="O13:O23" si="0">SUM(C13:N13)</f>
        <v>371677.94932256808</v>
      </c>
      <c r="P13" s="673"/>
      <c r="S13" s="693"/>
    </row>
    <row r="14" spans="1:19">
      <c r="A14" s="859">
        <f>A13+1</f>
        <v>2</v>
      </c>
      <c r="B14" s="81" t="s">
        <v>291</v>
      </c>
      <c r="C14" s="514">
        <f>'C.2.3 B'!F13*1.03</f>
        <v>-3.646199999999999</v>
      </c>
      <c r="D14" s="514">
        <f>'C.2.3 B'!G13*1.03</f>
        <v>27.913</v>
      </c>
      <c r="E14" s="514">
        <f>'C.2.3 B'!H13*1.03</f>
        <v>5.3869000000000007</v>
      </c>
      <c r="F14" s="514">
        <f>'C.2.3 B'!I13*1.03</f>
        <v>751.19469981178486</v>
      </c>
      <c r="G14" s="514">
        <f>'C.2.3 B'!J13*1.03</f>
        <v>288.78991767712887</v>
      </c>
      <c r="H14" s="514">
        <f>'C.2.3 B'!K13*1.03</f>
        <v>800.39395139741305</v>
      </c>
      <c r="I14" s="514">
        <f>'C.2.3 B'!L13*1.03</f>
        <v>382.66682661075657</v>
      </c>
      <c r="J14" s="514">
        <f>'C.2.3 B'!M13*1.03</f>
        <v>1215.5552508825581</v>
      </c>
      <c r="K14" s="514">
        <f>'C.2.3 B'!N13*1.03</f>
        <v>216.89298073197475</v>
      </c>
      <c r="L14" s="514">
        <f>'C.2.3 B'!C13*1.03*1.03</f>
        <v>3342.1638790000006</v>
      </c>
      <c r="M14" s="514">
        <f>'C.2.3 B'!D13*1.03*1.03</f>
        <v>28.272985000000219</v>
      </c>
      <c r="N14" s="514">
        <f>'C.2.3 B'!E13*1.03*1.03</f>
        <v>-345.46086700000012</v>
      </c>
      <c r="O14" s="431">
        <f t="shared" si="0"/>
        <v>6710.1233241116179</v>
      </c>
      <c r="P14" s="925"/>
    </row>
    <row r="15" spans="1:19">
      <c r="A15" s="859">
        <f t="shared" ref="A15:A68" si="1">A14+1</f>
        <v>3</v>
      </c>
      <c r="B15" s="81" t="s">
        <v>292</v>
      </c>
      <c r="C15" s="514">
        <f>'C.2.3 B'!F14*1.03</f>
        <v>246.12879999999998</v>
      </c>
      <c r="D15" s="514">
        <f>'C.2.3 B'!G14*1.03</f>
        <v>16.253400000000003</v>
      </c>
      <c r="E15" s="514">
        <f>'C.2.3 B'!H14*1.03</f>
        <v>4.604099999999999</v>
      </c>
      <c r="F15" s="514">
        <f>'C.2.3 B'!I14*1.03</f>
        <v>551.01486976805563</v>
      </c>
      <c r="G15" s="514">
        <f>'C.2.3 B'!J14*1.03</f>
        <v>211.83261665592264</v>
      </c>
      <c r="H15" s="514">
        <f>'C.2.3 B'!K14*1.03</f>
        <v>587.10340874727535</v>
      </c>
      <c r="I15" s="514">
        <f>'C.2.3 B'!L14*1.03</f>
        <v>280.69302363596529</v>
      </c>
      <c r="J15" s="514">
        <f>'C.2.3 B'!M14*1.03</f>
        <v>891.63171469227302</v>
      </c>
      <c r="K15" s="514">
        <f>'C.2.3 B'!N14*1.03</f>
        <v>159.09491582086315</v>
      </c>
      <c r="L15" s="514">
        <f>'C.2.3 B'!C14*1.03*1.03</f>
        <v>3413.2123519999996</v>
      </c>
      <c r="M15" s="514">
        <f>'C.2.3 B'!D14*1.03*1.03</f>
        <v>996.18510000000015</v>
      </c>
      <c r="N15" s="514">
        <f>'C.2.3 B'!E14*1.03*1.03</f>
        <v>-2443.114783</v>
      </c>
      <c r="O15" s="431">
        <f t="shared" si="0"/>
        <v>4914.6395183203558</v>
      </c>
      <c r="P15" s="925"/>
    </row>
    <row r="16" spans="1:19">
      <c r="A16" s="859">
        <f t="shared" si="1"/>
        <v>4</v>
      </c>
      <c r="B16" s="81" t="s">
        <v>1233</v>
      </c>
      <c r="C16" s="514">
        <f>'C.2.3 B'!F15*1.03</f>
        <v>48.152500000000003</v>
      </c>
      <c r="D16" s="514">
        <f>'C.2.3 B'!G15*1.03</f>
        <v>0</v>
      </c>
      <c r="E16" s="514">
        <f>'C.2.3 B'!H15*1.03</f>
        <v>13.1325</v>
      </c>
      <c r="F16" s="514">
        <f>'C.2.3 B'!I15</f>
        <v>0</v>
      </c>
      <c r="G16" s="514">
        <f>'C.2.3 B'!J15</f>
        <v>0</v>
      </c>
      <c r="H16" s="514">
        <f>'C.2.3 B'!K15</f>
        <v>0</v>
      </c>
      <c r="I16" s="514">
        <f>'C.2.3 B'!L15</f>
        <v>0</v>
      </c>
      <c r="J16" s="514">
        <f>'C.2.3 B'!M15</f>
        <v>0</v>
      </c>
      <c r="K16" s="514">
        <f>'C.2.3 B'!N15</f>
        <v>0</v>
      </c>
      <c r="L16" s="632">
        <f>'C.2.3 B'!C15*1.03</f>
        <v>0</v>
      </c>
      <c r="M16" s="632">
        <f>'C.2.3 B'!M15</f>
        <v>0</v>
      </c>
      <c r="N16" s="632">
        <f>'C.2.3 B'!N15</f>
        <v>0</v>
      </c>
      <c r="O16" s="431">
        <f t="shared" si="0"/>
        <v>61.285000000000004</v>
      </c>
      <c r="P16" s="673"/>
      <c r="R16" s="895"/>
    </row>
    <row r="17" spans="1:18">
      <c r="A17" s="859">
        <f t="shared" si="1"/>
        <v>5</v>
      </c>
      <c r="B17" s="81" t="s">
        <v>110</v>
      </c>
      <c r="C17" s="514">
        <v>423000</v>
      </c>
      <c r="D17" s="514">
        <v>423000</v>
      </c>
      <c r="E17" s="514">
        <v>423000</v>
      </c>
      <c r="F17" s="514">
        <v>423000</v>
      </c>
      <c r="G17" s="514">
        <v>423000</v>
      </c>
      <c r="H17" s="514">
        <v>423000</v>
      </c>
      <c r="I17" s="514">
        <v>423000</v>
      </c>
      <c r="J17" s="514">
        <v>423000</v>
      </c>
      <c r="K17" s="514">
        <v>423000</v>
      </c>
      <c r="L17" s="514">
        <v>423000</v>
      </c>
      <c r="M17" s="514">
        <v>423000</v>
      </c>
      <c r="N17" s="514">
        <v>423000</v>
      </c>
      <c r="O17" s="514">
        <f>SUM(C17:N17)</f>
        <v>5076000</v>
      </c>
      <c r="P17" s="629"/>
      <c r="Q17" s="629"/>
      <c r="R17" s="673"/>
    </row>
    <row r="18" spans="1:18">
      <c r="A18" s="859">
        <f t="shared" si="1"/>
        <v>6</v>
      </c>
      <c r="B18" s="196" t="s">
        <v>1374</v>
      </c>
      <c r="C18" s="514">
        <f>'C.2.3 B'!F17</f>
        <v>0</v>
      </c>
      <c r="D18" s="514">
        <f>'C.2.3 B'!G17</f>
        <v>0</v>
      </c>
      <c r="E18" s="514">
        <f>'C.2.3 B'!H17</f>
        <v>52130.400000000001</v>
      </c>
      <c r="F18" s="514">
        <f>'C.2.3 B'!I17</f>
        <v>0</v>
      </c>
      <c r="G18" s="514">
        <f>'C.2.3 B'!J17</f>
        <v>0</v>
      </c>
      <c r="H18" s="514">
        <f>'C.2.3 B'!K17</f>
        <v>0</v>
      </c>
      <c r="I18" s="514">
        <f>'C.2.3 B'!L17</f>
        <v>0</v>
      </c>
      <c r="J18" s="514">
        <f>'C.2.3 B'!M17</f>
        <v>0</v>
      </c>
      <c r="K18" s="514">
        <f>'C.2.3 B'!N17</f>
        <v>0</v>
      </c>
      <c r="L18" s="514">
        <f>'C.2.3 B'!C17</f>
        <v>0</v>
      </c>
      <c r="M18" s="514">
        <f>'C.2.3 B'!D17</f>
        <v>0</v>
      </c>
      <c r="N18" s="514">
        <f>'C.2.3 B'!E17</f>
        <v>30150.68</v>
      </c>
      <c r="O18" s="431">
        <f t="shared" si="0"/>
        <v>82281.08</v>
      </c>
      <c r="Q18" s="926"/>
    </row>
    <row r="19" spans="1:18">
      <c r="A19" s="859">
        <f t="shared" si="1"/>
        <v>7</v>
      </c>
      <c r="B19" s="81" t="s">
        <v>109</v>
      </c>
      <c r="C19" s="514">
        <f>'C.2.3 B'!F18</f>
        <v>37106.720000000001</v>
      </c>
      <c r="D19" s="514">
        <f>'C.2.3 B'!G18</f>
        <v>42</v>
      </c>
      <c r="E19" s="514">
        <f>'C.2.3 B'!H18</f>
        <v>0</v>
      </c>
      <c r="F19" s="514">
        <f>'C.2.3 B'!I18</f>
        <v>17415</v>
      </c>
      <c r="G19" s="514">
        <f>'C.2.3 B'!J18</f>
        <v>192</v>
      </c>
      <c r="H19" s="514">
        <f>'C.2.3 B'!K18</f>
        <v>47279</v>
      </c>
      <c r="I19" s="514">
        <f>'C.2.3 B'!L18</f>
        <v>12215</v>
      </c>
      <c r="J19" s="514">
        <f>'C.2.3 B'!M18</f>
        <v>64</v>
      </c>
      <c r="K19" s="514">
        <f>'C.2.3 B'!N18</f>
        <v>873</v>
      </c>
      <c r="L19" s="514">
        <f>'C.2.3 B'!C18</f>
        <v>19080.940000000002</v>
      </c>
      <c r="M19" s="514">
        <f>'C.2.3 B'!D18</f>
        <v>0</v>
      </c>
      <c r="N19" s="514">
        <f>'C.2.3 B'!E18</f>
        <v>158.94999999999999</v>
      </c>
      <c r="O19" s="431">
        <f t="shared" si="0"/>
        <v>134426.61000000002</v>
      </c>
      <c r="P19" s="673"/>
      <c r="Q19" s="926"/>
    </row>
    <row r="20" spans="1:18">
      <c r="A20" s="859">
        <f t="shared" si="1"/>
        <v>8</v>
      </c>
      <c r="B20" s="81" t="s">
        <v>294</v>
      </c>
      <c r="C20" s="514">
        <f>$O20/12</f>
        <v>28397.969559932972</v>
      </c>
      <c r="D20" s="514">
        <f>C20</f>
        <v>28397.969559932972</v>
      </c>
      <c r="E20" s="514">
        <f t="shared" ref="E20" si="2">D20</f>
        <v>28397.969559932972</v>
      </c>
      <c r="F20" s="514">
        <f t="shared" ref="F20" si="3">E20</f>
        <v>28397.969559932972</v>
      </c>
      <c r="G20" s="514">
        <f t="shared" ref="G20" si="4">F20</f>
        <v>28397.969559932972</v>
      </c>
      <c r="H20" s="514">
        <f t="shared" ref="H20" si="5">G20</f>
        <v>28397.969559932972</v>
      </c>
      <c r="I20" s="514">
        <f t="shared" ref="I20" si="6">H20</f>
        <v>28397.969559932972</v>
      </c>
      <c r="J20" s="514">
        <f t="shared" ref="J20" si="7">I20</f>
        <v>28397.969559932972</v>
      </c>
      <c r="K20" s="514">
        <f t="shared" ref="K20" si="8">J20</f>
        <v>28397.969559932972</v>
      </c>
      <c r="L20" s="514">
        <f t="shared" ref="L20" si="9">K20</f>
        <v>28397.969559932972</v>
      </c>
      <c r="M20" s="514">
        <f t="shared" ref="M20" si="10">L20</f>
        <v>28397.969559932972</v>
      </c>
      <c r="N20" s="514">
        <f t="shared" ref="N20" si="11">M20</f>
        <v>28397.969559932972</v>
      </c>
      <c r="O20" s="514">
        <f>-H.1!$E$21*SUM('C.2.2-F 09'!$P$17:$P$28)</f>
        <v>340775.63471919566</v>
      </c>
      <c r="P20" s="927"/>
      <c r="Q20" s="673"/>
      <c r="R20" s="673"/>
    </row>
    <row r="21" spans="1:18">
      <c r="A21" s="859">
        <f t="shared" si="1"/>
        <v>9</v>
      </c>
      <c r="B21" s="81" t="s">
        <v>43</v>
      </c>
      <c r="C21" s="431">
        <f>C53</f>
        <v>11736.866354638472</v>
      </c>
      <c r="D21" s="431">
        <f t="shared" ref="D21:N21" si="12">D53</f>
        <v>15879.964904618653</v>
      </c>
      <c r="E21" s="431">
        <f t="shared" si="12"/>
        <v>11626.521061010399</v>
      </c>
      <c r="F21" s="431">
        <f t="shared" si="12"/>
        <v>9731.053361637707</v>
      </c>
      <c r="G21" s="431">
        <f t="shared" si="12"/>
        <v>9731.053361637707</v>
      </c>
      <c r="H21" s="431">
        <f t="shared" si="12"/>
        <v>9731.053361637707</v>
      </c>
      <c r="I21" s="431">
        <f t="shared" si="12"/>
        <v>10274.837593185417</v>
      </c>
      <c r="J21" s="431">
        <f t="shared" si="12"/>
        <v>10274.837593185417</v>
      </c>
      <c r="K21" s="431">
        <f t="shared" si="12"/>
        <v>10274.837593185417</v>
      </c>
      <c r="L21" s="431">
        <f t="shared" si="12"/>
        <v>17946.769514222971</v>
      </c>
      <c r="M21" s="431">
        <f t="shared" si="12"/>
        <v>16443.790015699869</v>
      </c>
      <c r="N21" s="431">
        <f t="shared" si="12"/>
        <v>13562.352044133386</v>
      </c>
      <c r="O21" s="431">
        <f t="shared" si="0"/>
        <v>147213.93675879313</v>
      </c>
      <c r="P21" s="629"/>
      <c r="Q21" s="673"/>
    </row>
    <row r="22" spans="1:18">
      <c r="A22" s="859">
        <f t="shared" si="1"/>
        <v>10</v>
      </c>
      <c r="B22" s="81" t="s">
        <v>1009</v>
      </c>
      <c r="C22" s="431">
        <f>C40</f>
        <v>16398.718718473203</v>
      </c>
      <c r="D22" s="431">
        <f t="shared" ref="D22:N22" si="13">D40</f>
        <v>22168.990039126904</v>
      </c>
      <c r="E22" s="431">
        <f t="shared" si="13"/>
        <v>16373.18364749871</v>
      </c>
      <c r="F22" s="431">
        <f t="shared" si="13"/>
        <v>13624.67641116527</v>
      </c>
      <c r="G22" s="431">
        <f t="shared" si="13"/>
        <v>13624.67641116527</v>
      </c>
      <c r="H22" s="431">
        <f t="shared" si="13"/>
        <v>13624.67641116527</v>
      </c>
      <c r="I22" s="431">
        <f t="shared" si="13"/>
        <v>14350.206776695914</v>
      </c>
      <c r="J22" s="431">
        <f t="shared" si="13"/>
        <v>14350.206776695914</v>
      </c>
      <c r="K22" s="431">
        <f t="shared" si="13"/>
        <v>14350.206776695914</v>
      </c>
      <c r="L22" s="431">
        <f t="shared" si="13"/>
        <v>23523.929466973481</v>
      </c>
      <c r="M22" s="431">
        <f t="shared" si="13"/>
        <v>21203.763925060786</v>
      </c>
      <c r="N22" s="431">
        <f t="shared" si="13"/>
        <v>17759.16441858864</v>
      </c>
      <c r="O22" s="431">
        <f t="shared" si="0"/>
        <v>201352.39977930527</v>
      </c>
      <c r="P22" s="629"/>
      <c r="Q22" s="673"/>
    </row>
    <row r="23" spans="1:18">
      <c r="A23" s="859">
        <f t="shared" si="1"/>
        <v>11</v>
      </c>
      <c r="B23" s="81" t="s">
        <v>1234</v>
      </c>
      <c r="C23" s="431">
        <f>C68</f>
        <v>10745.122196159999</v>
      </c>
      <c r="D23" s="431">
        <f t="shared" ref="D23:N23" si="14">D68</f>
        <v>16917.33994464</v>
      </c>
      <c r="E23" s="431">
        <f t="shared" si="14"/>
        <v>15270.218856000001</v>
      </c>
      <c r="F23" s="431">
        <f t="shared" si="14"/>
        <v>11594.766484590851</v>
      </c>
      <c r="G23" s="431">
        <f t="shared" si="14"/>
        <v>11594.766484590851</v>
      </c>
      <c r="H23" s="431">
        <f t="shared" si="14"/>
        <v>11594.766484590851</v>
      </c>
      <c r="I23" s="431">
        <f t="shared" si="14"/>
        <v>12411.335076158137</v>
      </c>
      <c r="J23" s="431">
        <f t="shared" si="14"/>
        <v>12411.335076158137</v>
      </c>
      <c r="K23" s="431">
        <f t="shared" si="14"/>
        <v>12411.335076158137</v>
      </c>
      <c r="L23" s="431">
        <f t="shared" si="14"/>
        <v>55843.629113155192</v>
      </c>
      <c r="M23" s="431">
        <f t="shared" si="14"/>
        <v>9999.2171893727991</v>
      </c>
      <c r="N23" s="431">
        <f t="shared" si="14"/>
        <v>4375.6366787472034</v>
      </c>
      <c r="O23" s="431">
        <f t="shared" si="0"/>
        <v>185169.46866032216</v>
      </c>
      <c r="P23" s="629"/>
      <c r="Q23" s="673"/>
    </row>
    <row r="24" spans="1:18">
      <c r="A24" s="859">
        <f t="shared" si="1"/>
        <v>12</v>
      </c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</row>
    <row r="25" spans="1:18">
      <c r="A25" s="859">
        <f t="shared" si="1"/>
        <v>13</v>
      </c>
      <c r="B25" s="81" t="s">
        <v>97</v>
      </c>
      <c r="C25" s="547">
        <f t="shared" ref="C25:N25" si="15">SUM(C13:C24)</f>
        <v>549365.96762920462</v>
      </c>
      <c r="D25" s="547">
        <f t="shared" si="15"/>
        <v>528505.49124831858</v>
      </c>
      <c r="E25" s="547">
        <f t="shared" si="15"/>
        <v>567441.21322444209</v>
      </c>
      <c r="F25" s="547">
        <f t="shared" si="15"/>
        <v>546885.44581732666</v>
      </c>
      <c r="G25" s="547">
        <f t="shared" si="15"/>
        <v>503118.31581732671</v>
      </c>
      <c r="H25" s="547">
        <f t="shared" si="15"/>
        <v>579573.70581732679</v>
      </c>
      <c r="I25" s="547">
        <f t="shared" si="15"/>
        <v>522616.15900597244</v>
      </c>
      <c r="J25" s="547">
        <f t="shared" si="15"/>
        <v>558276.72900597239</v>
      </c>
      <c r="K25" s="547">
        <f t="shared" si="15"/>
        <v>501757.9890059724</v>
      </c>
      <c r="L25" s="547">
        <f t="shared" si="15"/>
        <v>610061.54119128466</v>
      </c>
      <c r="M25" s="547">
        <f t="shared" si="15"/>
        <v>526932.49168206635</v>
      </c>
      <c r="N25" s="547">
        <f t="shared" si="15"/>
        <v>556048.07763740222</v>
      </c>
      <c r="O25" s="547">
        <f>SUM(C25:N25)</f>
        <v>6550583.127082617</v>
      </c>
      <c r="P25" s="926"/>
    </row>
    <row r="26" spans="1:18">
      <c r="A26" s="859">
        <f t="shared" si="1"/>
        <v>14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8" ht="15.75">
      <c r="A27" s="859">
        <f t="shared" si="1"/>
        <v>15</v>
      </c>
      <c r="B27" s="298" t="s">
        <v>77</v>
      </c>
    </row>
    <row r="28" spans="1:18">
      <c r="A28" s="859">
        <f t="shared" si="1"/>
        <v>16</v>
      </c>
      <c r="B28" s="81" t="s">
        <v>290</v>
      </c>
      <c r="C28" s="920">
        <f>'C.2.3 B'!F27*1.03</f>
        <v>265133.42270000011</v>
      </c>
      <c r="D28" s="920">
        <f>'C.2.3 B'!G27*1.03</f>
        <v>381294.89660000009</v>
      </c>
      <c r="E28" s="920">
        <f>'C.2.3 B'!H27*1.03</f>
        <v>263864.09190000012</v>
      </c>
      <c r="F28" s="920">
        <f>'C.2.3 B'!I27*1.03</f>
        <v>197340.40795472829</v>
      </c>
      <c r="G28" s="920">
        <f>'C.2.3 B'!J27*1.03</f>
        <v>197340.40795472829</v>
      </c>
      <c r="H28" s="920">
        <f>'C.2.3 B'!K27*1.03</f>
        <v>197340.40795472829</v>
      </c>
      <c r="I28" s="920">
        <f>'C.2.3 B'!L27*1.03</f>
        <v>211354.48908652144</v>
      </c>
      <c r="J28" s="920">
        <f>'C.2.3 B'!M27*1.03</f>
        <v>211354.48908652144</v>
      </c>
      <c r="K28" s="920">
        <f>'C.2.3 B'!N27*1.03</f>
        <v>211354.48908652144</v>
      </c>
      <c r="L28" s="920">
        <f>'C.2.3 B'!C27*1.03*1.03</f>
        <v>398598.0486010001</v>
      </c>
      <c r="M28" s="920">
        <f>'C.2.3 B'!D27*1.03*1.03</f>
        <v>351147.17430100002</v>
      </c>
      <c r="N28" s="920">
        <f>'C.2.3 B'!E27*1.03*1.03</f>
        <v>280699.93454900017</v>
      </c>
      <c r="O28" s="347">
        <f t="shared" ref="O28:O35" si="16">SUM(C28:N28)</f>
        <v>3166822.2597747492</v>
      </c>
    </row>
    <row r="29" spans="1:18">
      <c r="A29" s="859">
        <f t="shared" si="1"/>
        <v>17</v>
      </c>
      <c r="B29" s="81" t="s">
        <v>291</v>
      </c>
      <c r="C29" s="514">
        <f>'C.2.3 B'!F28*1.03</f>
        <v>41.004299999999944</v>
      </c>
      <c r="D29" s="514">
        <f>'C.2.3 B'!G28*1.03</f>
        <v>682.92089999999996</v>
      </c>
      <c r="E29" s="514">
        <f>'C.2.3 B'!H28*1.03</f>
        <v>279.78920000000005</v>
      </c>
      <c r="F29" s="514">
        <f>'C.2.3 B'!I28*1.03</f>
        <v>3132.4625177882217</v>
      </c>
      <c r="G29" s="514">
        <f>'C.2.3 B'!J28*1.03</f>
        <v>3132.4625177882217</v>
      </c>
      <c r="H29" s="514">
        <f>'C.2.3 B'!K28*1.03</f>
        <v>3132.4625177882217</v>
      </c>
      <c r="I29" s="514">
        <f>'C.2.3 B'!L28*1.03</f>
        <v>3354.9135825324265</v>
      </c>
      <c r="J29" s="514">
        <f>'C.2.3 B'!M28*1.03</f>
        <v>3354.9135825324265</v>
      </c>
      <c r="K29" s="514">
        <f>'C.2.3 B'!N28*1.03</f>
        <v>3354.9135825324265</v>
      </c>
      <c r="L29" s="514">
        <f>'C.2.3 B'!L28*1.03*1.03</f>
        <v>3455.5609900083996</v>
      </c>
      <c r="M29" s="514">
        <f>'C.2.3 B'!M28*1.03*1.03</f>
        <v>3455.5609900083996</v>
      </c>
      <c r="N29" s="514">
        <f>'C.2.3 B'!N28*1.03*1.03</f>
        <v>3455.5609900083996</v>
      </c>
      <c r="O29" s="431">
        <f t="shared" si="16"/>
        <v>30832.525670987139</v>
      </c>
    </row>
    <row r="30" spans="1:18">
      <c r="A30" s="859">
        <f t="shared" si="1"/>
        <v>18</v>
      </c>
      <c r="B30" s="81" t="s">
        <v>292</v>
      </c>
      <c r="C30" s="514">
        <f>'C.2.3 B'!F29*1.03</f>
        <v>504.03050000000042</v>
      </c>
      <c r="D30" s="514">
        <f>'C.2.3 B'!G29*1.03</f>
        <v>1711.3655999999999</v>
      </c>
      <c r="E30" s="514">
        <f>'C.2.3 B'!H29*1.03</f>
        <v>1012.3457999999998</v>
      </c>
      <c r="F30" s="514">
        <f>'C.2.3 B'!I29*1.03</f>
        <v>8472.2503542573941</v>
      </c>
      <c r="G30" s="514">
        <f>'C.2.3 B'!J29*1.03</f>
        <v>8472.2503542573941</v>
      </c>
      <c r="H30" s="514">
        <f>'C.2.3 B'!K29*1.03</f>
        <v>8472.2503542573941</v>
      </c>
      <c r="I30" s="514">
        <f>'C.2.3 B'!L29*1.03</f>
        <v>9073.9051550352669</v>
      </c>
      <c r="J30" s="514">
        <f>'C.2.3 B'!M29*1.03</f>
        <v>9073.9051550352669</v>
      </c>
      <c r="K30" s="514">
        <f>'C.2.3 B'!N29*1.03</f>
        <v>9073.9051550352669</v>
      </c>
      <c r="L30" s="514">
        <f>'C.2.3 B'!L29*1.03*1.03</f>
        <v>9346.122309686325</v>
      </c>
      <c r="M30" s="514">
        <f>'C.2.3 B'!M29*1.03*1.03</f>
        <v>9346.122309686325</v>
      </c>
      <c r="N30" s="514">
        <f>'C.2.3 B'!N29*1.03*1.03</f>
        <v>9346.122309686325</v>
      </c>
      <c r="O30" s="431">
        <f t="shared" si="16"/>
        <v>83904.575356936955</v>
      </c>
    </row>
    <row r="31" spans="1:18">
      <c r="A31" s="859">
        <f t="shared" si="1"/>
        <v>19</v>
      </c>
      <c r="B31" s="81" t="s">
        <v>293</v>
      </c>
      <c r="C31" s="514">
        <v>69700</v>
      </c>
      <c r="D31" s="514">
        <v>69700</v>
      </c>
      <c r="E31" s="514">
        <v>69700</v>
      </c>
      <c r="F31" s="514">
        <v>69700</v>
      </c>
      <c r="G31" s="514">
        <v>69700</v>
      </c>
      <c r="H31" s="514">
        <v>69700</v>
      </c>
      <c r="I31" s="514">
        <v>69700</v>
      </c>
      <c r="J31" s="514">
        <v>69700</v>
      </c>
      <c r="K31" s="514">
        <v>69700</v>
      </c>
      <c r="L31" s="514">
        <v>69700</v>
      </c>
      <c r="M31" s="514">
        <v>69700</v>
      </c>
      <c r="N31" s="514">
        <v>69700</v>
      </c>
      <c r="O31" s="514">
        <f>SUM(C31:N31)</f>
        <v>836400</v>
      </c>
      <c r="P31" s="629"/>
      <c r="Q31" s="629"/>
      <c r="R31" s="673"/>
    </row>
    <row r="32" spans="1:18">
      <c r="A32" s="859">
        <f t="shared" si="1"/>
        <v>20</v>
      </c>
      <c r="B32" s="81" t="s">
        <v>206</v>
      </c>
      <c r="C32" s="514">
        <f>'C.2.3 B'!N31</f>
        <v>0</v>
      </c>
      <c r="D32" s="514">
        <f>C32</f>
        <v>0</v>
      </c>
      <c r="E32" s="514">
        <f t="shared" ref="E32:N32" si="17">D32</f>
        <v>0</v>
      </c>
      <c r="F32" s="514">
        <f t="shared" si="17"/>
        <v>0</v>
      </c>
      <c r="G32" s="514">
        <f t="shared" si="17"/>
        <v>0</v>
      </c>
      <c r="H32" s="514">
        <f t="shared" si="17"/>
        <v>0</v>
      </c>
      <c r="I32" s="514">
        <f t="shared" si="17"/>
        <v>0</v>
      </c>
      <c r="J32" s="514">
        <f t="shared" si="17"/>
        <v>0</v>
      </c>
      <c r="K32" s="514">
        <f t="shared" si="17"/>
        <v>0</v>
      </c>
      <c r="L32" s="514">
        <f t="shared" si="17"/>
        <v>0</v>
      </c>
      <c r="M32" s="514">
        <f t="shared" si="17"/>
        <v>0</v>
      </c>
      <c r="N32" s="514">
        <f t="shared" si="17"/>
        <v>0</v>
      </c>
      <c r="O32" s="431">
        <f t="shared" si="16"/>
        <v>0</v>
      </c>
    </row>
    <row r="33" spans="1:18">
      <c r="A33" s="859">
        <f t="shared" si="1"/>
        <v>21</v>
      </c>
      <c r="B33" s="81" t="s">
        <v>207</v>
      </c>
      <c r="C33" s="514">
        <f>'C.2.3 B'!N32</f>
        <v>0</v>
      </c>
      <c r="D33" s="514">
        <f>C33</f>
        <v>0</v>
      </c>
      <c r="E33" s="514">
        <f t="shared" ref="E33:N33" si="18">D33</f>
        <v>0</v>
      </c>
      <c r="F33" s="514">
        <f t="shared" si="18"/>
        <v>0</v>
      </c>
      <c r="G33" s="514">
        <f t="shared" si="18"/>
        <v>0</v>
      </c>
      <c r="H33" s="514">
        <f t="shared" si="18"/>
        <v>0</v>
      </c>
      <c r="I33" s="514">
        <f t="shared" si="18"/>
        <v>0</v>
      </c>
      <c r="J33" s="514">
        <f t="shared" si="18"/>
        <v>0</v>
      </c>
      <c r="K33" s="514">
        <f t="shared" si="18"/>
        <v>0</v>
      </c>
      <c r="L33" s="514">
        <f t="shared" si="18"/>
        <v>0</v>
      </c>
      <c r="M33" s="514">
        <f t="shared" si="18"/>
        <v>0</v>
      </c>
      <c r="N33" s="514">
        <f t="shared" si="18"/>
        <v>0</v>
      </c>
      <c r="O33" s="431">
        <f t="shared" si="16"/>
        <v>0</v>
      </c>
    </row>
    <row r="34" spans="1:18">
      <c r="A34" s="859">
        <f t="shared" si="1"/>
        <v>22</v>
      </c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</row>
    <row r="35" spans="1:18">
      <c r="A35" s="859">
        <f t="shared" si="1"/>
        <v>23</v>
      </c>
      <c r="B35" s="81" t="s">
        <v>208</v>
      </c>
      <c r="C35" s="547">
        <f t="shared" ref="C35:N35" si="19">SUM(C28:C34)</f>
        <v>335378.45750000008</v>
      </c>
      <c r="D35" s="547">
        <f t="shared" si="19"/>
        <v>453389.18310000014</v>
      </c>
      <c r="E35" s="547">
        <f t="shared" si="19"/>
        <v>334856.22690000013</v>
      </c>
      <c r="F35" s="547">
        <f t="shared" si="19"/>
        <v>278645.12082677393</v>
      </c>
      <c r="G35" s="547">
        <f t="shared" si="19"/>
        <v>278645.12082677393</v>
      </c>
      <c r="H35" s="547">
        <f t="shared" si="19"/>
        <v>278645.12082677393</v>
      </c>
      <c r="I35" s="547">
        <f t="shared" si="19"/>
        <v>293483.30782408913</v>
      </c>
      <c r="J35" s="547">
        <f t="shared" si="19"/>
        <v>293483.30782408913</v>
      </c>
      <c r="K35" s="547">
        <f t="shared" si="19"/>
        <v>293483.30782408913</v>
      </c>
      <c r="L35" s="547">
        <f t="shared" si="19"/>
        <v>481099.73190069484</v>
      </c>
      <c r="M35" s="547">
        <f t="shared" si="19"/>
        <v>433648.85760069476</v>
      </c>
      <c r="N35" s="547">
        <f t="shared" si="19"/>
        <v>363201.61784869491</v>
      </c>
      <c r="O35" s="547">
        <f t="shared" si="16"/>
        <v>4117959.3608026742</v>
      </c>
    </row>
    <row r="36" spans="1:18">
      <c r="A36" s="859">
        <f t="shared" si="1"/>
        <v>24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8">
      <c r="A37" s="859">
        <f t="shared" si="1"/>
        <v>25</v>
      </c>
      <c r="B37" s="81" t="s">
        <v>209</v>
      </c>
      <c r="C37" s="320">
        <f>Allocation!C14</f>
        <v>9.8900000000000002E-2</v>
      </c>
      <c r="D37" s="320">
        <f>$C$37</f>
        <v>9.8900000000000002E-2</v>
      </c>
      <c r="E37" s="320">
        <f t="shared" ref="E37:N37" si="20">$C$37</f>
        <v>9.8900000000000002E-2</v>
      </c>
      <c r="F37" s="320">
        <f t="shared" si="20"/>
        <v>9.8900000000000002E-2</v>
      </c>
      <c r="G37" s="320">
        <f t="shared" si="20"/>
        <v>9.8900000000000002E-2</v>
      </c>
      <c r="H37" s="320">
        <f t="shared" si="20"/>
        <v>9.8900000000000002E-2</v>
      </c>
      <c r="I37" s="320">
        <f t="shared" si="20"/>
        <v>9.8900000000000002E-2</v>
      </c>
      <c r="J37" s="320">
        <f t="shared" si="20"/>
        <v>9.8900000000000002E-2</v>
      </c>
      <c r="K37" s="320">
        <f t="shared" si="20"/>
        <v>9.8900000000000002E-2</v>
      </c>
      <c r="L37" s="320">
        <f t="shared" si="20"/>
        <v>9.8900000000000002E-2</v>
      </c>
      <c r="M37" s="320">
        <f t="shared" si="20"/>
        <v>9.8900000000000002E-2</v>
      </c>
      <c r="N37" s="320">
        <f t="shared" si="20"/>
        <v>9.8900000000000002E-2</v>
      </c>
    </row>
    <row r="38" spans="1:18">
      <c r="A38" s="859">
        <f t="shared" si="1"/>
        <v>26</v>
      </c>
      <c r="B38" s="81" t="s">
        <v>210</v>
      </c>
      <c r="C38" s="582">
        <f>Allocation!D14</f>
        <v>0.49440000000000001</v>
      </c>
      <c r="D38" s="582">
        <f>$C$38</f>
        <v>0.49440000000000001</v>
      </c>
      <c r="E38" s="582">
        <f t="shared" ref="E38:N38" si="21">$C$38</f>
        <v>0.49440000000000001</v>
      </c>
      <c r="F38" s="582">
        <f t="shared" si="21"/>
        <v>0.49440000000000001</v>
      </c>
      <c r="G38" s="582">
        <f t="shared" si="21"/>
        <v>0.49440000000000001</v>
      </c>
      <c r="H38" s="582">
        <f t="shared" si="21"/>
        <v>0.49440000000000001</v>
      </c>
      <c r="I38" s="582">
        <f t="shared" si="21"/>
        <v>0.49440000000000001</v>
      </c>
      <c r="J38" s="582">
        <f t="shared" si="21"/>
        <v>0.49440000000000001</v>
      </c>
      <c r="K38" s="582">
        <f t="shared" si="21"/>
        <v>0.49440000000000001</v>
      </c>
      <c r="L38" s="582">
        <f t="shared" si="21"/>
        <v>0.49440000000000001</v>
      </c>
      <c r="M38" s="582">
        <f t="shared" si="21"/>
        <v>0.49440000000000001</v>
      </c>
      <c r="N38" s="582">
        <f t="shared" si="21"/>
        <v>0.49440000000000001</v>
      </c>
    </row>
    <row r="39" spans="1:18">
      <c r="A39" s="859">
        <f t="shared" si="1"/>
        <v>27</v>
      </c>
    </row>
    <row r="40" spans="1:18">
      <c r="A40" s="859">
        <f t="shared" si="1"/>
        <v>28</v>
      </c>
      <c r="B40" s="81" t="s">
        <v>1377</v>
      </c>
      <c r="C40" s="928">
        <f t="shared" ref="C40:N40" si="22">C35*C37*C38</f>
        <v>16398.718718473203</v>
      </c>
      <c r="D40" s="928">
        <f t="shared" si="22"/>
        <v>22168.990039126904</v>
      </c>
      <c r="E40" s="928">
        <f t="shared" si="22"/>
        <v>16373.18364749871</v>
      </c>
      <c r="F40" s="928">
        <f t="shared" si="22"/>
        <v>13624.67641116527</v>
      </c>
      <c r="G40" s="928">
        <f t="shared" si="22"/>
        <v>13624.67641116527</v>
      </c>
      <c r="H40" s="928">
        <f t="shared" si="22"/>
        <v>13624.67641116527</v>
      </c>
      <c r="I40" s="928">
        <f t="shared" si="22"/>
        <v>14350.206776695914</v>
      </c>
      <c r="J40" s="928">
        <f t="shared" si="22"/>
        <v>14350.206776695914</v>
      </c>
      <c r="K40" s="928">
        <f t="shared" si="22"/>
        <v>14350.206776695914</v>
      </c>
      <c r="L40" s="928">
        <f t="shared" si="22"/>
        <v>23523.929466973481</v>
      </c>
      <c r="M40" s="928">
        <f t="shared" si="22"/>
        <v>21203.763925060786</v>
      </c>
      <c r="N40" s="928">
        <f t="shared" si="22"/>
        <v>17759.16441858864</v>
      </c>
      <c r="O40" s="547">
        <f>SUM(C40:N40)</f>
        <v>201352.39977930527</v>
      </c>
    </row>
    <row r="41" spans="1:18">
      <c r="A41" s="859">
        <f t="shared" si="1"/>
        <v>29</v>
      </c>
    </row>
    <row r="42" spans="1:18" ht="15.75">
      <c r="A42" s="859">
        <f t="shared" si="1"/>
        <v>30</v>
      </c>
      <c r="B42" s="298" t="s">
        <v>78</v>
      </c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</row>
    <row r="43" spans="1:18">
      <c r="A43" s="859">
        <f t="shared" si="1"/>
        <v>31</v>
      </c>
      <c r="B43" s="81" t="s">
        <v>290</v>
      </c>
      <c r="C43" s="920">
        <f>'C.2.3 B'!F42*1.03</f>
        <v>154100.86470000001</v>
      </c>
      <c r="D43" s="920">
        <f>'C.2.3 B'!G42*1.03</f>
        <v>226005.56640000001</v>
      </c>
      <c r="E43" s="920">
        <f>'C.2.3 B'!H42*1.03</f>
        <v>151677.68670000002</v>
      </c>
      <c r="F43" s="920">
        <f>'C.2.3 B'!I42*1.03</f>
        <v>112379.52837791362</v>
      </c>
      <c r="G43" s="920">
        <f>'C.2.3 B'!J42*1.03</f>
        <v>112379.52837791362</v>
      </c>
      <c r="H43" s="920">
        <f>'C.2.3 B'!K42*1.03</f>
        <v>112379.52837791362</v>
      </c>
      <c r="I43" s="920">
        <f>'C.2.3 B'!L42*1.03</f>
        <v>121435.36645291798</v>
      </c>
      <c r="J43" s="920">
        <f>'C.2.3 B'!M42*1.03</f>
        <v>121435.36645291798</v>
      </c>
      <c r="K43" s="920">
        <f>'C.2.3 B'!N42*1.03</f>
        <v>121435.36645291798</v>
      </c>
      <c r="L43" s="920">
        <f>'C.2.3 B'!C42*1.03*1.03</f>
        <v>211890.215165</v>
      </c>
      <c r="M43" s="920">
        <f>'C.2.3 B'!D42*1.03*1.03</f>
        <v>219248.18259600003</v>
      </c>
      <c r="N43" s="920">
        <f>'C.2.3 B'!E42*1.03*1.03</f>
        <v>190318.924856</v>
      </c>
      <c r="O43" s="347">
        <f t="shared" ref="O43:O48" si="23">SUM(C43:N43)</f>
        <v>1854686.124909495</v>
      </c>
      <c r="P43" s="673"/>
    </row>
    <row r="44" spans="1:18">
      <c r="A44" s="859">
        <f t="shared" si="1"/>
        <v>32</v>
      </c>
      <c r="B44" s="81" t="s">
        <v>291</v>
      </c>
      <c r="C44" s="920">
        <f>'C.2.3 B'!F43*1.03</f>
        <v>12.679300000000003</v>
      </c>
      <c r="D44" s="920">
        <f>'C.2.3 B'!G43*1.03</f>
        <v>405.5625</v>
      </c>
      <c r="E44" s="920">
        <f>'C.2.3 B'!H43*1.03</f>
        <v>160.2886</v>
      </c>
      <c r="F44" s="920">
        <f>'C.2.3 B'!I43*1.03</f>
        <v>1769.6079651996758</v>
      </c>
      <c r="G44" s="920">
        <f>'C.2.3 B'!J43*1.03</f>
        <v>1769.6079651996758</v>
      </c>
      <c r="H44" s="920">
        <f>'C.2.3 B'!K43*1.03</f>
        <v>1769.6079651996758</v>
      </c>
      <c r="I44" s="920">
        <f>'C.2.3 B'!L43*1.03</f>
        <v>1912.20763099642</v>
      </c>
      <c r="J44" s="920">
        <f>'C.2.3 B'!M43*1.03</f>
        <v>1912.20763099642</v>
      </c>
      <c r="K44" s="920">
        <f>'C.2.3 B'!N43*1.03</f>
        <v>1912.20763099642</v>
      </c>
      <c r="L44" s="920">
        <f>'C.2.3 B'!C43*1.03*1.03</f>
        <v>18017.073738000003</v>
      </c>
      <c r="M44" s="920">
        <f>'C.2.3 B'!D43*1.03*1.03</f>
        <v>306.32426599999974</v>
      </c>
      <c r="N44" s="920">
        <f>'C.2.3 B'!E43*1.03*1.03</f>
        <v>-508.30901699999987</v>
      </c>
      <c r="O44" s="431">
        <f t="shared" si="23"/>
        <v>29439.06617558829</v>
      </c>
    </row>
    <row r="45" spans="1:18">
      <c r="A45" s="859">
        <f t="shared" si="1"/>
        <v>33</v>
      </c>
      <c r="B45" s="81" t="s">
        <v>292</v>
      </c>
      <c r="C45" s="920">
        <f>'C.2.3 B'!F44*1.03</f>
        <v>252.79290000000006</v>
      </c>
      <c r="D45" s="920">
        <f>'C.2.3 B'!G44*1.03</f>
        <v>1014.0556</v>
      </c>
      <c r="E45" s="920">
        <f>'C.2.3 B'!H44*1.03</f>
        <v>582.54740000000015</v>
      </c>
      <c r="F45" s="920">
        <f>'C.2.3 B'!I44*1.03</f>
        <v>4846.9615915490667</v>
      </c>
      <c r="G45" s="920">
        <f>'C.2.3 B'!J44*1.03</f>
        <v>4846.9615915490667</v>
      </c>
      <c r="H45" s="920">
        <f>'C.2.3 B'!K44*1.03</f>
        <v>4846.9615915490667</v>
      </c>
      <c r="I45" s="920">
        <f>'C.2.3 B'!L44*1.03</f>
        <v>5237.5425092872847</v>
      </c>
      <c r="J45" s="920">
        <f>'C.2.3 B'!M44*1.03</f>
        <v>5237.5425092872847</v>
      </c>
      <c r="K45" s="920">
        <f>'C.2.3 B'!N44*1.03</f>
        <v>5237.5425092872847</v>
      </c>
      <c r="L45" s="920">
        <f>'C.2.3 B'!C44*1.03*1.03</f>
        <v>33963.652600000001</v>
      </c>
      <c r="M45" s="920">
        <f>'C.2.3 B'!D44*1.03*1.03</f>
        <v>17813.094494999998</v>
      </c>
      <c r="N45" s="920">
        <f>'C.2.3 B'!E44*1.03*1.03</f>
        <v>-3253.9076080000013</v>
      </c>
      <c r="O45" s="431">
        <f t="shared" si="23"/>
        <v>80625.747689509037</v>
      </c>
    </row>
    <row r="46" spans="1:18">
      <c r="A46" s="859">
        <f t="shared" si="1"/>
        <v>34</v>
      </c>
      <c r="B46" s="81" t="s">
        <v>293</v>
      </c>
      <c r="C46" s="514">
        <v>52600</v>
      </c>
      <c r="D46" s="514">
        <f>C46</f>
        <v>52600</v>
      </c>
      <c r="E46" s="514">
        <f t="shared" ref="E46:N46" si="24">D46</f>
        <v>52600</v>
      </c>
      <c r="F46" s="514">
        <f t="shared" si="24"/>
        <v>52600</v>
      </c>
      <c r="G46" s="514">
        <f t="shared" si="24"/>
        <v>52600</v>
      </c>
      <c r="H46" s="514">
        <f t="shared" si="24"/>
        <v>52600</v>
      </c>
      <c r="I46" s="514">
        <f t="shared" si="24"/>
        <v>52600</v>
      </c>
      <c r="J46" s="514">
        <f t="shared" si="24"/>
        <v>52600</v>
      </c>
      <c r="K46" s="514">
        <f t="shared" si="24"/>
        <v>52600</v>
      </c>
      <c r="L46" s="514">
        <f t="shared" si="24"/>
        <v>52600</v>
      </c>
      <c r="M46" s="514">
        <f t="shared" si="24"/>
        <v>52600</v>
      </c>
      <c r="N46" s="514">
        <f t="shared" si="24"/>
        <v>52600</v>
      </c>
      <c r="O46" s="514">
        <f>SUM(C46:N46)</f>
        <v>631200</v>
      </c>
      <c r="P46" s="629"/>
      <c r="Q46" s="629"/>
      <c r="R46" s="673"/>
    </row>
    <row r="47" spans="1:18">
      <c r="A47" s="859">
        <f t="shared" si="1"/>
        <v>35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</row>
    <row r="48" spans="1:18">
      <c r="A48" s="859">
        <f t="shared" si="1"/>
        <v>36</v>
      </c>
      <c r="B48" s="81" t="s">
        <v>208</v>
      </c>
      <c r="C48" s="547">
        <f t="shared" ref="C48:N48" si="25">SUM(C43:C46)</f>
        <v>206966.33689999999</v>
      </c>
      <c r="D48" s="547">
        <f t="shared" si="25"/>
        <v>280025.18449999997</v>
      </c>
      <c r="E48" s="547">
        <f t="shared" si="25"/>
        <v>205020.52270000003</v>
      </c>
      <c r="F48" s="547">
        <f t="shared" si="25"/>
        <v>171596.09793466236</v>
      </c>
      <c r="G48" s="547">
        <f t="shared" si="25"/>
        <v>171596.09793466236</v>
      </c>
      <c r="H48" s="547">
        <f t="shared" si="25"/>
        <v>171596.09793466236</v>
      </c>
      <c r="I48" s="547">
        <f t="shared" si="25"/>
        <v>181185.1165932017</v>
      </c>
      <c r="J48" s="547">
        <f t="shared" si="25"/>
        <v>181185.1165932017</v>
      </c>
      <c r="K48" s="547">
        <f t="shared" si="25"/>
        <v>181185.1165932017</v>
      </c>
      <c r="L48" s="547">
        <f t="shared" si="25"/>
        <v>316470.94150299998</v>
      </c>
      <c r="M48" s="547">
        <f t="shared" si="25"/>
        <v>289967.60135700007</v>
      </c>
      <c r="N48" s="547">
        <f t="shared" si="25"/>
        <v>239156.708231</v>
      </c>
      <c r="O48" s="547">
        <f t="shared" si="23"/>
        <v>2595950.9387745922</v>
      </c>
    </row>
    <row r="49" spans="1:18">
      <c r="A49" s="859">
        <f t="shared" si="1"/>
        <v>37</v>
      </c>
    </row>
    <row r="50" spans="1:18">
      <c r="A50" s="859">
        <f t="shared" si="1"/>
        <v>38</v>
      </c>
      <c r="B50" s="81" t="s">
        <v>209</v>
      </c>
      <c r="C50" s="582">
        <f>Allocation!C15</f>
        <v>0.10929999999999999</v>
      </c>
      <c r="D50" s="582">
        <f>$C$50</f>
        <v>0.10929999999999999</v>
      </c>
      <c r="E50" s="582">
        <f t="shared" ref="E50:N50" si="26">$C$50</f>
        <v>0.10929999999999999</v>
      </c>
      <c r="F50" s="582">
        <f t="shared" si="26"/>
        <v>0.10929999999999999</v>
      </c>
      <c r="G50" s="582">
        <f t="shared" si="26"/>
        <v>0.10929999999999999</v>
      </c>
      <c r="H50" s="582">
        <f t="shared" si="26"/>
        <v>0.10929999999999999</v>
      </c>
      <c r="I50" s="582">
        <f t="shared" si="26"/>
        <v>0.10929999999999999</v>
      </c>
      <c r="J50" s="582">
        <f t="shared" si="26"/>
        <v>0.10929999999999999</v>
      </c>
      <c r="K50" s="582">
        <f t="shared" si="26"/>
        <v>0.10929999999999999</v>
      </c>
      <c r="L50" s="582">
        <f t="shared" si="26"/>
        <v>0.10929999999999999</v>
      </c>
      <c r="M50" s="582">
        <f t="shared" si="26"/>
        <v>0.10929999999999999</v>
      </c>
      <c r="N50" s="582">
        <f t="shared" si="26"/>
        <v>0.10929999999999999</v>
      </c>
    </row>
    <row r="51" spans="1:18">
      <c r="A51" s="859">
        <f t="shared" si="1"/>
        <v>39</v>
      </c>
      <c r="B51" s="81" t="s">
        <v>210</v>
      </c>
      <c r="C51" s="582">
        <f>Allocation!D15</f>
        <v>0.51883860656465508</v>
      </c>
      <c r="D51" s="582">
        <f>$C$51</f>
        <v>0.51883860656465508</v>
      </c>
      <c r="E51" s="582">
        <f t="shared" ref="E51:N51" si="27">$C$51</f>
        <v>0.51883860656465508</v>
      </c>
      <c r="F51" s="582">
        <f t="shared" si="27"/>
        <v>0.51883860656465508</v>
      </c>
      <c r="G51" s="582">
        <f t="shared" si="27"/>
        <v>0.51883860656465508</v>
      </c>
      <c r="H51" s="582">
        <f t="shared" si="27"/>
        <v>0.51883860656465508</v>
      </c>
      <c r="I51" s="582">
        <f t="shared" si="27"/>
        <v>0.51883860656465508</v>
      </c>
      <c r="J51" s="582">
        <f t="shared" si="27"/>
        <v>0.51883860656465508</v>
      </c>
      <c r="K51" s="582">
        <f t="shared" si="27"/>
        <v>0.51883860656465508</v>
      </c>
      <c r="L51" s="582">
        <f t="shared" si="27"/>
        <v>0.51883860656465508</v>
      </c>
      <c r="M51" s="582">
        <f t="shared" si="27"/>
        <v>0.51883860656465508</v>
      </c>
      <c r="N51" s="582">
        <f t="shared" si="27"/>
        <v>0.51883860656465508</v>
      </c>
    </row>
    <row r="52" spans="1:18">
      <c r="A52" s="859">
        <f t="shared" si="1"/>
        <v>40</v>
      </c>
    </row>
    <row r="53" spans="1:18">
      <c r="A53" s="859">
        <f t="shared" si="1"/>
        <v>41</v>
      </c>
      <c r="B53" s="81" t="s">
        <v>1376</v>
      </c>
      <c r="C53" s="928">
        <f t="shared" ref="C53:N53" si="28">C48*C50*C51</f>
        <v>11736.866354638472</v>
      </c>
      <c r="D53" s="928">
        <f t="shared" si="28"/>
        <v>15879.964904618653</v>
      </c>
      <c r="E53" s="928">
        <f t="shared" si="28"/>
        <v>11626.521061010399</v>
      </c>
      <c r="F53" s="928">
        <f t="shared" si="28"/>
        <v>9731.053361637707</v>
      </c>
      <c r="G53" s="928">
        <f t="shared" si="28"/>
        <v>9731.053361637707</v>
      </c>
      <c r="H53" s="928">
        <f t="shared" si="28"/>
        <v>9731.053361637707</v>
      </c>
      <c r="I53" s="928">
        <f t="shared" si="28"/>
        <v>10274.837593185417</v>
      </c>
      <c r="J53" s="928">
        <f t="shared" si="28"/>
        <v>10274.837593185417</v>
      </c>
      <c r="K53" s="928">
        <f t="shared" si="28"/>
        <v>10274.837593185417</v>
      </c>
      <c r="L53" s="928">
        <f t="shared" si="28"/>
        <v>17946.769514222971</v>
      </c>
      <c r="M53" s="928">
        <f t="shared" si="28"/>
        <v>16443.790015699869</v>
      </c>
      <c r="N53" s="928">
        <f t="shared" si="28"/>
        <v>13562.352044133386</v>
      </c>
      <c r="O53" s="547">
        <f>SUM(C53:N53)</f>
        <v>147213.93675879313</v>
      </c>
    </row>
    <row r="54" spans="1:18">
      <c r="A54" s="859">
        <f t="shared" si="1"/>
        <v>42</v>
      </c>
    </row>
    <row r="55" spans="1:18" ht="15.75">
      <c r="A55" s="859">
        <f t="shared" si="1"/>
        <v>43</v>
      </c>
      <c r="B55" s="298" t="s">
        <v>79</v>
      </c>
    </row>
    <row r="56" spans="1:18">
      <c r="A56" s="859">
        <f t="shared" si="1"/>
        <v>44</v>
      </c>
      <c r="B56" s="81" t="s">
        <v>290</v>
      </c>
      <c r="C56" s="920">
        <f>'C.2.3 B'!F55*1.03</f>
        <v>21288.328399999999</v>
      </c>
      <c r="D56" s="920">
        <f>'C.2.3 B'!G55*1.03</f>
        <v>33880.356500000002</v>
      </c>
      <c r="E56" s="920">
        <f>'C.2.3 B'!H55*1.03</f>
        <v>30581.390100000004</v>
      </c>
      <c r="F56" s="920">
        <f>'C.2.3 B'!I55*1.03</f>
        <v>22871.31185982289</v>
      </c>
      <c r="G56" s="920">
        <f>'C.2.3 B'!J55*1.03</f>
        <v>22871.31185982289</v>
      </c>
      <c r="H56" s="920">
        <f>'C.2.3 B'!K55*1.03</f>
        <v>22871.31185982289</v>
      </c>
      <c r="I56" s="920">
        <f>'C.2.3 B'!L55*1.03</f>
        <v>24502.909486021843</v>
      </c>
      <c r="J56" s="920">
        <f>'C.2.3 B'!M55*1.03</f>
        <v>24502.909486021843</v>
      </c>
      <c r="K56" s="920">
        <f>'C.2.3 B'!N55*1.03</f>
        <v>24502.909486021843</v>
      </c>
      <c r="L56" s="920">
        <f>'C.2.3 B'!C55*1.03*1.03</f>
        <v>108977.75919099998</v>
      </c>
      <c r="M56" s="920">
        <f>'C.2.3 B'!D55*1.03*1.03</f>
        <v>19200.274290000001</v>
      </c>
      <c r="N56" s="920">
        <f>'C.2.3 B'!E55*1.03*1.03</f>
        <v>9960.6946190000053</v>
      </c>
      <c r="O56" s="347">
        <f t="shared" ref="O56:O63" si="29">SUM(C56:N56)</f>
        <v>366011.46713753423</v>
      </c>
    </row>
    <row r="57" spans="1:18">
      <c r="A57" s="859">
        <f t="shared" si="1"/>
        <v>45</v>
      </c>
      <c r="B57" s="81" t="s">
        <v>291</v>
      </c>
      <c r="C57" s="920">
        <f>'C.2.3 B'!F56*1.03</f>
        <v>-2.1424000000000003</v>
      </c>
      <c r="D57" s="920">
        <f>'C.2.3 B'!G56*1.03</f>
        <v>15.419100000000002</v>
      </c>
      <c r="E57" s="920">
        <f>'C.2.3 B'!H56*1.03</f>
        <v>2.6471</v>
      </c>
      <c r="F57" s="920">
        <f>'C.2.3 B'!I56*1.03</f>
        <v>163.05097154307114</v>
      </c>
      <c r="G57" s="920">
        <f>'C.2.3 B'!J56*1.03</f>
        <v>163.05097154307114</v>
      </c>
      <c r="H57" s="920">
        <f>'C.2.3 B'!K56*1.03</f>
        <v>163.05097154307114</v>
      </c>
      <c r="I57" s="920">
        <f>'C.2.3 B'!L56*1.03</f>
        <v>174.68273012996875</v>
      </c>
      <c r="J57" s="920">
        <f>'C.2.3 B'!M56*1.03</f>
        <v>174.68273012996875</v>
      </c>
      <c r="K57" s="920">
        <f>'C.2.3 B'!N56*1.03</f>
        <v>174.68273012996875</v>
      </c>
      <c r="L57" s="920">
        <f>'C.2.3 B'!C56*1.03*1.03</f>
        <v>1739.8759999999997</v>
      </c>
      <c r="M57" s="920">
        <f>'C.2.3 B'!D56*1.03*1.03</f>
        <v>46.297676000000052</v>
      </c>
      <c r="N57" s="920">
        <f>'C.2.3 B'!E56*1.03*1.03</f>
        <v>-188.118788</v>
      </c>
      <c r="O57" s="431">
        <f t="shared" si="29"/>
        <v>2627.1797930191196</v>
      </c>
    </row>
    <row r="58" spans="1:18">
      <c r="A58" s="859">
        <f t="shared" si="1"/>
        <v>46</v>
      </c>
      <c r="B58" s="81" t="s">
        <v>292</v>
      </c>
      <c r="C58" s="920">
        <f>'C.2.3 B'!F57*1.03</f>
        <v>134.34290000000001</v>
      </c>
      <c r="D58" s="920">
        <f>'C.2.3 B'!G57*1.03</f>
        <v>9.0124999999999993</v>
      </c>
      <c r="E58" s="920">
        <f>'C.2.3 B'!H57*1.03</f>
        <v>2.3277999999999999</v>
      </c>
      <c r="F58" s="920">
        <f>'C.2.3 B'!I57*1.03</f>
        <v>117.83475073527271</v>
      </c>
      <c r="G58" s="920">
        <f>'C.2.3 B'!J57*1.03</f>
        <v>117.83475073527271</v>
      </c>
      <c r="H58" s="920">
        <f>'C.2.3 B'!K57*1.03</f>
        <v>117.83475073527271</v>
      </c>
      <c r="I58" s="920">
        <f>'C.2.3 B'!L57*1.03</f>
        <v>126.24086669231798</v>
      </c>
      <c r="J58" s="920">
        <f>'C.2.3 B'!M57*1.03</f>
        <v>126.24086669231798</v>
      </c>
      <c r="K58" s="920">
        <f>'C.2.3 B'!N57*1.03</f>
        <v>126.24086669231798</v>
      </c>
      <c r="L58" s="920">
        <f>'C.2.3 B'!C57*1.03*1.03</f>
        <v>1776.890801</v>
      </c>
      <c r="M58" s="920">
        <f>'C.2.3 B'!D57*1.03*1.03</f>
        <v>574.68952999999988</v>
      </c>
      <c r="N58" s="920">
        <f>'C.2.3 B'!E57*1.03*1.03</f>
        <v>-1334.8880340000003</v>
      </c>
      <c r="O58" s="431">
        <f t="shared" si="29"/>
        <v>1894.602349282771</v>
      </c>
    </row>
    <row r="59" spans="1:18">
      <c r="A59" s="859">
        <f t="shared" si="1"/>
        <v>47</v>
      </c>
      <c r="B59" s="80" t="s">
        <v>1233</v>
      </c>
      <c r="C59" s="920">
        <f>'C.2.3 B'!F58*1.03</f>
        <v>13.1325</v>
      </c>
      <c r="D59" s="920">
        <f>'C.2.3 B'!G58*1.03</f>
        <v>13.1325</v>
      </c>
      <c r="E59" s="920">
        <f>'C.2.3 B'!H58*1.03</f>
        <v>0</v>
      </c>
      <c r="F59" s="920">
        <f>'C.2.3 B'!I58*1.03</f>
        <v>0</v>
      </c>
      <c r="G59" s="920">
        <f>'C.2.3 B'!J58*1.03</f>
        <v>0</v>
      </c>
      <c r="H59" s="920">
        <f>'C.2.3 B'!K58*1.03</f>
        <v>0</v>
      </c>
      <c r="I59" s="920">
        <f>'C.2.3 B'!L58*1.03</f>
        <v>0</v>
      </c>
      <c r="J59" s="920">
        <f>'C.2.3 B'!M58*1.03</f>
        <v>0</v>
      </c>
      <c r="K59" s="920">
        <f>'C.2.3 B'!N58*1.03</f>
        <v>0</v>
      </c>
      <c r="L59" s="920">
        <f>'C.2.3 B'!C58*1.03*1.03</f>
        <v>157.79826600000001</v>
      </c>
      <c r="M59" s="920">
        <f>'C.2.3 B'!D58*1.03*1.03</f>
        <v>103.69236600000001</v>
      </c>
      <c r="N59" s="920">
        <f>'C.2.3 B'!E58*1.03*1.03</f>
        <v>112.710016</v>
      </c>
      <c r="O59" s="431">
        <f t="shared" si="29"/>
        <v>400.46564799999999</v>
      </c>
    </row>
    <row r="60" spans="1:18">
      <c r="A60" s="859">
        <f t="shared" si="1"/>
        <v>48</v>
      </c>
      <c r="B60" s="81" t="s">
        <v>293</v>
      </c>
      <c r="C60" s="514">
        <v>300</v>
      </c>
      <c r="D60" s="514">
        <f>C60</f>
        <v>300</v>
      </c>
      <c r="E60" s="514">
        <f t="shared" ref="E60:N60" si="30">D60</f>
        <v>300</v>
      </c>
      <c r="F60" s="514">
        <f t="shared" si="30"/>
        <v>300</v>
      </c>
      <c r="G60" s="514">
        <f t="shared" si="30"/>
        <v>300</v>
      </c>
      <c r="H60" s="514">
        <f t="shared" si="30"/>
        <v>300</v>
      </c>
      <c r="I60" s="514">
        <f t="shared" si="30"/>
        <v>300</v>
      </c>
      <c r="J60" s="514">
        <f t="shared" si="30"/>
        <v>300</v>
      </c>
      <c r="K60" s="514">
        <f t="shared" si="30"/>
        <v>300</v>
      </c>
      <c r="L60" s="514">
        <f t="shared" si="30"/>
        <v>300</v>
      </c>
      <c r="M60" s="514">
        <f t="shared" si="30"/>
        <v>300</v>
      </c>
      <c r="N60" s="514">
        <f t="shared" si="30"/>
        <v>300</v>
      </c>
      <c r="O60" s="514">
        <f>SUM(C60:N60)</f>
        <v>3600</v>
      </c>
      <c r="P60" s="629"/>
      <c r="Q60" s="629"/>
      <c r="R60" s="673"/>
    </row>
    <row r="61" spans="1:18">
      <c r="A61" s="859">
        <f t="shared" si="1"/>
        <v>49</v>
      </c>
      <c r="B61" s="103" t="s">
        <v>1373</v>
      </c>
      <c r="C61" s="514">
        <f>'C.2.3 B'!N60</f>
        <v>0</v>
      </c>
      <c r="D61" s="514">
        <f>C61</f>
        <v>0</v>
      </c>
      <c r="E61" s="514">
        <f t="shared" ref="E61:N61" si="31">D61</f>
        <v>0</v>
      </c>
      <c r="F61" s="514">
        <f t="shared" si="31"/>
        <v>0</v>
      </c>
      <c r="G61" s="514">
        <f t="shared" si="31"/>
        <v>0</v>
      </c>
      <c r="H61" s="514">
        <f t="shared" si="31"/>
        <v>0</v>
      </c>
      <c r="I61" s="514">
        <f t="shared" si="31"/>
        <v>0</v>
      </c>
      <c r="J61" s="514">
        <f t="shared" si="31"/>
        <v>0</v>
      </c>
      <c r="K61" s="514">
        <f t="shared" si="31"/>
        <v>0</v>
      </c>
      <c r="L61" s="514">
        <f t="shared" si="31"/>
        <v>0</v>
      </c>
      <c r="M61" s="514">
        <f t="shared" si="31"/>
        <v>0</v>
      </c>
      <c r="N61" s="514">
        <f t="shared" si="31"/>
        <v>0</v>
      </c>
      <c r="O61" s="431">
        <f t="shared" si="29"/>
        <v>0</v>
      </c>
      <c r="P61" s="926"/>
    </row>
    <row r="62" spans="1:18">
      <c r="A62" s="859">
        <f t="shared" si="1"/>
        <v>50</v>
      </c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</row>
    <row r="63" spans="1:18">
      <c r="A63" s="859">
        <f t="shared" si="1"/>
        <v>51</v>
      </c>
      <c r="B63" s="81" t="s">
        <v>208</v>
      </c>
      <c r="C63" s="547">
        <f t="shared" ref="C63:N63" si="32">SUM(C56:C62)</f>
        <v>21733.661399999997</v>
      </c>
      <c r="D63" s="547">
        <f t="shared" si="32"/>
        <v>34217.920599999998</v>
      </c>
      <c r="E63" s="547">
        <f t="shared" si="32"/>
        <v>30886.365000000002</v>
      </c>
      <c r="F63" s="547">
        <f t="shared" si="32"/>
        <v>23452.197582101235</v>
      </c>
      <c r="G63" s="547">
        <f t="shared" si="32"/>
        <v>23452.197582101235</v>
      </c>
      <c r="H63" s="547">
        <f t="shared" si="32"/>
        <v>23452.197582101235</v>
      </c>
      <c r="I63" s="547">
        <f t="shared" si="32"/>
        <v>25103.833082844129</v>
      </c>
      <c r="J63" s="547">
        <f t="shared" si="32"/>
        <v>25103.833082844129</v>
      </c>
      <c r="K63" s="547">
        <f t="shared" si="32"/>
        <v>25103.833082844129</v>
      </c>
      <c r="L63" s="547">
        <f t="shared" si="32"/>
        <v>112952.32425799998</v>
      </c>
      <c r="M63" s="547">
        <f t="shared" si="32"/>
        <v>20224.953861999998</v>
      </c>
      <c r="N63" s="547">
        <f t="shared" si="32"/>
        <v>8850.3978130000069</v>
      </c>
      <c r="O63" s="547">
        <f t="shared" si="29"/>
        <v>374533.71492783609</v>
      </c>
    </row>
    <row r="64" spans="1:18">
      <c r="A64" s="859">
        <f t="shared" si="1"/>
        <v>52</v>
      </c>
      <c r="G64" s="925"/>
    </row>
    <row r="65" spans="1:15">
      <c r="A65" s="859">
        <f t="shared" si="1"/>
        <v>53</v>
      </c>
      <c r="B65" s="81" t="s">
        <v>209</v>
      </c>
      <c r="C65" s="582">
        <v>1</v>
      </c>
      <c r="D65" s="582">
        <f>$C$65</f>
        <v>1</v>
      </c>
      <c r="E65" s="582">
        <f t="shared" ref="E65:N65" si="33">$C$65</f>
        <v>1</v>
      </c>
      <c r="F65" s="582">
        <f t="shared" si="33"/>
        <v>1</v>
      </c>
      <c r="G65" s="582">
        <f t="shared" si="33"/>
        <v>1</v>
      </c>
      <c r="H65" s="582">
        <f t="shared" si="33"/>
        <v>1</v>
      </c>
      <c r="I65" s="582">
        <f t="shared" si="33"/>
        <v>1</v>
      </c>
      <c r="J65" s="582">
        <f t="shared" si="33"/>
        <v>1</v>
      </c>
      <c r="K65" s="582">
        <f t="shared" si="33"/>
        <v>1</v>
      </c>
      <c r="L65" s="582">
        <f t="shared" si="33"/>
        <v>1</v>
      </c>
      <c r="M65" s="582">
        <f t="shared" si="33"/>
        <v>1</v>
      </c>
      <c r="N65" s="582">
        <f t="shared" si="33"/>
        <v>1</v>
      </c>
    </row>
    <row r="66" spans="1:15">
      <c r="A66" s="859">
        <f t="shared" si="1"/>
        <v>54</v>
      </c>
      <c r="B66" s="81" t="s">
        <v>210</v>
      </c>
      <c r="C66" s="582">
        <f>Allocation!D17</f>
        <v>0.49440000000000001</v>
      </c>
      <c r="D66" s="582">
        <f>$C$66</f>
        <v>0.49440000000000001</v>
      </c>
      <c r="E66" s="582">
        <f t="shared" ref="E66:N66" si="34">$C$66</f>
        <v>0.49440000000000001</v>
      </c>
      <c r="F66" s="582">
        <f t="shared" si="34"/>
        <v>0.49440000000000001</v>
      </c>
      <c r="G66" s="582">
        <f t="shared" si="34"/>
        <v>0.49440000000000001</v>
      </c>
      <c r="H66" s="582">
        <f t="shared" si="34"/>
        <v>0.49440000000000001</v>
      </c>
      <c r="I66" s="582">
        <f t="shared" si="34"/>
        <v>0.49440000000000001</v>
      </c>
      <c r="J66" s="582">
        <f t="shared" si="34"/>
        <v>0.49440000000000001</v>
      </c>
      <c r="K66" s="582">
        <f t="shared" si="34"/>
        <v>0.49440000000000001</v>
      </c>
      <c r="L66" s="582">
        <f t="shared" si="34"/>
        <v>0.49440000000000001</v>
      </c>
      <c r="M66" s="582">
        <f t="shared" si="34"/>
        <v>0.49440000000000001</v>
      </c>
      <c r="N66" s="582">
        <f t="shared" si="34"/>
        <v>0.49440000000000001</v>
      </c>
    </row>
    <row r="67" spans="1:15">
      <c r="A67" s="859">
        <f t="shared" si="1"/>
        <v>55</v>
      </c>
    </row>
    <row r="68" spans="1:15">
      <c r="A68" s="859">
        <f t="shared" si="1"/>
        <v>56</v>
      </c>
      <c r="B68" s="81" t="s">
        <v>1375</v>
      </c>
      <c r="C68" s="928">
        <f>C63*C65*C66</f>
        <v>10745.122196159999</v>
      </c>
      <c r="D68" s="928">
        <f t="shared" ref="D68:N68" si="35">D63*D65*D66</f>
        <v>16917.33994464</v>
      </c>
      <c r="E68" s="928">
        <f t="shared" si="35"/>
        <v>15270.218856000001</v>
      </c>
      <c r="F68" s="928">
        <f t="shared" si="35"/>
        <v>11594.766484590851</v>
      </c>
      <c r="G68" s="928">
        <f t="shared" si="35"/>
        <v>11594.766484590851</v>
      </c>
      <c r="H68" s="928">
        <f t="shared" si="35"/>
        <v>11594.766484590851</v>
      </c>
      <c r="I68" s="928">
        <f t="shared" si="35"/>
        <v>12411.335076158137</v>
      </c>
      <c r="J68" s="928">
        <f t="shared" si="35"/>
        <v>12411.335076158137</v>
      </c>
      <c r="K68" s="928">
        <f t="shared" si="35"/>
        <v>12411.335076158137</v>
      </c>
      <c r="L68" s="928">
        <f t="shared" si="35"/>
        <v>55843.629113155192</v>
      </c>
      <c r="M68" s="928">
        <f t="shared" si="35"/>
        <v>9999.2171893727991</v>
      </c>
      <c r="N68" s="928">
        <f t="shared" si="35"/>
        <v>4375.6366787472034</v>
      </c>
      <c r="O68" s="547">
        <f>SUM(C68:N68)</f>
        <v>185169.46866032216</v>
      </c>
    </row>
    <row r="69" spans="1:15">
      <c r="B69" s="929"/>
    </row>
  </sheetData>
  <mergeCells count="4">
    <mergeCell ref="A1:O1"/>
    <mergeCell ref="A2:O2"/>
    <mergeCell ref="A3:O3"/>
    <mergeCell ref="A4:O4"/>
  </mergeCells>
  <phoneticPr fontId="22" type="noConversion"/>
  <printOptions horizontalCentered="1"/>
  <pageMargins left="0.17" right="0.17" top="0.66" bottom="0.17" header="0.5" footer="0.44"/>
  <pageSetup scale="47" orientation="landscape" r:id="rId1"/>
  <headerFooter alignWithMargins="0">
    <oddFooter>&amp;RSchedule &amp;A
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2" max="2" width="8.109375" customWidth="1"/>
    <col min="3" max="3" width="61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1458</v>
      </c>
      <c r="B13" s="1157"/>
      <c r="C13" s="1157"/>
    </row>
    <row r="15" spans="1:3">
      <c r="A15" s="1157" t="s">
        <v>60</v>
      </c>
      <c r="B15" s="1157"/>
      <c r="C15" s="1157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t="s">
        <v>1074</v>
      </c>
      <c r="B20" s="53">
        <v>4</v>
      </c>
      <c r="C20" t="s">
        <v>1086</v>
      </c>
    </row>
    <row r="21" spans="1:3">
      <c r="A21" t="s">
        <v>475</v>
      </c>
      <c r="B21" s="53">
        <v>1</v>
      </c>
      <c r="C21" t="s">
        <v>435</v>
      </c>
    </row>
    <row r="22" spans="1:3">
      <c r="A22" t="s">
        <v>1098</v>
      </c>
      <c r="B22" s="53">
        <v>1</v>
      </c>
      <c r="C22" t="s">
        <v>435</v>
      </c>
    </row>
    <row r="23" spans="1:3">
      <c r="A23" t="s">
        <v>1100</v>
      </c>
      <c r="B23" s="53">
        <v>1</v>
      </c>
      <c r="C23" t="s">
        <v>435</v>
      </c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87" right="0.69" top="1" bottom="1" header="0.5" footer="0.5"/>
  <pageSetup scale="94" orientation="portrait" r:id="rId1"/>
  <headerFooter alignWithMargins="0"/>
  <colBreaks count="1" manualBreakCount="1">
    <brk id="3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U178"/>
  <sheetViews>
    <sheetView view="pageBreakPreview" zoomScale="60" zoomScaleNormal="85" workbookViewId="0">
      <pane ySplit="12" topLeftCell="A133" activePane="bottomLeft" state="frozen"/>
      <selection activeCell="H168" sqref="H168"/>
      <selection pane="bottomLeft" activeCell="K160" sqref="K160"/>
    </sheetView>
  </sheetViews>
  <sheetFormatPr defaultColWidth="7.109375" defaultRowHeight="15.75" customHeight="1"/>
  <cols>
    <col min="1" max="1" width="15.21875" style="62" customWidth="1"/>
    <col min="2" max="2" width="9.109375" style="62" customWidth="1"/>
    <col min="3" max="3" width="43.109375" style="62" customWidth="1"/>
    <col min="4" max="4" width="12.44140625" style="62" customWidth="1"/>
    <col min="5" max="5" width="1.44140625" style="62" customWidth="1"/>
    <col min="6" max="6" width="11.33203125" style="62" customWidth="1"/>
    <col min="7" max="7" width="1.44140625" style="62" customWidth="1"/>
    <col min="8" max="8" width="10.6640625" style="62" customWidth="1"/>
    <col min="9" max="9" width="1.44140625" style="62" customWidth="1"/>
    <col min="10" max="10" width="16" style="62" customWidth="1"/>
    <col min="11" max="11" width="1.44140625" style="62" customWidth="1"/>
    <col min="12" max="12" width="10" style="62" customWidth="1"/>
    <col min="13" max="13" width="1.44140625" style="62" customWidth="1"/>
    <col min="14" max="14" width="12" style="62" customWidth="1"/>
    <col min="15" max="15" width="1.44140625" style="62" customWidth="1"/>
    <col min="16" max="16" width="13.5546875" style="62" customWidth="1"/>
    <col min="17" max="17" width="6.6640625" style="62" customWidth="1"/>
    <col min="18" max="18" width="7.44140625" style="62" customWidth="1"/>
    <col min="19" max="19" width="9.5546875" style="62" customWidth="1"/>
    <col min="20" max="20" width="6.109375" style="62" customWidth="1"/>
    <col min="21" max="21" width="5.33203125" style="62" customWidth="1"/>
    <col min="22" max="22" width="7.44140625" style="62" customWidth="1"/>
    <col min="23" max="16384" width="7.109375" style="62"/>
  </cols>
  <sheetData>
    <row r="1" spans="1:16" ht="15.75" customHeight="1">
      <c r="A1" s="173" t="str">
        <f>'Table of Contents'!A1:C1</f>
        <v>Atmos Energy Corporation, Kentucky/Mid-States Division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5.75" customHeight="1">
      <c r="A2" s="173" t="str">
        <f>'Table of Contents'!A2:C2</f>
        <v>Kentucky Jurisdiction Case No. 2017-00349</v>
      </c>
      <c r="B2" s="201"/>
      <c r="C2" s="201"/>
      <c r="D2" s="1085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6" ht="15.75" customHeight="1">
      <c r="A3" s="65" t="s">
        <v>54</v>
      </c>
      <c r="B3" s="201"/>
      <c r="C3" s="201"/>
      <c r="D3" s="1086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6" ht="15.75" customHeight="1">
      <c r="A4" s="65" t="s">
        <v>858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16" ht="15.75" customHeight="1">
      <c r="A5" s="65" t="str">
        <f>Allocation!A4</f>
        <v>Forecasted Test Period: Twelve Months Ended March 31, 2019</v>
      </c>
      <c r="B5" s="201"/>
      <c r="C5" s="201"/>
      <c r="D5" s="65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15.75" customHeight="1">
      <c r="A6" s="65"/>
      <c r="B6" s="201"/>
      <c r="C6" s="201"/>
      <c r="D6" s="65"/>
      <c r="E6" s="201"/>
      <c r="F6" s="201"/>
      <c r="G6" s="201"/>
      <c r="H6" s="201"/>
      <c r="I6" s="201"/>
      <c r="J6" s="201"/>
      <c r="K6" s="201"/>
      <c r="M6" s="201"/>
      <c r="N6" s="94"/>
      <c r="O6" s="201"/>
      <c r="P6" s="94"/>
    </row>
    <row r="7" spans="1:16" ht="15.75" customHeight="1">
      <c r="A7" s="66" t="s">
        <v>686</v>
      </c>
      <c r="N7" s="471"/>
      <c r="P7" s="1087" t="s">
        <v>1459</v>
      </c>
    </row>
    <row r="8" spans="1:16" ht="15.75" customHeight="1">
      <c r="A8" s="66" t="s">
        <v>1057</v>
      </c>
      <c r="P8" s="699" t="s">
        <v>683</v>
      </c>
    </row>
    <row r="9" spans="1:16" ht="15.75" customHeight="1">
      <c r="A9" s="240" t="s">
        <v>369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700"/>
      <c r="M9" s="241"/>
      <c r="N9" s="241"/>
      <c r="O9" s="241"/>
      <c r="P9" s="1088" t="s">
        <v>1682</v>
      </c>
    </row>
    <row r="10" spans="1:16" ht="15.75" customHeight="1">
      <c r="H10" s="242" t="s">
        <v>219</v>
      </c>
    </row>
    <row r="11" spans="1:16" ht="15.75" customHeight="1">
      <c r="A11" s="242" t="s">
        <v>94</v>
      </c>
      <c r="B11" s="277" t="s">
        <v>1325</v>
      </c>
      <c r="D11" s="242" t="s">
        <v>45</v>
      </c>
      <c r="F11" s="1089" t="s">
        <v>475</v>
      </c>
      <c r="G11" s="1090"/>
      <c r="H11" s="1089" t="s">
        <v>475</v>
      </c>
      <c r="I11" s="1091"/>
      <c r="J11" s="1089" t="s">
        <v>475</v>
      </c>
      <c r="K11" s="1090"/>
      <c r="L11" s="1092" t="s">
        <v>1098</v>
      </c>
      <c r="M11" s="1093"/>
      <c r="N11" s="1092" t="s">
        <v>1098</v>
      </c>
      <c r="O11" s="1090"/>
      <c r="P11" s="1089" t="s">
        <v>97</v>
      </c>
    </row>
    <row r="12" spans="1:16" ht="15.75" customHeight="1">
      <c r="A12" s="1094" t="s">
        <v>100</v>
      </c>
      <c r="B12" s="278" t="s">
        <v>220</v>
      </c>
      <c r="C12" s="241"/>
      <c r="D12" s="1094" t="s">
        <v>543</v>
      </c>
      <c r="E12" s="241"/>
      <c r="F12" s="1094" t="s">
        <v>612</v>
      </c>
      <c r="G12" s="240" t="s">
        <v>327</v>
      </c>
      <c r="H12" s="1094" t="s">
        <v>469</v>
      </c>
      <c r="I12" s="240" t="s">
        <v>327</v>
      </c>
      <c r="J12" s="1094" t="s">
        <v>470</v>
      </c>
      <c r="K12" s="240" t="s">
        <v>327</v>
      </c>
      <c r="L12" s="982" t="s">
        <v>471</v>
      </c>
      <c r="M12" s="978" t="s">
        <v>327</v>
      </c>
      <c r="N12" s="982" t="s">
        <v>472</v>
      </c>
      <c r="O12" s="241"/>
      <c r="P12" s="1094" t="s">
        <v>476</v>
      </c>
    </row>
    <row r="14" spans="1:16" ht="15.75" customHeight="1">
      <c r="B14" s="66" t="s">
        <v>1123</v>
      </c>
    </row>
    <row r="15" spans="1:16" ht="15.75" customHeight="1">
      <c r="A15" s="242" t="s">
        <v>370</v>
      </c>
      <c r="B15" s="66" t="s">
        <v>1023</v>
      </c>
      <c r="D15" s="86">
        <f>'C.2.1 B'!D15</f>
        <v>92003987.593029201</v>
      </c>
      <c r="E15" s="96"/>
      <c r="F15" s="86">
        <f>D.2.1!D15</f>
        <v>6373931.8221630752</v>
      </c>
      <c r="G15" s="86"/>
      <c r="H15" s="86"/>
      <c r="I15" s="86"/>
      <c r="J15" s="86"/>
      <c r="K15" s="86"/>
      <c r="L15" s="86"/>
      <c r="M15" s="86"/>
      <c r="N15" s="86"/>
      <c r="O15" s="86"/>
      <c r="P15" s="86">
        <f>SUM(F15:O15)</f>
        <v>6373931.8221630752</v>
      </c>
    </row>
    <row r="16" spans="1:16" ht="15.75" customHeight="1">
      <c r="A16" s="242">
        <f>A15+1</f>
        <v>2</v>
      </c>
      <c r="B16" s="66" t="s">
        <v>1024</v>
      </c>
      <c r="D16" s="86">
        <f>'C.2.1 B'!D17</f>
        <v>38443047.651499577</v>
      </c>
      <c r="E16" s="96"/>
      <c r="F16" s="86">
        <f>D.2.1!D20</f>
        <v>2194016.0857044533</v>
      </c>
      <c r="G16" s="86"/>
      <c r="H16" s="86"/>
      <c r="I16" s="86"/>
      <c r="J16" s="86"/>
      <c r="K16" s="86"/>
      <c r="L16" s="86"/>
      <c r="M16" s="86"/>
      <c r="N16" s="86"/>
      <c r="O16" s="86"/>
      <c r="P16" s="86">
        <f>SUM(F16:O16)</f>
        <v>2194016.0857044533</v>
      </c>
    </row>
    <row r="17" spans="1:16" ht="15.75" customHeight="1">
      <c r="A17" s="242">
        <f t="shared" ref="A17:A42" si="0">A16+1</f>
        <v>3</v>
      </c>
      <c r="B17" s="66" t="s">
        <v>1025</v>
      </c>
      <c r="D17" s="86">
        <f>'C.2.1 B'!D18</f>
        <v>6816385.5647433177</v>
      </c>
      <c r="E17" s="96"/>
      <c r="F17" s="86">
        <f>D.2.1!D25</f>
        <v>-1529630.2253902424</v>
      </c>
      <c r="G17" s="86"/>
      <c r="H17" s="86"/>
      <c r="I17" s="86"/>
      <c r="J17" s="86"/>
      <c r="K17" s="86"/>
      <c r="L17" s="86"/>
      <c r="M17" s="86"/>
      <c r="N17" s="86"/>
      <c r="O17" s="86"/>
      <c r="P17" s="86">
        <f>SUM(F17:O17)</f>
        <v>-1529630.2253902424</v>
      </c>
    </row>
    <row r="18" spans="1:16" ht="15.75" customHeight="1">
      <c r="A18" s="242">
        <f t="shared" si="0"/>
        <v>4</v>
      </c>
      <c r="B18" s="66" t="s">
        <v>1026</v>
      </c>
      <c r="D18" s="86">
        <f>'C.2.1 B'!D21</f>
        <v>6397243.3093471676</v>
      </c>
      <c r="E18" s="96"/>
      <c r="F18" s="86">
        <f>D.2.1!D30</f>
        <v>450129.07767787017</v>
      </c>
      <c r="G18" s="86"/>
      <c r="H18" s="86"/>
      <c r="I18" s="86"/>
      <c r="J18" s="86"/>
      <c r="K18" s="86"/>
      <c r="L18" s="86"/>
      <c r="M18" s="86"/>
      <c r="N18" s="86"/>
      <c r="O18" s="86"/>
      <c r="P18" s="86">
        <f>SUM(F18:O18)</f>
        <v>450129.07767787017</v>
      </c>
    </row>
    <row r="19" spans="1:16" ht="15.75" customHeight="1">
      <c r="A19" s="242">
        <f t="shared" si="0"/>
        <v>5</v>
      </c>
      <c r="B19" s="66"/>
      <c r="D19" s="463"/>
      <c r="E19" s="96"/>
      <c r="F19" s="125"/>
      <c r="G19" s="86"/>
      <c r="H19" s="125"/>
      <c r="I19" s="86"/>
      <c r="J19" s="125"/>
      <c r="K19" s="86"/>
      <c r="L19" s="125"/>
      <c r="M19" s="86"/>
      <c r="N19" s="125"/>
      <c r="O19" s="86"/>
      <c r="P19" s="125"/>
    </row>
    <row r="20" spans="1:16" ht="15.75" customHeight="1">
      <c r="A20" s="242">
        <f t="shared" si="0"/>
        <v>6</v>
      </c>
      <c r="D20" s="86"/>
      <c r="E20" s="9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15.75" customHeight="1">
      <c r="A21" s="242">
        <f t="shared" si="0"/>
        <v>7</v>
      </c>
      <c r="B21" s="66" t="s">
        <v>586</v>
      </c>
      <c r="D21" s="86">
        <f>SUM(D15:D19)</f>
        <v>143660664.11861926</v>
      </c>
      <c r="E21" s="96"/>
      <c r="F21" s="86">
        <f>SUM(F15:F19)</f>
        <v>7488446.7601551563</v>
      </c>
      <c r="G21" s="86"/>
      <c r="H21" s="86">
        <f>SUM(H15:H19)</f>
        <v>0</v>
      </c>
      <c r="I21" s="86"/>
      <c r="J21" s="86">
        <f>SUM(J15:J19)</f>
        <v>0</v>
      </c>
      <c r="K21" s="86"/>
      <c r="L21" s="86">
        <f>SUM(L15:L19)</f>
        <v>0</v>
      </c>
      <c r="M21" s="86"/>
      <c r="N21" s="86">
        <f>SUM(N15:N19)</f>
        <v>0</v>
      </c>
      <c r="O21" s="86"/>
      <c r="P21" s="86">
        <f>SUM(F21:O21)</f>
        <v>7488446.7601551563</v>
      </c>
    </row>
    <row r="22" spans="1:16" ht="15.75" customHeight="1">
      <c r="A22" s="242">
        <f t="shared" si="0"/>
        <v>8</v>
      </c>
      <c r="D22" s="86"/>
      <c r="E22" s="9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15.75" customHeight="1">
      <c r="A23" s="242">
        <f t="shared" si="0"/>
        <v>9</v>
      </c>
      <c r="B23" s="66" t="s">
        <v>439</v>
      </c>
      <c r="D23" s="86"/>
      <c r="E23" s="9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15.75" customHeight="1">
      <c r="A24" s="242">
        <f t="shared" si="0"/>
        <v>10</v>
      </c>
      <c r="B24" s="66" t="s">
        <v>231</v>
      </c>
      <c r="D24" s="86">
        <f>'C.2.1 B'!D26</f>
        <v>1231451.7485199214</v>
      </c>
      <c r="E24" s="96"/>
      <c r="F24" s="86"/>
      <c r="G24" s="86"/>
      <c r="H24" s="86">
        <f>D.2.1!D40</f>
        <v>66512.43117774534</v>
      </c>
      <c r="I24" s="86"/>
      <c r="J24" s="86"/>
      <c r="K24" s="86"/>
      <c r="L24" s="86"/>
      <c r="M24" s="86"/>
      <c r="N24" s="86"/>
      <c r="O24" s="86"/>
      <c r="P24" s="86">
        <f>SUM(F24:O24)</f>
        <v>66512.43117774534</v>
      </c>
    </row>
    <row r="25" spans="1:16" ht="15.75" customHeight="1">
      <c r="A25" s="242">
        <f t="shared" si="0"/>
        <v>11</v>
      </c>
      <c r="B25" s="66" t="s">
        <v>572</v>
      </c>
      <c r="D25" s="86">
        <f>'C.2.1 B'!D27</f>
        <v>805992</v>
      </c>
      <c r="E25" s="96"/>
      <c r="F25" s="86"/>
      <c r="G25" s="86"/>
      <c r="H25" s="86">
        <f>D.2.1!D45</f>
        <v>62</v>
      </c>
      <c r="I25" s="86"/>
      <c r="J25" s="86"/>
      <c r="K25" s="86"/>
      <c r="L25" s="86"/>
      <c r="M25" s="86"/>
      <c r="N25" s="86"/>
      <c r="O25" s="86"/>
      <c r="P25" s="86">
        <f>SUM(F25:O25)</f>
        <v>62</v>
      </c>
    </row>
    <row r="26" spans="1:16" ht="15.75" customHeight="1">
      <c r="A26" s="242">
        <f t="shared" si="0"/>
        <v>12</v>
      </c>
      <c r="B26" s="66" t="s">
        <v>1232</v>
      </c>
      <c r="D26" s="86">
        <f>'C.2.1 B'!D28</f>
        <v>15830893.886251401</v>
      </c>
      <c r="E26" s="96"/>
      <c r="F26" s="86"/>
      <c r="G26" s="86"/>
      <c r="H26" s="86">
        <f>D.2.1!D50</f>
        <v>-628806.69358575717</v>
      </c>
      <c r="I26" s="86"/>
      <c r="J26" s="86"/>
      <c r="K26" s="86"/>
      <c r="L26" s="86"/>
      <c r="M26" s="86"/>
      <c r="N26" s="86"/>
      <c r="O26" s="86"/>
      <c r="P26" s="86">
        <f>SUM(F26:O26)</f>
        <v>-628806.69358575717</v>
      </c>
    </row>
    <row r="27" spans="1:16" ht="15.75" customHeight="1">
      <c r="A27" s="242">
        <f t="shared" si="0"/>
        <v>13</v>
      </c>
      <c r="B27" s="66" t="s">
        <v>223</v>
      </c>
      <c r="D27" s="463">
        <f>'C.2.1 B'!D29</f>
        <v>1173474.0575652353</v>
      </c>
      <c r="E27" s="96"/>
      <c r="F27" s="125"/>
      <c r="G27" s="86"/>
      <c r="H27" s="125">
        <f>D.2.1!D55</f>
        <v>1100585.6027177174</v>
      </c>
      <c r="I27" s="86"/>
      <c r="J27" s="125"/>
      <c r="K27" s="86"/>
      <c r="L27" s="125"/>
      <c r="M27" s="86"/>
      <c r="N27" s="125"/>
      <c r="O27" s="86"/>
      <c r="P27" s="125">
        <f>SUM(F27:O27)</f>
        <v>1100585.6027177174</v>
      </c>
    </row>
    <row r="28" spans="1:16" ht="15.75" customHeight="1">
      <c r="A28" s="242">
        <f t="shared" si="0"/>
        <v>14</v>
      </c>
      <c r="D28" s="86"/>
      <c r="E28" s="9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15.75" customHeight="1">
      <c r="A29" s="242">
        <f t="shared" si="0"/>
        <v>15</v>
      </c>
      <c r="B29" s="66" t="s">
        <v>1166</v>
      </c>
      <c r="D29" s="125">
        <f>SUM(D24:D27)</f>
        <v>19041811.692336556</v>
      </c>
      <c r="E29" s="96"/>
      <c r="F29" s="125">
        <f>SUM(F25:F27)</f>
        <v>0</v>
      </c>
      <c r="G29" s="86"/>
      <c r="H29" s="125">
        <f>SUM(H24:H27)</f>
        <v>538353.34030970559</v>
      </c>
      <c r="I29" s="86"/>
      <c r="J29" s="125">
        <f>SUM(J25:J27)</f>
        <v>0</v>
      </c>
      <c r="K29" s="96"/>
      <c r="L29" s="125">
        <f>SUM(L25:L27)</f>
        <v>0</v>
      </c>
      <c r="M29" s="86"/>
      <c r="N29" s="125">
        <f>SUM(N25:N27)</f>
        <v>0</v>
      </c>
      <c r="O29" s="86"/>
      <c r="P29" s="125">
        <f>SUM(F29:O29)</f>
        <v>538353.34030970559</v>
      </c>
    </row>
    <row r="30" spans="1:16" ht="15.75" customHeight="1">
      <c r="A30" s="242">
        <f t="shared" si="0"/>
        <v>16</v>
      </c>
      <c r="D30" s="86"/>
      <c r="E30" s="96"/>
      <c r="F30" s="86"/>
      <c r="G30" s="86"/>
      <c r="H30" s="86"/>
      <c r="I30" s="86"/>
      <c r="J30" s="86"/>
      <c r="K30" s="96"/>
      <c r="L30" s="86"/>
      <c r="M30" s="86"/>
      <c r="N30" s="86"/>
      <c r="O30" s="86"/>
      <c r="P30" s="86"/>
    </row>
    <row r="31" spans="1:16" ht="15.75" customHeight="1">
      <c r="A31" s="242">
        <f t="shared" si="0"/>
        <v>17</v>
      </c>
      <c r="B31" s="66" t="s">
        <v>490</v>
      </c>
      <c r="D31" s="286">
        <f>D21+D29</f>
        <v>162702475.81095582</v>
      </c>
      <c r="E31" s="96"/>
      <c r="F31" s="286">
        <f>F21+F29</f>
        <v>7488446.7601551563</v>
      </c>
      <c r="G31" s="86"/>
      <c r="H31" s="286">
        <f>H21+H29</f>
        <v>538353.34030970559</v>
      </c>
      <c r="I31" s="86"/>
      <c r="J31" s="286">
        <f>J21+J29</f>
        <v>0</v>
      </c>
      <c r="K31" s="96"/>
      <c r="L31" s="286">
        <f>L21+L29</f>
        <v>0</v>
      </c>
      <c r="M31" s="86"/>
      <c r="N31" s="286">
        <f>N21+N29</f>
        <v>0</v>
      </c>
      <c r="O31" s="86"/>
      <c r="P31" s="286">
        <f>SUM(F31:O31)</f>
        <v>8026800.1004648618</v>
      </c>
    </row>
    <row r="32" spans="1:16" ht="15.75" customHeight="1">
      <c r="A32" s="242">
        <f t="shared" si="0"/>
        <v>18</v>
      </c>
      <c r="D32" s="86"/>
      <c r="E32" s="9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0" ht="15.75" customHeight="1">
      <c r="A33" s="242">
        <f t="shared" si="0"/>
        <v>19</v>
      </c>
      <c r="B33" s="66" t="s">
        <v>845</v>
      </c>
      <c r="D33" s="86"/>
      <c r="E33" s="9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20" ht="15.75" customHeight="1">
      <c r="A34" s="242">
        <f t="shared" si="0"/>
        <v>20</v>
      </c>
      <c r="B34" s="66" t="s">
        <v>224</v>
      </c>
      <c r="D34" s="125">
        <f>'C.2.1 B'!D104</f>
        <v>65546014.381216273</v>
      </c>
      <c r="E34" s="96"/>
      <c r="F34" s="125"/>
      <c r="G34" s="86"/>
      <c r="H34" s="125"/>
      <c r="I34" s="86"/>
      <c r="J34" s="125">
        <f>D.2.1!D60</f>
        <v>13163102.86159277</v>
      </c>
      <c r="K34" s="86"/>
      <c r="L34" s="125"/>
      <c r="M34" s="86"/>
      <c r="N34" s="125"/>
      <c r="O34" s="86"/>
      <c r="P34" s="125">
        <f>SUM(F34:O34)</f>
        <v>13163102.86159277</v>
      </c>
    </row>
    <row r="35" spans="1:20" ht="15.75" customHeight="1">
      <c r="A35" s="242">
        <f t="shared" si="0"/>
        <v>21</v>
      </c>
      <c r="D35" s="86"/>
      <c r="E35" s="9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20" ht="15.75" customHeight="1">
      <c r="A36" s="242">
        <f t="shared" si="0"/>
        <v>22</v>
      </c>
      <c r="B36" s="66" t="s">
        <v>846</v>
      </c>
      <c r="D36" s="125">
        <f>SUM(D34:D34)</f>
        <v>65546014.381216273</v>
      </c>
      <c r="E36" s="96"/>
      <c r="F36" s="125">
        <f>SUM(F34:F34)</f>
        <v>0</v>
      </c>
      <c r="G36" s="86"/>
      <c r="H36" s="125">
        <f>SUM(H34:H34)</f>
        <v>0</v>
      </c>
      <c r="I36" s="86"/>
      <c r="J36" s="125">
        <f>SUM(J34:J34)</f>
        <v>13163102.86159277</v>
      </c>
      <c r="K36" s="86"/>
      <c r="L36" s="125">
        <f>SUM(L34:L34)</f>
        <v>0</v>
      </c>
      <c r="M36" s="96"/>
      <c r="N36" s="125">
        <f>SUM(N34:N34)</f>
        <v>0</v>
      </c>
      <c r="O36" s="86"/>
      <c r="P36" s="125">
        <f>SUM(F36:O36)</f>
        <v>13163102.86159277</v>
      </c>
    </row>
    <row r="37" spans="1:20" ht="15.75" customHeight="1">
      <c r="A37" s="242">
        <f t="shared" si="0"/>
        <v>23</v>
      </c>
      <c r="D37" s="86"/>
      <c r="E37" s="9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20" ht="15.75" customHeight="1">
      <c r="A38" s="242">
        <f t="shared" si="0"/>
        <v>24</v>
      </c>
      <c r="B38" s="66" t="s">
        <v>491</v>
      </c>
      <c r="D38" s="286">
        <f>D31-D36</f>
        <v>97156461.42973955</v>
      </c>
      <c r="E38" s="96"/>
      <c r="F38" s="286">
        <f>F31-F36</f>
        <v>7488446.7601551563</v>
      </c>
      <c r="G38" s="86"/>
      <c r="H38" s="286">
        <f>H31-H36</f>
        <v>538353.34030970559</v>
      </c>
      <c r="I38" s="86"/>
      <c r="J38" s="286">
        <f>J31-J36</f>
        <v>-13163102.86159277</v>
      </c>
      <c r="K38" s="86"/>
      <c r="L38" s="286">
        <f>L31-L36</f>
        <v>0</v>
      </c>
      <c r="M38" s="96"/>
      <c r="N38" s="286">
        <f>N31-N36</f>
        <v>0</v>
      </c>
      <c r="O38" s="86"/>
      <c r="P38" s="286">
        <f>SUM(F38:O38)</f>
        <v>-5136302.7611279078</v>
      </c>
    </row>
    <row r="39" spans="1:20" ht="15.75" customHeight="1">
      <c r="A39" s="242">
        <f t="shared" si="0"/>
        <v>25</v>
      </c>
      <c r="D39" s="86"/>
      <c r="E39" s="9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1:20" ht="15.75" customHeight="1">
      <c r="A40" s="242">
        <f t="shared" si="0"/>
        <v>26</v>
      </c>
      <c r="B40" s="66" t="s">
        <v>225</v>
      </c>
      <c r="D40" s="1019">
        <f>Allocation!E25</f>
        <v>0.38900000000000001</v>
      </c>
      <c r="E40" s="96"/>
      <c r="F40" s="286">
        <f>F38*$D$40</f>
        <v>2913005.7897003558</v>
      </c>
      <c r="G40" s="86"/>
      <c r="H40" s="286">
        <f>H38*$D$40</f>
        <v>209419.44938047547</v>
      </c>
      <c r="I40" s="86"/>
      <c r="J40" s="286">
        <f>J38*$D$40</f>
        <v>-5120447.013159588</v>
      </c>
      <c r="K40" s="86"/>
      <c r="L40" s="286">
        <f>L38*$D$40</f>
        <v>0</v>
      </c>
      <c r="M40" s="86"/>
      <c r="N40" s="286">
        <f>N38*$D$40</f>
        <v>0</v>
      </c>
      <c r="O40" s="86"/>
      <c r="P40" s="286">
        <f>P38*$D$40</f>
        <v>-1998021.7740787561</v>
      </c>
    </row>
    <row r="41" spans="1:20" ht="15.75" customHeight="1">
      <c r="A41" s="242">
        <f t="shared" si="0"/>
        <v>27</v>
      </c>
      <c r="D41" s="1019"/>
      <c r="E41" s="9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20" ht="15.75" customHeight="1">
      <c r="A42" s="242">
        <f t="shared" si="0"/>
        <v>28</v>
      </c>
      <c r="B42" s="66" t="s">
        <v>847</v>
      </c>
      <c r="D42" s="86"/>
      <c r="E42" s="96"/>
      <c r="F42" s="286">
        <f>F38-F40</f>
        <v>4575440.9704548009</v>
      </c>
      <c r="G42" s="86"/>
      <c r="H42" s="286">
        <f>H38-H40</f>
        <v>328933.89092923014</v>
      </c>
      <c r="I42" s="86"/>
      <c r="J42" s="286">
        <f>J38-J40</f>
        <v>-8042655.8484331816</v>
      </c>
      <c r="K42" s="86"/>
      <c r="L42" s="286">
        <f>L38-L40</f>
        <v>0</v>
      </c>
      <c r="M42" s="86"/>
      <c r="N42" s="286">
        <f>N38-N40</f>
        <v>0</v>
      </c>
      <c r="O42" s="86"/>
      <c r="P42" s="286">
        <f>P38-P40</f>
        <v>-3138280.9870491517</v>
      </c>
    </row>
    <row r="43" spans="1:20" ht="15.75" customHeight="1">
      <c r="A43" s="242"/>
      <c r="B43" s="66"/>
      <c r="D43" s="86"/>
      <c r="E43" s="96"/>
      <c r="F43" s="286"/>
      <c r="G43" s="86"/>
      <c r="H43" s="286"/>
      <c r="I43" s="86"/>
      <c r="J43" s="286"/>
      <c r="K43" s="86"/>
      <c r="L43" s="286"/>
      <c r="M43" s="86"/>
      <c r="N43" s="286"/>
      <c r="O43" s="86"/>
      <c r="P43" s="286"/>
    </row>
    <row r="44" spans="1:20" ht="15.75" customHeight="1">
      <c r="D44" s="96"/>
      <c r="E44" s="96"/>
      <c r="F44" s="96"/>
      <c r="G44" s="96"/>
      <c r="H44" s="864" t="s">
        <v>219</v>
      </c>
      <c r="I44" s="96"/>
      <c r="J44" s="96"/>
      <c r="K44" s="96"/>
      <c r="L44" s="96"/>
      <c r="M44" s="96"/>
      <c r="N44" s="96"/>
      <c r="O44" s="96"/>
      <c r="P44" s="864" t="s">
        <v>1099</v>
      </c>
    </row>
    <row r="45" spans="1:20" ht="15.75" customHeight="1">
      <c r="A45" s="242" t="s">
        <v>94</v>
      </c>
      <c r="B45" s="277" t="s">
        <v>1136</v>
      </c>
      <c r="D45" s="864" t="s">
        <v>45</v>
      </c>
      <c r="E45" s="96"/>
      <c r="F45" s="1092" t="s">
        <v>1098</v>
      </c>
      <c r="G45" s="1095"/>
      <c r="H45" s="1092" t="s">
        <v>1098</v>
      </c>
      <c r="I45" s="1093"/>
      <c r="J45" s="1092" t="s">
        <v>1098</v>
      </c>
      <c r="K45" s="1093"/>
      <c r="L45" s="1092" t="s">
        <v>1098</v>
      </c>
      <c r="M45" s="1093"/>
      <c r="N45" s="1092" t="s">
        <v>1098</v>
      </c>
      <c r="O45" s="1093"/>
      <c r="P45" s="864" t="s">
        <v>97</v>
      </c>
    </row>
    <row r="46" spans="1:20" ht="15.75" customHeight="1">
      <c r="A46" s="1094" t="s">
        <v>100</v>
      </c>
      <c r="B46" s="278" t="s">
        <v>220</v>
      </c>
      <c r="C46" s="241"/>
      <c r="D46" s="982" t="s">
        <v>543</v>
      </c>
      <c r="E46" s="643"/>
      <c r="F46" s="982" t="s">
        <v>612</v>
      </c>
      <c r="G46" s="978" t="s">
        <v>327</v>
      </c>
      <c r="H46" s="982" t="s">
        <v>469</v>
      </c>
      <c r="I46" s="978" t="s">
        <v>327</v>
      </c>
      <c r="J46" s="982" t="s">
        <v>470</v>
      </c>
      <c r="K46" s="978" t="s">
        <v>327</v>
      </c>
      <c r="L46" s="982" t="s">
        <v>471</v>
      </c>
      <c r="M46" s="978" t="s">
        <v>327</v>
      </c>
      <c r="N46" s="982" t="s">
        <v>472</v>
      </c>
      <c r="O46" s="978" t="s">
        <v>327</v>
      </c>
      <c r="P46" s="982" t="s">
        <v>476</v>
      </c>
    </row>
    <row r="47" spans="1:20" ht="15.75" customHeight="1"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</row>
    <row r="48" spans="1:20" ht="15.75" customHeight="1">
      <c r="A48" s="242">
        <f>A42+1</f>
        <v>29</v>
      </c>
      <c r="B48" s="1096">
        <v>7590</v>
      </c>
      <c r="C48" s="62" t="s">
        <v>111</v>
      </c>
      <c r="D48" s="354">
        <f>'C.2.1 B'!D37</f>
        <v>0</v>
      </c>
      <c r="E48" s="354"/>
      <c r="F48" s="354">
        <v>0</v>
      </c>
      <c r="G48" s="399"/>
      <c r="H48" s="354">
        <v>0</v>
      </c>
      <c r="I48" s="354"/>
      <c r="J48" s="354">
        <v>0</v>
      </c>
      <c r="K48" s="354"/>
      <c r="L48" s="354">
        <v>0</v>
      </c>
      <c r="M48" s="354"/>
      <c r="N48" s="354">
        <v>0</v>
      </c>
      <c r="O48" s="458"/>
      <c r="P48" s="354">
        <f t="shared" ref="P48:P93" si="1">SUM(F48:O48)</f>
        <v>0</v>
      </c>
      <c r="T48" s="1096"/>
    </row>
    <row r="49" spans="1:21" ht="15.75" customHeight="1">
      <c r="A49" s="242">
        <f t="shared" ref="A49:A93" si="2">A48+1</f>
        <v>30</v>
      </c>
      <c r="B49" s="1096">
        <v>8140</v>
      </c>
      <c r="C49" s="62" t="s">
        <v>111</v>
      </c>
      <c r="D49" s="354">
        <f>'C.2.1 B'!D44</f>
        <v>0</v>
      </c>
      <c r="E49" s="354"/>
      <c r="F49" s="354">
        <v>0</v>
      </c>
      <c r="G49" s="399"/>
      <c r="H49" s="354">
        <v>0</v>
      </c>
      <c r="I49" s="354"/>
      <c r="J49" s="354">
        <v>0</v>
      </c>
      <c r="K49" s="354"/>
      <c r="L49" s="354">
        <v>0</v>
      </c>
      <c r="M49" s="354"/>
      <c r="N49" s="354"/>
      <c r="O49" s="458"/>
      <c r="P49" s="354">
        <f t="shared" si="1"/>
        <v>0</v>
      </c>
      <c r="T49" s="1096"/>
    </row>
    <row r="50" spans="1:21" ht="15.75" customHeight="1">
      <c r="A50" s="242">
        <f t="shared" si="2"/>
        <v>31</v>
      </c>
      <c r="B50" s="1096">
        <v>8150</v>
      </c>
      <c r="C50" s="62" t="s">
        <v>232</v>
      </c>
      <c r="D50" s="354">
        <f>'C.2.1 B'!D45</f>
        <v>0</v>
      </c>
      <c r="E50" s="354"/>
      <c r="F50" s="354">
        <v>0</v>
      </c>
      <c r="G50" s="399"/>
      <c r="H50" s="354">
        <v>0</v>
      </c>
      <c r="I50" s="354"/>
      <c r="J50" s="354">
        <v>0</v>
      </c>
      <c r="K50" s="354"/>
      <c r="L50" s="354">
        <v>0</v>
      </c>
      <c r="M50" s="354"/>
      <c r="N50" s="354">
        <v>0</v>
      </c>
      <c r="O50" s="458"/>
      <c r="P50" s="354">
        <f t="shared" si="1"/>
        <v>0</v>
      </c>
      <c r="T50" s="1096"/>
    </row>
    <row r="51" spans="1:21" ht="15.75" customHeight="1">
      <c r="A51" s="242">
        <f t="shared" si="2"/>
        <v>32</v>
      </c>
      <c r="B51" s="1096">
        <v>8160</v>
      </c>
      <c r="C51" s="62" t="s">
        <v>112</v>
      </c>
      <c r="D51" s="354">
        <f>'C.2.1 B'!D46</f>
        <v>128970.30463018743</v>
      </c>
      <c r="E51" s="354"/>
      <c r="F51" s="354">
        <v>215.33957868340724</v>
      </c>
      <c r="G51" s="399"/>
      <c r="H51" s="354">
        <v>0</v>
      </c>
      <c r="I51" s="354"/>
      <c r="J51" s="354">
        <v>6751.3491000256727</v>
      </c>
      <c r="K51" s="354"/>
      <c r="L51" s="354">
        <v>0</v>
      </c>
      <c r="M51" s="354"/>
      <c r="N51" s="354">
        <v>0</v>
      </c>
      <c r="O51" s="354"/>
      <c r="P51" s="354">
        <f t="shared" si="1"/>
        <v>6966.6886787090798</v>
      </c>
      <c r="T51" s="1096"/>
      <c r="U51" s="1096"/>
    </row>
    <row r="52" spans="1:21" ht="15.75" customHeight="1">
      <c r="A52" s="242">
        <f t="shared" si="2"/>
        <v>33</v>
      </c>
      <c r="B52" s="1096">
        <v>8170</v>
      </c>
      <c r="C52" s="62" t="s">
        <v>1202</v>
      </c>
      <c r="D52" s="354">
        <f>'C.2.1 B'!D47</f>
        <v>35012.455108996946</v>
      </c>
      <c r="E52" s="354"/>
      <c r="F52" s="354">
        <v>175.71439352657512</v>
      </c>
      <c r="G52" s="399"/>
      <c r="H52" s="354">
        <v>-218.95803664505729</v>
      </c>
      <c r="I52" s="354"/>
      <c r="J52" s="354">
        <v>45.086959648940365</v>
      </c>
      <c r="K52" s="354"/>
      <c r="L52" s="354">
        <v>0</v>
      </c>
      <c r="M52" s="354"/>
      <c r="N52" s="354">
        <v>0</v>
      </c>
      <c r="O52" s="354"/>
      <c r="P52" s="354">
        <f t="shared" si="1"/>
        <v>1.8433165304581962</v>
      </c>
      <c r="T52" s="1096"/>
      <c r="U52" s="1096"/>
    </row>
    <row r="53" spans="1:21" ht="15.75" customHeight="1">
      <c r="A53" s="242">
        <f t="shared" si="2"/>
        <v>34</v>
      </c>
      <c r="B53" s="1096">
        <v>8180</v>
      </c>
      <c r="C53" s="62" t="s">
        <v>1203</v>
      </c>
      <c r="D53" s="354">
        <f>'C.2.1 B'!D48</f>
        <v>34837.861808389884</v>
      </c>
      <c r="E53" s="354"/>
      <c r="F53" s="354">
        <v>92.156492045881123</v>
      </c>
      <c r="G53" s="399"/>
      <c r="H53" s="354">
        <v>-64.031053835950388</v>
      </c>
      <c r="I53" s="354"/>
      <c r="J53" s="354">
        <v>766.57138091392108</v>
      </c>
      <c r="K53" s="354"/>
      <c r="L53" s="354">
        <v>0</v>
      </c>
      <c r="M53" s="354"/>
      <c r="N53" s="354">
        <v>0</v>
      </c>
      <c r="O53" s="354"/>
      <c r="P53" s="354">
        <f t="shared" si="1"/>
        <v>794.69681912385181</v>
      </c>
      <c r="T53" s="1096"/>
      <c r="U53" s="1096"/>
    </row>
    <row r="54" spans="1:21" ht="15.75" customHeight="1">
      <c r="A54" s="242">
        <f t="shared" si="2"/>
        <v>35</v>
      </c>
      <c r="B54" s="1096">
        <v>8190</v>
      </c>
      <c r="C54" s="62" t="s">
        <v>1050</v>
      </c>
      <c r="D54" s="354">
        <f>'C.2.1 B'!D49</f>
        <v>1122.6154937582521</v>
      </c>
      <c r="E54" s="354"/>
      <c r="F54" s="354">
        <v>0</v>
      </c>
      <c r="G54" s="399"/>
      <c r="H54" s="354">
        <v>-119.15546623924695</v>
      </c>
      <c r="I54" s="354"/>
      <c r="J54" s="354">
        <v>0</v>
      </c>
      <c r="K54" s="354"/>
      <c r="L54" s="354">
        <v>0</v>
      </c>
      <c r="M54" s="354"/>
      <c r="N54" s="354">
        <v>0</v>
      </c>
      <c r="O54" s="354"/>
      <c r="P54" s="354">
        <f t="shared" si="1"/>
        <v>-119.15546623924695</v>
      </c>
      <c r="T54" s="1096"/>
      <c r="U54" s="1096"/>
    </row>
    <row r="55" spans="1:21" ht="15.75" customHeight="1">
      <c r="A55" s="242">
        <f t="shared" si="2"/>
        <v>36</v>
      </c>
      <c r="B55" s="1096">
        <v>8200</v>
      </c>
      <c r="C55" s="62" t="s">
        <v>1051</v>
      </c>
      <c r="D55" s="354">
        <f>'C.2.1 B'!D50</f>
        <v>3666.7845814151633</v>
      </c>
      <c r="E55" s="354"/>
      <c r="F55" s="354">
        <v>10.240095047594409</v>
      </c>
      <c r="G55" s="399"/>
      <c r="H55" s="354">
        <v>-191.94821066861482</v>
      </c>
      <c r="I55" s="354"/>
      <c r="J55" s="354">
        <v>0</v>
      </c>
      <c r="K55" s="354"/>
      <c r="L55" s="354">
        <v>0</v>
      </c>
      <c r="M55" s="354"/>
      <c r="N55" s="354">
        <v>0</v>
      </c>
      <c r="O55" s="354"/>
      <c r="P55" s="354">
        <f t="shared" si="1"/>
        <v>-181.7081156210204</v>
      </c>
      <c r="T55" s="1096"/>
      <c r="U55" s="1096"/>
    </row>
    <row r="56" spans="1:21" ht="15.75" customHeight="1">
      <c r="A56" s="242">
        <f t="shared" si="2"/>
        <v>37</v>
      </c>
      <c r="B56" s="1096">
        <v>8210</v>
      </c>
      <c r="C56" s="62" t="s">
        <v>1052</v>
      </c>
      <c r="D56" s="354">
        <f>'C.2.1 B'!D51</f>
        <v>25634.811314407776</v>
      </c>
      <c r="E56" s="354"/>
      <c r="F56" s="354">
        <v>55.194061036786707</v>
      </c>
      <c r="G56" s="399"/>
      <c r="H56" s="354">
        <v>-273.13830979817931</v>
      </c>
      <c r="I56" s="458"/>
      <c r="J56" s="354">
        <v>557.16047117933681</v>
      </c>
      <c r="K56" s="354"/>
      <c r="L56" s="354">
        <v>0</v>
      </c>
      <c r="M56" s="354"/>
      <c r="N56" s="354">
        <v>0</v>
      </c>
      <c r="O56" s="354"/>
      <c r="P56" s="354">
        <f t="shared" si="1"/>
        <v>339.21622241794421</v>
      </c>
      <c r="T56" s="1096"/>
      <c r="U56" s="1096"/>
    </row>
    <row r="57" spans="1:21" ht="15.75" customHeight="1">
      <c r="A57" s="242">
        <f t="shared" si="2"/>
        <v>38</v>
      </c>
      <c r="B57" s="1096">
        <v>8240</v>
      </c>
      <c r="C57" s="62" t="s">
        <v>1053</v>
      </c>
      <c r="D57" s="354">
        <f>'C.2.1 B'!D52</f>
        <v>0</v>
      </c>
      <c r="E57" s="354"/>
      <c r="F57" s="354">
        <v>0</v>
      </c>
      <c r="G57" s="399"/>
      <c r="H57" s="354">
        <v>0</v>
      </c>
      <c r="I57" s="458"/>
      <c r="J57" s="354">
        <v>0</v>
      </c>
      <c r="K57" s="458"/>
      <c r="L57" s="354">
        <v>0</v>
      </c>
      <c r="M57" s="458"/>
      <c r="N57" s="354">
        <v>0</v>
      </c>
      <c r="O57" s="354"/>
      <c r="P57" s="354">
        <f t="shared" si="1"/>
        <v>0</v>
      </c>
      <c r="T57" s="1096"/>
      <c r="U57" s="1096"/>
    </row>
    <row r="58" spans="1:21" ht="15.75" customHeight="1">
      <c r="A58" s="242">
        <f t="shared" si="2"/>
        <v>39</v>
      </c>
      <c r="B58" s="1096">
        <v>8250</v>
      </c>
      <c r="C58" s="62" t="s">
        <v>1054</v>
      </c>
      <c r="D58" s="354">
        <f>'C.2.1 B'!D53</f>
        <v>13498.232385991532</v>
      </c>
      <c r="E58" s="354"/>
      <c r="F58" s="354">
        <v>0</v>
      </c>
      <c r="G58" s="399"/>
      <c r="H58" s="354">
        <v>-1004.5739561604507</v>
      </c>
      <c r="I58" s="458"/>
      <c r="J58" s="354">
        <v>-3105.5816833709137</v>
      </c>
      <c r="K58" s="458"/>
      <c r="L58" s="354">
        <v>0</v>
      </c>
      <c r="M58" s="458"/>
      <c r="N58" s="354">
        <v>0</v>
      </c>
      <c r="O58" s="458"/>
      <c r="P58" s="354">
        <f t="shared" si="1"/>
        <v>-4110.1556395313646</v>
      </c>
      <c r="T58" s="1096"/>
      <c r="U58" s="1096"/>
    </row>
    <row r="59" spans="1:21" ht="15.75" customHeight="1">
      <c r="A59" s="242">
        <f t="shared" si="2"/>
        <v>40</v>
      </c>
      <c r="B59" s="1096">
        <v>8310</v>
      </c>
      <c r="C59" s="62" t="s">
        <v>1055</v>
      </c>
      <c r="D59" s="354">
        <f>'C.2.1 B'!D57</f>
        <v>15144.962592184031</v>
      </c>
      <c r="E59" s="354"/>
      <c r="F59" s="354">
        <v>0</v>
      </c>
      <c r="G59" s="399"/>
      <c r="H59" s="354">
        <v>0</v>
      </c>
      <c r="I59" s="458"/>
      <c r="J59" s="354">
        <v>1103.3373496283621</v>
      </c>
      <c r="K59" s="458"/>
      <c r="L59" s="354">
        <v>0</v>
      </c>
      <c r="M59" s="458"/>
      <c r="N59" s="354">
        <v>0</v>
      </c>
      <c r="O59" s="354"/>
      <c r="P59" s="354">
        <f t="shared" si="1"/>
        <v>1103.3373496283621</v>
      </c>
      <c r="T59" s="1096"/>
      <c r="U59" s="1096"/>
    </row>
    <row r="60" spans="1:21" ht="15.75" customHeight="1">
      <c r="A60" s="242">
        <f t="shared" si="2"/>
        <v>41</v>
      </c>
      <c r="B60" s="1096">
        <v>8320</v>
      </c>
      <c r="C60" s="62" t="s">
        <v>1056</v>
      </c>
      <c r="D60" s="354">
        <f>'C.2.1 B'!D58</f>
        <v>0</v>
      </c>
      <c r="E60" s="354"/>
      <c r="F60" s="354">
        <v>0</v>
      </c>
      <c r="G60" s="399"/>
      <c r="H60" s="354">
        <v>0</v>
      </c>
      <c r="I60" s="458"/>
      <c r="J60" s="354">
        <v>0</v>
      </c>
      <c r="K60" s="458"/>
      <c r="L60" s="354">
        <v>0</v>
      </c>
      <c r="M60" s="458"/>
      <c r="N60" s="354">
        <v>0</v>
      </c>
      <c r="O60" s="458"/>
      <c r="P60" s="354">
        <f t="shared" si="1"/>
        <v>0</v>
      </c>
      <c r="T60" s="1096"/>
      <c r="U60" s="1096"/>
    </row>
    <row r="61" spans="1:21" ht="15.75" customHeight="1">
      <c r="A61" s="242">
        <f t="shared" si="2"/>
        <v>42</v>
      </c>
      <c r="B61" s="1096">
        <v>8340</v>
      </c>
      <c r="C61" s="62" t="s">
        <v>391</v>
      </c>
      <c r="D61" s="354">
        <f>'C.2.1 B'!D59</f>
        <v>11247.78480437396</v>
      </c>
      <c r="E61" s="354"/>
      <c r="F61" s="354">
        <v>13.343659908620339</v>
      </c>
      <c r="G61" s="399"/>
      <c r="H61" s="354">
        <v>0</v>
      </c>
      <c r="I61" s="458"/>
      <c r="J61" s="354">
        <v>627.92695007296879</v>
      </c>
      <c r="K61" s="458"/>
      <c r="L61" s="354">
        <v>0</v>
      </c>
      <c r="M61" s="458"/>
      <c r="N61" s="354">
        <v>0</v>
      </c>
      <c r="O61" s="354"/>
      <c r="P61" s="354">
        <f t="shared" si="1"/>
        <v>641.27060998158913</v>
      </c>
      <c r="T61" s="1096"/>
      <c r="U61" s="1096"/>
    </row>
    <row r="62" spans="1:21" ht="15.75" customHeight="1">
      <c r="A62" s="242">
        <f t="shared" si="2"/>
        <v>43</v>
      </c>
      <c r="B62" s="1096">
        <v>8350</v>
      </c>
      <c r="C62" s="62" t="s">
        <v>236</v>
      </c>
      <c r="D62" s="354">
        <f>'C.2.1 B'!D60</f>
        <v>0</v>
      </c>
      <c r="E62" s="354"/>
      <c r="F62" s="354">
        <v>0</v>
      </c>
      <c r="G62" s="399"/>
      <c r="H62" s="354">
        <v>0</v>
      </c>
      <c r="I62" s="458"/>
      <c r="J62" s="354">
        <v>0</v>
      </c>
      <c r="K62" s="354"/>
      <c r="L62" s="354">
        <v>0</v>
      </c>
      <c r="M62" s="458"/>
      <c r="N62" s="354">
        <v>0</v>
      </c>
      <c r="O62" s="458"/>
      <c r="P62" s="354">
        <f t="shared" si="1"/>
        <v>0</v>
      </c>
      <c r="T62" s="1096"/>
      <c r="U62" s="1096"/>
    </row>
    <row r="63" spans="1:21" ht="15.75" customHeight="1">
      <c r="A63" s="242">
        <f t="shared" si="2"/>
        <v>44</v>
      </c>
      <c r="B63" s="1096">
        <v>8360</v>
      </c>
      <c r="C63" s="62" t="s">
        <v>237</v>
      </c>
      <c r="D63" s="354">
        <f>'C.2.1 B'!D61</f>
        <v>0</v>
      </c>
      <c r="E63" s="354"/>
      <c r="F63" s="354">
        <v>0</v>
      </c>
      <c r="G63" s="399"/>
      <c r="H63" s="354">
        <v>0</v>
      </c>
      <c r="I63" s="458"/>
      <c r="J63" s="354">
        <v>0</v>
      </c>
      <c r="K63" s="354"/>
      <c r="L63" s="354">
        <v>0</v>
      </c>
      <c r="M63" s="458"/>
      <c r="N63" s="354">
        <v>0</v>
      </c>
      <c r="O63" s="458"/>
      <c r="P63" s="354">
        <f t="shared" si="1"/>
        <v>0</v>
      </c>
      <c r="T63" s="1096"/>
      <c r="U63" s="1096"/>
    </row>
    <row r="64" spans="1:21" ht="15.75" customHeight="1">
      <c r="A64" s="242">
        <f t="shared" si="2"/>
        <v>45</v>
      </c>
      <c r="B64" s="1096">
        <v>8370</v>
      </c>
      <c r="C64" s="66" t="s">
        <v>1400</v>
      </c>
      <c r="D64" s="354">
        <f>'C.2.1 B'!D62</f>
        <v>0</v>
      </c>
      <c r="E64" s="354"/>
      <c r="F64" s="354">
        <v>0</v>
      </c>
      <c r="G64" s="399"/>
      <c r="H64" s="354">
        <v>0</v>
      </c>
      <c r="I64" s="458"/>
      <c r="J64" s="354">
        <v>0</v>
      </c>
      <c r="K64" s="354"/>
      <c r="L64" s="354">
        <v>0</v>
      </c>
      <c r="M64" s="458"/>
      <c r="N64" s="354"/>
      <c r="O64" s="458"/>
      <c r="P64" s="354">
        <f t="shared" si="1"/>
        <v>0</v>
      </c>
      <c r="T64" s="1096"/>
      <c r="U64" s="1096"/>
    </row>
    <row r="65" spans="1:21" ht="15.75" customHeight="1">
      <c r="A65" s="242">
        <f t="shared" si="2"/>
        <v>46</v>
      </c>
      <c r="B65" s="1096">
        <v>8400</v>
      </c>
      <c r="C65" s="62" t="s">
        <v>478</v>
      </c>
      <c r="D65" s="354">
        <v>0</v>
      </c>
      <c r="E65" s="354"/>
      <c r="F65" s="354">
        <v>0</v>
      </c>
      <c r="G65" s="399"/>
      <c r="H65" s="354">
        <v>0</v>
      </c>
      <c r="I65" s="458"/>
      <c r="J65" s="354">
        <v>0</v>
      </c>
      <c r="K65" s="354"/>
      <c r="L65" s="354">
        <v>0</v>
      </c>
      <c r="M65" s="458"/>
      <c r="N65" s="354">
        <v>0</v>
      </c>
      <c r="O65" s="458"/>
      <c r="P65" s="354">
        <f t="shared" si="1"/>
        <v>0</v>
      </c>
      <c r="T65" s="1096"/>
      <c r="U65" s="1096"/>
    </row>
    <row r="66" spans="1:21" ht="15.75" customHeight="1">
      <c r="A66" s="242">
        <f t="shared" si="2"/>
        <v>47</v>
      </c>
      <c r="B66" s="1096">
        <v>8410</v>
      </c>
      <c r="C66" s="62" t="s">
        <v>238</v>
      </c>
      <c r="D66" s="354">
        <f>'C.2.1 B'!D63</f>
        <v>133472.94446389066</v>
      </c>
      <c r="E66" s="354"/>
      <c r="F66" s="354">
        <v>707.2524820071128</v>
      </c>
      <c r="G66" s="399"/>
      <c r="H66" s="354">
        <v>0</v>
      </c>
      <c r="I66" s="458"/>
      <c r="J66" s="354">
        <v>182.35106654392894</v>
      </c>
      <c r="K66" s="354"/>
      <c r="L66" s="354">
        <v>0</v>
      </c>
      <c r="M66" s="458"/>
      <c r="N66" s="354">
        <v>0</v>
      </c>
      <c r="O66" s="458"/>
      <c r="P66" s="354">
        <f t="shared" si="1"/>
        <v>889.60354855104174</v>
      </c>
      <c r="T66" s="1096"/>
      <c r="U66" s="1096"/>
    </row>
    <row r="67" spans="1:21" ht="15.75" customHeight="1">
      <c r="A67" s="242">
        <f t="shared" si="2"/>
        <v>48</v>
      </c>
      <c r="B67" s="1096">
        <v>8470</v>
      </c>
      <c r="C67" s="62" t="s">
        <v>239</v>
      </c>
      <c r="D67" s="354">
        <v>0</v>
      </c>
      <c r="E67" s="354"/>
      <c r="F67" s="354">
        <v>0</v>
      </c>
      <c r="G67" s="399"/>
      <c r="H67" s="354">
        <v>0</v>
      </c>
      <c r="I67" s="458"/>
      <c r="J67" s="354">
        <v>0</v>
      </c>
      <c r="K67" s="354"/>
      <c r="L67" s="354">
        <v>0</v>
      </c>
      <c r="M67" s="458"/>
      <c r="N67" s="354">
        <v>0</v>
      </c>
      <c r="O67" s="458"/>
      <c r="P67" s="354">
        <f t="shared" si="1"/>
        <v>0</v>
      </c>
      <c r="T67" s="1096"/>
      <c r="U67" s="1096"/>
    </row>
    <row r="68" spans="1:21" ht="15.75" customHeight="1">
      <c r="A68" s="242">
        <f t="shared" si="2"/>
        <v>49</v>
      </c>
      <c r="B68" s="1096">
        <v>8500</v>
      </c>
      <c r="C68" s="62" t="s">
        <v>241</v>
      </c>
      <c r="D68" s="354">
        <f>'C.2.1 B'!D67</f>
        <v>0</v>
      </c>
      <c r="E68" s="354"/>
      <c r="F68" s="354">
        <v>0</v>
      </c>
      <c r="G68" s="399"/>
      <c r="H68" s="354">
        <v>0</v>
      </c>
      <c r="I68" s="458"/>
      <c r="J68" s="354">
        <v>0</v>
      </c>
      <c r="K68" s="354"/>
      <c r="L68" s="354">
        <v>0</v>
      </c>
      <c r="M68" s="458"/>
      <c r="N68" s="354">
        <v>0</v>
      </c>
      <c r="O68" s="458"/>
      <c r="P68" s="354">
        <f t="shared" si="1"/>
        <v>0</v>
      </c>
      <c r="T68" s="1096"/>
      <c r="U68" s="1096"/>
    </row>
    <row r="69" spans="1:21" ht="15.75" customHeight="1">
      <c r="A69" s="242">
        <f t="shared" si="2"/>
        <v>50</v>
      </c>
      <c r="B69" s="1096">
        <v>8520</v>
      </c>
      <c r="C69" s="62" t="s">
        <v>1401</v>
      </c>
      <c r="D69" s="354">
        <f>'C.2.1 B'!D68</f>
        <v>0</v>
      </c>
      <c r="E69" s="354"/>
      <c r="F69" s="354">
        <v>0</v>
      </c>
      <c r="G69" s="399"/>
      <c r="H69" s="354">
        <v>0</v>
      </c>
      <c r="I69" s="458"/>
      <c r="J69" s="354">
        <v>0</v>
      </c>
      <c r="K69" s="354"/>
      <c r="L69" s="354">
        <v>0</v>
      </c>
      <c r="M69" s="458"/>
      <c r="N69" s="354"/>
      <c r="O69" s="458"/>
      <c r="P69" s="354">
        <f t="shared" si="1"/>
        <v>0</v>
      </c>
      <c r="T69" s="1096"/>
      <c r="U69" s="1096"/>
    </row>
    <row r="70" spans="1:21" ht="15.75" customHeight="1">
      <c r="A70" s="242">
        <f t="shared" si="2"/>
        <v>51</v>
      </c>
      <c r="B70" s="1096">
        <v>8550</v>
      </c>
      <c r="C70" s="62" t="s">
        <v>1417</v>
      </c>
      <c r="D70" s="354">
        <f>'C.2.1 B'!D69</f>
        <v>332.03626380790166</v>
      </c>
      <c r="E70" s="354"/>
      <c r="F70" s="354">
        <v>0</v>
      </c>
      <c r="G70" s="399"/>
      <c r="H70" s="354">
        <v>-35.242641886152228</v>
      </c>
      <c r="I70" s="458"/>
      <c r="J70" s="354">
        <v>0</v>
      </c>
      <c r="K70" s="354"/>
      <c r="L70" s="354"/>
      <c r="M70" s="458"/>
      <c r="N70" s="354"/>
      <c r="O70" s="458"/>
      <c r="P70" s="354"/>
      <c r="T70" s="1096"/>
      <c r="U70" s="1096"/>
    </row>
    <row r="71" spans="1:21" ht="15.75" customHeight="1">
      <c r="A71" s="242">
        <f t="shared" si="2"/>
        <v>52</v>
      </c>
      <c r="B71" s="1096">
        <v>8560</v>
      </c>
      <c r="C71" s="62" t="s">
        <v>242</v>
      </c>
      <c r="D71" s="354">
        <f>'C.2.1 B'!D70</f>
        <v>252639.51159502778</v>
      </c>
      <c r="E71" s="354"/>
      <c r="F71" s="354">
        <v>969.29323410226925</v>
      </c>
      <c r="G71" s="399"/>
      <c r="H71" s="354">
        <v>-940.96012568609149</v>
      </c>
      <c r="I71" s="458"/>
      <c r="J71" s="354">
        <v>3122.4476111088061</v>
      </c>
      <c r="K71" s="354"/>
      <c r="L71" s="354">
        <v>0</v>
      </c>
      <c r="M71" s="458"/>
      <c r="N71" s="354">
        <v>0</v>
      </c>
      <c r="O71" s="458"/>
      <c r="P71" s="354">
        <f t="shared" si="1"/>
        <v>3150.7807195249839</v>
      </c>
      <c r="T71" s="1096"/>
      <c r="U71" s="1096"/>
    </row>
    <row r="72" spans="1:21" ht="15.75" customHeight="1">
      <c r="A72" s="242">
        <f t="shared" si="2"/>
        <v>53</v>
      </c>
      <c r="B72" s="1096">
        <v>8570</v>
      </c>
      <c r="C72" s="62" t="s">
        <v>243</v>
      </c>
      <c r="D72" s="354">
        <f>'C.2.1 B'!D71</f>
        <v>11617.869592657094</v>
      </c>
      <c r="E72" s="354"/>
      <c r="F72" s="354">
        <v>17.903503666510815</v>
      </c>
      <c r="G72" s="399"/>
      <c r="H72" s="354">
        <v>-649.34646027040435</v>
      </c>
      <c r="I72" s="354"/>
      <c r="J72" s="354">
        <v>95.63980522559541</v>
      </c>
      <c r="K72" s="354"/>
      <c r="L72" s="354">
        <v>0</v>
      </c>
      <c r="M72" s="354"/>
      <c r="N72" s="354">
        <v>0</v>
      </c>
      <c r="O72" s="458"/>
      <c r="P72" s="354">
        <f t="shared" si="1"/>
        <v>-535.80315137829814</v>
      </c>
      <c r="T72" s="1096"/>
      <c r="U72" s="1096"/>
    </row>
    <row r="73" spans="1:21" ht="15.75" customHeight="1">
      <c r="A73" s="242">
        <f t="shared" si="2"/>
        <v>54</v>
      </c>
      <c r="B73" s="1096">
        <v>8590</v>
      </c>
      <c r="C73" s="62" t="s">
        <v>244</v>
      </c>
      <c r="D73" s="354">
        <f>'C.2.1 B'!D72</f>
        <v>0</v>
      </c>
      <c r="E73" s="354"/>
      <c r="F73" s="354">
        <v>0</v>
      </c>
      <c r="G73" s="399"/>
      <c r="H73" s="354">
        <v>0</v>
      </c>
      <c r="I73" s="354"/>
      <c r="J73" s="354">
        <v>0</v>
      </c>
      <c r="K73" s="354"/>
      <c r="L73" s="354">
        <v>0</v>
      </c>
      <c r="M73" s="354"/>
      <c r="N73" s="354">
        <v>0</v>
      </c>
      <c r="O73" s="354"/>
      <c r="P73" s="354">
        <f t="shared" si="1"/>
        <v>0</v>
      </c>
      <c r="T73" s="1096"/>
      <c r="U73" s="1096"/>
    </row>
    <row r="74" spans="1:21" ht="15.75" customHeight="1">
      <c r="A74" s="242">
        <f t="shared" si="2"/>
        <v>55</v>
      </c>
      <c r="B74" s="1096">
        <v>8600</v>
      </c>
      <c r="C74" s="62" t="s">
        <v>233</v>
      </c>
      <c r="D74" s="354">
        <f>'C.2.1 B'!D73</f>
        <v>0</v>
      </c>
      <c r="E74" s="354"/>
      <c r="F74" s="354">
        <v>0</v>
      </c>
      <c r="G74" s="399"/>
      <c r="H74" s="354">
        <v>0</v>
      </c>
      <c r="I74" s="354"/>
      <c r="J74" s="354">
        <v>0</v>
      </c>
      <c r="K74" s="354"/>
      <c r="L74" s="354">
        <v>0</v>
      </c>
      <c r="M74" s="354"/>
      <c r="N74" s="354">
        <v>0</v>
      </c>
      <c r="O74" s="354"/>
      <c r="P74" s="354">
        <f t="shared" si="1"/>
        <v>0</v>
      </c>
      <c r="T74" s="1096"/>
      <c r="U74" s="1096"/>
    </row>
    <row r="75" spans="1:21" ht="15.75" customHeight="1">
      <c r="A75" s="242">
        <f t="shared" si="2"/>
        <v>56</v>
      </c>
      <c r="B75" s="1096">
        <v>8620</v>
      </c>
      <c r="C75" s="62" t="s">
        <v>245</v>
      </c>
      <c r="D75" s="354">
        <f>'C.2.1 B'!D77</f>
        <v>0</v>
      </c>
      <c r="E75" s="354"/>
      <c r="F75" s="354">
        <v>0</v>
      </c>
      <c r="G75" s="399"/>
      <c r="H75" s="354">
        <v>0</v>
      </c>
      <c r="I75" s="354"/>
      <c r="J75" s="354">
        <v>0</v>
      </c>
      <c r="K75" s="354"/>
      <c r="L75" s="354">
        <v>0</v>
      </c>
      <c r="M75" s="354"/>
      <c r="N75" s="354">
        <v>0</v>
      </c>
      <c r="O75" s="354"/>
      <c r="P75" s="354">
        <f t="shared" si="1"/>
        <v>0</v>
      </c>
      <c r="T75" s="1096"/>
      <c r="U75" s="1096"/>
    </row>
    <row r="76" spans="1:21" ht="15.75" customHeight="1">
      <c r="A76" s="242">
        <f t="shared" si="2"/>
        <v>57</v>
      </c>
      <c r="B76" s="1096">
        <v>8630</v>
      </c>
      <c r="C76" s="62" t="s">
        <v>246</v>
      </c>
      <c r="D76" s="354">
        <f>'C.2.1 B'!D78</f>
        <v>2900.0863154740337</v>
      </c>
      <c r="E76" s="354"/>
      <c r="F76" s="354">
        <v>2.615956870840364</v>
      </c>
      <c r="G76" s="399"/>
      <c r="H76" s="354">
        <v>0</v>
      </c>
      <c r="I76" s="458"/>
      <c r="J76" s="354">
        <v>188.56910286446464</v>
      </c>
      <c r="K76" s="354"/>
      <c r="L76" s="354">
        <v>0</v>
      </c>
      <c r="M76" s="458"/>
      <c r="N76" s="354">
        <v>0</v>
      </c>
      <c r="O76" s="458"/>
      <c r="P76" s="354">
        <f t="shared" si="1"/>
        <v>191.185059735305</v>
      </c>
      <c r="T76" s="1096"/>
      <c r="U76" s="1096"/>
    </row>
    <row r="77" spans="1:21" ht="15.75" customHeight="1">
      <c r="A77" s="242">
        <f t="shared" si="2"/>
        <v>58</v>
      </c>
      <c r="B77" s="1096">
        <v>8640</v>
      </c>
      <c r="C77" s="62" t="s">
        <v>247</v>
      </c>
      <c r="D77" s="354">
        <f>'C.2.1 B'!D79</f>
        <v>0</v>
      </c>
      <c r="E77" s="354"/>
      <c r="F77" s="354">
        <v>0</v>
      </c>
      <c r="G77" s="399"/>
      <c r="H77" s="354">
        <v>0</v>
      </c>
      <c r="I77" s="458"/>
      <c r="J77" s="354">
        <v>0</v>
      </c>
      <c r="K77" s="354"/>
      <c r="L77" s="354">
        <v>0</v>
      </c>
      <c r="M77" s="458"/>
      <c r="N77" s="354">
        <v>0</v>
      </c>
      <c r="O77" s="458"/>
      <c r="P77" s="354">
        <f t="shared" si="1"/>
        <v>0</v>
      </c>
      <c r="T77" s="1096"/>
      <c r="U77" s="1096"/>
    </row>
    <row r="78" spans="1:21" ht="15.75" customHeight="1">
      <c r="A78" s="242">
        <f t="shared" si="2"/>
        <v>59</v>
      </c>
      <c r="B78" s="1096">
        <v>8650</v>
      </c>
      <c r="C78" s="62" t="s">
        <v>248</v>
      </c>
      <c r="D78" s="354">
        <f>'C.2.1 B'!D80</f>
        <v>395.6378654704647</v>
      </c>
      <c r="E78" s="354"/>
      <c r="F78" s="354">
        <v>0</v>
      </c>
      <c r="G78" s="399"/>
      <c r="H78" s="354">
        <v>0</v>
      </c>
      <c r="I78" s="458"/>
      <c r="J78" s="354">
        <v>16.80979188331662</v>
      </c>
      <c r="K78" s="354"/>
      <c r="L78" s="354">
        <v>0</v>
      </c>
      <c r="M78" s="458"/>
      <c r="N78" s="354">
        <v>0</v>
      </c>
      <c r="O78" s="458"/>
      <c r="P78" s="354">
        <f t="shared" si="1"/>
        <v>16.80979188331662</v>
      </c>
      <c r="T78" s="1096"/>
      <c r="U78" s="1096"/>
    </row>
    <row r="79" spans="1:21" ht="15.75" customHeight="1">
      <c r="A79" s="242">
        <f t="shared" si="2"/>
        <v>60</v>
      </c>
      <c r="B79" s="1096">
        <v>8670</v>
      </c>
      <c r="C79" s="62" t="s">
        <v>249</v>
      </c>
      <c r="D79" s="354">
        <f>'C.2.1 B'!D81</f>
        <v>0</v>
      </c>
      <c r="E79" s="354"/>
      <c r="F79" s="354">
        <v>0</v>
      </c>
      <c r="G79" s="399"/>
      <c r="H79" s="354">
        <v>0</v>
      </c>
      <c r="I79" s="458"/>
      <c r="J79" s="354">
        <v>0</v>
      </c>
      <c r="K79" s="354"/>
      <c r="L79" s="354">
        <v>0</v>
      </c>
      <c r="M79" s="458"/>
      <c r="N79" s="354">
        <v>0</v>
      </c>
      <c r="O79" s="458"/>
      <c r="P79" s="354">
        <f t="shared" si="1"/>
        <v>0</v>
      </c>
      <c r="T79" s="1096"/>
      <c r="U79" s="1096"/>
    </row>
    <row r="80" spans="1:21" ht="15.75" customHeight="1">
      <c r="A80" s="242">
        <f t="shared" si="2"/>
        <v>61</v>
      </c>
      <c r="B80" s="1096">
        <v>8700</v>
      </c>
      <c r="C80" s="62" t="s">
        <v>250</v>
      </c>
      <c r="D80" s="354">
        <f>'C.2.1 B'!D107</f>
        <v>1193064.7758118485</v>
      </c>
      <c r="E80" s="354"/>
      <c r="F80" s="354">
        <v>2745.4756978984979</v>
      </c>
      <c r="G80" s="399"/>
      <c r="H80" s="354">
        <v>-6317.1710826731978</v>
      </c>
      <c r="I80" s="458"/>
      <c r="J80" s="354">
        <v>14308.26595669203</v>
      </c>
      <c r="K80" s="354"/>
      <c r="L80" s="354">
        <v>0</v>
      </c>
      <c r="M80" s="458"/>
      <c r="N80" s="354">
        <v>0</v>
      </c>
      <c r="O80" s="458"/>
      <c r="P80" s="354">
        <f t="shared" si="1"/>
        <v>10736.570571917331</v>
      </c>
      <c r="T80" s="1096"/>
      <c r="U80" s="1096"/>
    </row>
    <row r="81" spans="1:21" ht="15.75" customHeight="1">
      <c r="A81" s="242">
        <f t="shared" si="2"/>
        <v>62</v>
      </c>
      <c r="B81" s="1096">
        <v>8710</v>
      </c>
      <c r="C81" s="62" t="s">
        <v>251</v>
      </c>
      <c r="D81" s="354">
        <f>'C.2.1 B'!D108</f>
        <v>1103.2196448664054</v>
      </c>
      <c r="E81" s="354"/>
      <c r="F81" s="354">
        <v>0</v>
      </c>
      <c r="G81" s="399"/>
      <c r="H81" s="354">
        <v>-117.09677256303803</v>
      </c>
      <c r="I81" s="458"/>
      <c r="J81" s="354">
        <v>0</v>
      </c>
      <c r="K81" s="354"/>
      <c r="L81" s="354">
        <v>0</v>
      </c>
      <c r="M81" s="458"/>
      <c r="N81" s="354">
        <v>0</v>
      </c>
      <c r="O81" s="458"/>
      <c r="P81" s="354">
        <f t="shared" si="1"/>
        <v>-117.09677256303803</v>
      </c>
      <c r="T81" s="1096"/>
      <c r="U81" s="1096"/>
    </row>
    <row r="82" spans="1:21" ht="15.75" customHeight="1">
      <c r="A82" s="242">
        <f t="shared" si="2"/>
        <v>63</v>
      </c>
      <c r="B82" s="1096">
        <v>8711</v>
      </c>
      <c r="C82" s="62" t="s">
        <v>234</v>
      </c>
      <c r="D82" s="354">
        <f>'C.2.1 B'!D109</f>
        <v>2544.7323411015291</v>
      </c>
      <c r="E82" s="354"/>
      <c r="F82" s="354">
        <v>0</v>
      </c>
      <c r="G82" s="399"/>
      <c r="H82" s="354">
        <v>0</v>
      </c>
      <c r="I82" s="458"/>
      <c r="J82" s="354">
        <v>124.94825386055032</v>
      </c>
      <c r="K82" s="354"/>
      <c r="L82" s="354">
        <v>0</v>
      </c>
      <c r="M82" s="458"/>
      <c r="N82" s="354">
        <v>0</v>
      </c>
      <c r="O82" s="458"/>
      <c r="P82" s="354">
        <f t="shared" si="1"/>
        <v>124.94825386055032</v>
      </c>
      <c r="T82" s="1096"/>
      <c r="U82" s="1096"/>
    </row>
    <row r="83" spans="1:21" ht="15.75" customHeight="1">
      <c r="A83" s="242">
        <f t="shared" si="2"/>
        <v>64</v>
      </c>
      <c r="B83" s="1096">
        <v>8720</v>
      </c>
      <c r="C83" s="62" t="s">
        <v>252</v>
      </c>
      <c r="D83" s="354">
        <f>'C.2.1 B'!D110</f>
        <v>0</v>
      </c>
      <c r="E83" s="354"/>
      <c r="F83" s="354">
        <v>0</v>
      </c>
      <c r="G83" s="399"/>
      <c r="H83" s="354">
        <v>0</v>
      </c>
      <c r="I83" s="458"/>
      <c r="J83" s="354">
        <v>0</v>
      </c>
      <c r="K83" s="354"/>
      <c r="L83" s="354">
        <v>0</v>
      </c>
      <c r="M83" s="458"/>
      <c r="N83" s="354">
        <v>0</v>
      </c>
      <c r="O83" s="458"/>
      <c r="P83" s="354">
        <f t="shared" si="1"/>
        <v>0</v>
      </c>
      <c r="T83" s="1096"/>
      <c r="U83" s="1096"/>
    </row>
    <row r="84" spans="1:21" ht="15.75" customHeight="1">
      <c r="A84" s="242">
        <f t="shared" si="2"/>
        <v>65</v>
      </c>
      <c r="B84" s="1096">
        <v>8740</v>
      </c>
      <c r="C84" s="62" t="s">
        <v>253</v>
      </c>
      <c r="D84" s="354">
        <f>'C.2.1 B'!D111</f>
        <v>3300058.753444274</v>
      </c>
      <c r="E84" s="354"/>
      <c r="F84" s="354">
        <v>7188.9701896789766</v>
      </c>
      <c r="G84" s="399"/>
      <c r="H84" s="354">
        <v>-8582.2923831132539</v>
      </c>
      <c r="I84" s="458"/>
      <c r="J84" s="354">
        <v>146411.64302988802</v>
      </c>
      <c r="K84" s="354"/>
      <c r="L84" s="354">
        <v>0</v>
      </c>
      <c r="M84" s="458"/>
      <c r="N84" s="354">
        <v>0</v>
      </c>
      <c r="O84" s="458"/>
      <c r="P84" s="354">
        <f t="shared" si="1"/>
        <v>145018.32083645373</v>
      </c>
      <c r="T84" s="1096"/>
      <c r="U84" s="1096"/>
    </row>
    <row r="85" spans="1:21" ht="15.75" customHeight="1">
      <c r="A85" s="242">
        <f t="shared" si="2"/>
        <v>66</v>
      </c>
      <c r="B85" s="1096">
        <v>8750</v>
      </c>
      <c r="C85" s="62" t="s">
        <v>254</v>
      </c>
      <c r="D85" s="354">
        <f>'C.2.1 B'!D112</f>
        <v>478055.06217812601</v>
      </c>
      <c r="E85" s="354"/>
      <c r="F85" s="354">
        <v>2210.5119178457071</v>
      </c>
      <c r="G85" s="399"/>
      <c r="H85" s="354">
        <v>-300.75144467307268</v>
      </c>
      <c r="I85" s="458"/>
      <c r="J85" s="354">
        <v>4529.1044247009177</v>
      </c>
      <c r="K85" s="354"/>
      <c r="L85" s="354">
        <v>0</v>
      </c>
      <c r="M85" s="458"/>
      <c r="N85" s="354">
        <v>0</v>
      </c>
      <c r="O85" s="458"/>
      <c r="P85" s="354">
        <f t="shared" si="1"/>
        <v>6438.8648978735519</v>
      </c>
      <c r="T85" s="1096"/>
      <c r="U85" s="1096"/>
    </row>
    <row r="86" spans="1:21" ht="15.75" customHeight="1">
      <c r="A86" s="242">
        <f t="shared" si="2"/>
        <v>67</v>
      </c>
      <c r="B86" s="1096">
        <v>8760</v>
      </c>
      <c r="C86" s="62" t="s">
        <v>659</v>
      </c>
      <c r="D86" s="354">
        <f>'C.2.1 B'!D113</f>
        <v>30153.919069219461</v>
      </c>
      <c r="E86" s="354"/>
      <c r="F86" s="354">
        <v>98.108800232128488</v>
      </c>
      <c r="G86" s="399"/>
      <c r="H86" s="354">
        <v>0</v>
      </c>
      <c r="I86" s="354"/>
      <c r="J86" s="354">
        <v>541.31556843577744</v>
      </c>
      <c r="K86" s="354"/>
      <c r="L86" s="354">
        <v>0</v>
      </c>
      <c r="M86" s="354"/>
      <c r="N86" s="354">
        <v>0</v>
      </c>
      <c r="O86" s="458"/>
      <c r="P86" s="354">
        <f t="shared" si="1"/>
        <v>639.42436866790592</v>
      </c>
      <c r="T86" s="1096"/>
      <c r="U86" s="1096"/>
    </row>
    <row r="87" spans="1:21" ht="15.75" customHeight="1">
      <c r="A87" s="242">
        <f t="shared" si="2"/>
        <v>68</v>
      </c>
      <c r="B87" s="1096">
        <v>8770</v>
      </c>
      <c r="C87" s="62" t="s">
        <v>660</v>
      </c>
      <c r="D87" s="354">
        <f>'C.2.1 B'!D114</f>
        <v>22074.208092721281</v>
      </c>
      <c r="E87" s="354"/>
      <c r="F87" s="354">
        <v>0</v>
      </c>
      <c r="G87" s="399"/>
      <c r="H87" s="354">
        <v>-499.31254768315193</v>
      </c>
      <c r="I87" s="354"/>
      <c r="J87" s="354">
        <v>738.01210955099668</v>
      </c>
      <c r="K87" s="458"/>
      <c r="L87" s="354">
        <v>0</v>
      </c>
      <c r="M87" s="354"/>
      <c r="N87" s="354">
        <v>0</v>
      </c>
      <c r="O87" s="458"/>
      <c r="P87" s="354">
        <f t="shared" si="1"/>
        <v>238.69956186784475</v>
      </c>
      <c r="T87" s="1096"/>
      <c r="U87" s="1096"/>
    </row>
    <row r="88" spans="1:21" ht="15.75" customHeight="1">
      <c r="A88" s="242">
        <f t="shared" si="2"/>
        <v>69</v>
      </c>
      <c r="B88" s="1096">
        <v>8780</v>
      </c>
      <c r="C88" s="62" t="s">
        <v>661</v>
      </c>
      <c r="D88" s="354">
        <f>'C.2.1 B'!D115</f>
        <v>934416.13374619116</v>
      </c>
      <c r="E88" s="354"/>
      <c r="F88" s="354">
        <v>4885.800099889042</v>
      </c>
      <c r="G88" s="399"/>
      <c r="H88" s="354">
        <v>-1287.8901654273088</v>
      </c>
      <c r="I88" s="458"/>
      <c r="J88" s="354">
        <v>2665.2031756085116</v>
      </c>
      <c r="K88" s="458"/>
      <c r="L88" s="354">
        <v>0</v>
      </c>
      <c r="M88" s="458"/>
      <c r="N88" s="354">
        <v>0</v>
      </c>
      <c r="O88" s="458"/>
      <c r="P88" s="354">
        <f t="shared" si="1"/>
        <v>6263.1131100702451</v>
      </c>
      <c r="T88" s="1096"/>
    </row>
    <row r="89" spans="1:21" ht="15.75" customHeight="1">
      <c r="A89" s="242">
        <f t="shared" si="2"/>
        <v>70</v>
      </c>
      <c r="B89" s="1096">
        <v>8790</v>
      </c>
      <c r="C89" s="62" t="s">
        <v>662</v>
      </c>
      <c r="D89" s="354">
        <f>'C.2.1 B'!D116</f>
        <v>4013.7773096211868</v>
      </c>
      <c r="E89" s="354"/>
      <c r="F89" s="354">
        <v>0</v>
      </c>
      <c r="G89" s="399"/>
      <c r="H89" s="354">
        <v>0</v>
      </c>
      <c r="I89" s="458"/>
      <c r="J89" s="354">
        <v>170.53666276477179</v>
      </c>
      <c r="K89" s="354"/>
      <c r="L89" s="354">
        <v>0</v>
      </c>
      <c r="M89" s="458"/>
      <c r="N89" s="354">
        <v>0</v>
      </c>
      <c r="O89" s="458"/>
      <c r="P89" s="354">
        <f t="shared" si="1"/>
        <v>170.53666276477179</v>
      </c>
      <c r="T89" s="1096"/>
    </row>
    <row r="90" spans="1:21" ht="15.75" customHeight="1">
      <c r="A90" s="242">
        <f t="shared" si="2"/>
        <v>71</v>
      </c>
      <c r="B90" s="1096">
        <v>8800</v>
      </c>
      <c r="C90" s="62" t="s">
        <v>663</v>
      </c>
      <c r="D90" s="354">
        <f>'C.2.1 B'!D117</f>
        <v>149633.49444794879</v>
      </c>
      <c r="E90" s="354"/>
      <c r="F90" s="354">
        <v>753.03494524138705</v>
      </c>
      <c r="G90" s="399"/>
      <c r="H90" s="354">
        <v>-3.1379897899964249</v>
      </c>
      <c r="I90" s="458"/>
      <c r="J90" s="354">
        <v>-4442.7794481197652</v>
      </c>
      <c r="K90" s="354"/>
      <c r="L90" s="354">
        <v>0</v>
      </c>
      <c r="M90" s="458"/>
      <c r="N90" s="354">
        <v>0</v>
      </c>
      <c r="O90" s="458"/>
      <c r="P90" s="354">
        <f t="shared" si="1"/>
        <v>-3692.8824926683747</v>
      </c>
      <c r="T90" s="1096"/>
    </row>
    <row r="91" spans="1:21" ht="15.75" customHeight="1">
      <c r="A91" s="242">
        <f t="shared" si="2"/>
        <v>72</v>
      </c>
      <c r="B91" s="1096">
        <v>8810</v>
      </c>
      <c r="C91" s="62" t="s">
        <v>664</v>
      </c>
      <c r="D91" s="354">
        <f>'C.2.1 B'!D118</f>
        <v>383107.51066346146</v>
      </c>
      <c r="E91" s="354"/>
      <c r="F91" s="354">
        <v>0</v>
      </c>
      <c r="G91" s="399"/>
      <c r="H91" s="354">
        <v>-39618.611741795066</v>
      </c>
      <c r="I91" s="458"/>
      <c r="J91" s="354">
        <v>615.64355663898107</v>
      </c>
      <c r="K91" s="354"/>
      <c r="L91" s="354">
        <v>0</v>
      </c>
      <c r="M91" s="458"/>
      <c r="N91" s="354">
        <v>0</v>
      </c>
      <c r="O91" s="458"/>
      <c r="P91" s="354">
        <f t="shared" si="1"/>
        <v>-39002.968185156082</v>
      </c>
      <c r="T91" s="1096"/>
    </row>
    <row r="92" spans="1:21" ht="15.75" customHeight="1">
      <c r="A92" s="242">
        <f t="shared" si="2"/>
        <v>73</v>
      </c>
      <c r="B92" s="1096">
        <v>8850</v>
      </c>
      <c r="C92" s="62" t="s">
        <v>750</v>
      </c>
      <c r="D92" s="354">
        <f>'C.2.1 B'!D122</f>
        <v>1623.0670662596563</v>
      </c>
      <c r="E92" s="354"/>
      <c r="F92" s="354">
        <v>0</v>
      </c>
      <c r="G92" s="399"/>
      <c r="H92" s="354">
        <v>0</v>
      </c>
      <c r="I92" s="458"/>
      <c r="J92" s="354">
        <v>-224.53496544207201</v>
      </c>
      <c r="K92" s="354"/>
      <c r="L92" s="354">
        <v>0</v>
      </c>
      <c r="M92" s="458"/>
      <c r="N92" s="354">
        <v>0</v>
      </c>
      <c r="O92" s="458"/>
      <c r="P92" s="354">
        <f t="shared" si="1"/>
        <v>-224.53496544207201</v>
      </c>
      <c r="T92" s="1096"/>
    </row>
    <row r="93" spans="1:21" ht="15.75" customHeight="1">
      <c r="A93" s="242">
        <f t="shared" si="2"/>
        <v>74</v>
      </c>
      <c r="B93" s="1096">
        <v>8860</v>
      </c>
      <c r="C93" s="62" t="s">
        <v>781</v>
      </c>
      <c r="D93" s="354">
        <f>'C.2.1 B'!D123</f>
        <v>299.69783559778364</v>
      </c>
      <c r="E93" s="354"/>
      <c r="F93" s="354">
        <v>0</v>
      </c>
      <c r="G93" s="399"/>
      <c r="H93" s="354">
        <v>-2.5503512525439156</v>
      </c>
      <c r="I93" s="458"/>
      <c r="J93" s="354">
        <v>11.712612702245167</v>
      </c>
      <c r="K93" s="354"/>
      <c r="L93" s="354">
        <v>0</v>
      </c>
      <c r="M93" s="458"/>
      <c r="N93" s="354">
        <v>0</v>
      </c>
      <c r="O93" s="458"/>
      <c r="P93" s="354">
        <f t="shared" si="1"/>
        <v>9.1622614497012513</v>
      </c>
      <c r="T93" s="1096"/>
    </row>
    <row r="94" spans="1:21" ht="15.75" customHeight="1">
      <c r="A94" s="242"/>
      <c r="B94" s="277"/>
      <c r="D94" s="86"/>
      <c r="E94" s="86"/>
      <c r="F94" s="86"/>
      <c r="G94" s="96"/>
      <c r="H94" s="86"/>
      <c r="I94" s="1097"/>
      <c r="J94" s="86"/>
      <c r="K94" s="86"/>
      <c r="L94" s="86"/>
      <c r="M94" s="1097"/>
      <c r="N94" s="86"/>
      <c r="O94" s="1097"/>
      <c r="P94" s="86"/>
    </row>
    <row r="95" spans="1:21" ht="15.75" customHeight="1">
      <c r="D95" s="96"/>
      <c r="E95" s="96"/>
      <c r="F95" s="96"/>
      <c r="G95" s="96"/>
      <c r="H95" s="864" t="s">
        <v>219</v>
      </c>
      <c r="I95" s="96"/>
      <c r="J95" s="96"/>
      <c r="K95" s="96"/>
      <c r="L95" s="96"/>
      <c r="M95" s="96"/>
      <c r="N95" s="96"/>
      <c r="O95" s="96"/>
      <c r="P95" s="864" t="s">
        <v>1099</v>
      </c>
    </row>
    <row r="96" spans="1:21" ht="15.75" customHeight="1">
      <c r="A96" s="242" t="s">
        <v>94</v>
      </c>
      <c r="B96" s="277" t="s">
        <v>1325</v>
      </c>
      <c r="D96" s="864" t="s">
        <v>45</v>
      </c>
      <c r="E96" s="96"/>
      <c r="F96" s="1092" t="s">
        <v>1098</v>
      </c>
      <c r="G96" s="1095"/>
      <c r="H96" s="1092" t="s">
        <v>1098</v>
      </c>
      <c r="I96" s="1093"/>
      <c r="J96" s="1092" t="s">
        <v>1098</v>
      </c>
      <c r="K96" s="1093"/>
      <c r="L96" s="1092" t="s">
        <v>1098</v>
      </c>
      <c r="M96" s="1093"/>
      <c r="N96" s="1092" t="s">
        <v>1098</v>
      </c>
      <c r="O96" s="1093"/>
      <c r="P96" s="864" t="s">
        <v>97</v>
      </c>
    </row>
    <row r="97" spans="1:21" ht="15.75" customHeight="1">
      <c r="A97" s="1094" t="s">
        <v>100</v>
      </c>
      <c r="B97" s="278" t="s">
        <v>220</v>
      </c>
      <c r="C97" s="241"/>
      <c r="D97" s="982" t="s">
        <v>543</v>
      </c>
      <c r="E97" s="643"/>
      <c r="F97" s="982" t="s">
        <v>612</v>
      </c>
      <c r="G97" s="978" t="s">
        <v>327</v>
      </c>
      <c r="H97" s="982" t="s">
        <v>469</v>
      </c>
      <c r="I97" s="978" t="s">
        <v>327</v>
      </c>
      <c r="J97" s="982" t="s">
        <v>470</v>
      </c>
      <c r="K97" s="978" t="s">
        <v>327</v>
      </c>
      <c r="L97" s="982" t="s">
        <v>471</v>
      </c>
      <c r="M97" s="978" t="s">
        <v>327</v>
      </c>
      <c r="N97" s="982" t="s">
        <v>472</v>
      </c>
      <c r="O97" s="978" t="s">
        <v>327</v>
      </c>
      <c r="P97" s="982" t="s">
        <v>476</v>
      </c>
    </row>
    <row r="98" spans="1:21" ht="15.75" customHeight="1"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21" ht="15.75" customHeight="1">
      <c r="A99" s="242">
        <f>A93+1</f>
        <v>75</v>
      </c>
      <c r="B99" s="1096">
        <v>8870</v>
      </c>
      <c r="C99" s="277" t="s">
        <v>442</v>
      </c>
      <c r="D99" s="354">
        <f>'C.2.1 B'!D124</f>
        <v>29454.642555986084</v>
      </c>
      <c r="E99" s="354"/>
      <c r="F99" s="354">
        <v>128.79723268293299</v>
      </c>
      <c r="G99" s="399"/>
      <c r="H99" s="354">
        <v>0</v>
      </c>
      <c r="I99" s="458"/>
      <c r="J99" s="354">
        <v>439.66176018284943</v>
      </c>
      <c r="K99" s="354"/>
      <c r="L99" s="354">
        <v>0</v>
      </c>
      <c r="M99" s="458"/>
      <c r="N99" s="354">
        <v>0</v>
      </c>
      <c r="O99" s="458"/>
      <c r="P99" s="354">
        <f t="shared" ref="P99:P132" si="3">SUM(F99:O99)</f>
        <v>568.45899286578242</v>
      </c>
      <c r="T99" s="1098"/>
    </row>
    <row r="100" spans="1:21" ht="15.75" customHeight="1">
      <c r="A100" s="242">
        <f t="shared" ref="A100:A132" si="4">A99+1</f>
        <v>76</v>
      </c>
      <c r="B100" s="1096">
        <v>8890</v>
      </c>
      <c r="C100" s="277" t="s">
        <v>1204</v>
      </c>
      <c r="D100" s="354">
        <f>'C.2.1 B'!D125</f>
        <v>36.114656480308867</v>
      </c>
      <c r="E100" s="354"/>
      <c r="F100" s="354">
        <v>0</v>
      </c>
      <c r="G100" s="399"/>
      <c r="H100" s="354">
        <v>0</v>
      </c>
      <c r="I100" s="458"/>
      <c r="J100" s="354">
        <v>1.534433158084008</v>
      </c>
      <c r="K100" s="354"/>
      <c r="L100" s="354">
        <v>0</v>
      </c>
      <c r="M100" s="458"/>
      <c r="N100" s="354">
        <v>0</v>
      </c>
      <c r="O100" s="458"/>
      <c r="P100" s="354">
        <f t="shared" si="3"/>
        <v>1.534433158084008</v>
      </c>
      <c r="T100" s="1096"/>
    </row>
    <row r="101" spans="1:21" ht="15.75" customHeight="1">
      <c r="A101" s="242">
        <f t="shared" si="4"/>
        <v>77</v>
      </c>
      <c r="B101" s="1096">
        <v>8900</v>
      </c>
      <c r="C101" s="277" t="s">
        <v>1027</v>
      </c>
      <c r="D101" s="354">
        <f>'C.2.1 B'!D126</f>
        <v>8796.2837416703478</v>
      </c>
      <c r="E101" s="354"/>
      <c r="F101" s="354">
        <v>0</v>
      </c>
      <c r="G101" s="399"/>
      <c r="H101" s="354">
        <v>0</v>
      </c>
      <c r="I101" s="458"/>
      <c r="J101" s="354">
        <v>373.73495296829242</v>
      </c>
      <c r="K101" s="354"/>
      <c r="L101" s="354">
        <v>0</v>
      </c>
      <c r="M101" s="458"/>
      <c r="N101" s="354">
        <v>0</v>
      </c>
      <c r="O101" s="458"/>
      <c r="P101" s="354">
        <f t="shared" si="3"/>
        <v>373.73495296829242</v>
      </c>
      <c r="T101" s="1096"/>
    </row>
    <row r="102" spans="1:21" ht="15.75" customHeight="1">
      <c r="A102" s="242">
        <f t="shared" si="4"/>
        <v>78</v>
      </c>
      <c r="B102" s="1096">
        <v>8910</v>
      </c>
      <c r="C102" s="277" t="s">
        <v>1028</v>
      </c>
      <c r="D102" s="354">
        <f>'C.2.1 B'!D127</f>
        <v>4280.7808136643916</v>
      </c>
      <c r="E102" s="354"/>
      <c r="F102" s="354">
        <v>0</v>
      </c>
      <c r="G102" s="399"/>
      <c r="H102" s="354">
        <v>-169.82753732377705</v>
      </c>
      <c r="I102" s="458"/>
      <c r="J102" s="354">
        <v>113.89973011014263</v>
      </c>
      <c r="K102" s="354"/>
      <c r="L102" s="354">
        <v>0</v>
      </c>
      <c r="M102" s="458"/>
      <c r="N102" s="354">
        <v>0</v>
      </c>
      <c r="O102" s="458"/>
      <c r="P102" s="354">
        <f t="shared" si="3"/>
        <v>-55.927807213634424</v>
      </c>
      <c r="T102" s="1096"/>
    </row>
    <row r="103" spans="1:21" ht="15.75" customHeight="1">
      <c r="A103" s="242">
        <f t="shared" si="4"/>
        <v>79</v>
      </c>
      <c r="B103" s="1096">
        <v>8920</v>
      </c>
      <c r="C103" s="277" t="s">
        <v>1029</v>
      </c>
      <c r="D103" s="354">
        <f>'C.2.1 B'!D128</f>
        <v>101.95075333814162</v>
      </c>
      <c r="E103" s="354"/>
      <c r="F103" s="354">
        <v>0</v>
      </c>
      <c r="G103" s="399"/>
      <c r="H103" s="354">
        <v>0</v>
      </c>
      <c r="I103" s="458"/>
      <c r="J103" s="354">
        <v>4.3316656355013237</v>
      </c>
      <c r="K103" s="354"/>
      <c r="L103" s="354">
        <v>0</v>
      </c>
      <c r="M103" s="458"/>
      <c r="N103" s="354">
        <v>0</v>
      </c>
      <c r="O103" s="458"/>
      <c r="P103" s="354">
        <f t="shared" si="3"/>
        <v>4.3316656355013237</v>
      </c>
      <c r="T103" s="1096"/>
    </row>
    <row r="104" spans="1:21" ht="15.75" customHeight="1">
      <c r="A104" s="242">
        <f t="shared" si="4"/>
        <v>80</v>
      </c>
      <c r="B104" s="1096">
        <v>8930</v>
      </c>
      <c r="C104" s="277" t="s">
        <v>1030</v>
      </c>
      <c r="D104" s="354">
        <f>'C.2.1 B'!D129</f>
        <v>89917.213566702529</v>
      </c>
      <c r="E104" s="354"/>
      <c r="F104" s="354">
        <v>495.47036904536344</v>
      </c>
      <c r="G104" s="399"/>
      <c r="H104" s="354">
        <v>0</v>
      </c>
      <c r="I104" s="458"/>
      <c r="J104" s="354">
        <v>0</v>
      </c>
      <c r="K104" s="354"/>
      <c r="L104" s="354">
        <v>0</v>
      </c>
      <c r="M104" s="458"/>
      <c r="N104" s="354">
        <v>0</v>
      </c>
      <c r="O104" s="458"/>
      <c r="P104" s="354">
        <f t="shared" si="3"/>
        <v>495.47036904536344</v>
      </c>
      <c r="T104" s="1096"/>
    </row>
    <row r="105" spans="1:21" ht="15.75" customHeight="1">
      <c r="A105" s="242">
        <f t="shared" si="4"/>
        <v>81</v>
      </c>
      <c r="B105" s="1096">
        <v>8940</v>
      </c>
      <c r="C105" s="277" t="s">
        <v>118</v>
      </c>
      <c r="D105" s="354">
        <f>'C.2.1 B'!D130</f>
        <v>11082.624415208618</v>
      </c>
      <c r="E105" s="354"/>
      <c r="F105" s="354">
        <v>0</v>
      </c>
      <c r="G105" s="399"/>
      <c r="H105" s="354">
        <v>0</v>
      </c>
      <c r="I105" s="458"/>
      <c r="J105" s="354">
        <v>-303.58582837495982</v>
      </c>
      <c r="K105" s="354"/>
      <c r="L105" s="354">
        <v>0</v>
      </c>
      <c r="M105" s="354"/>
      <c r="N105" s="354">
        <v>0</v>
      </c>
      <c r="O105" s="458"/>
      <c r="P105" s="354">
        <f t="shared" si="3"/>
        <v>-303.58582837495982</v>
      </c>
      <c r="T105" s="1096"/>
    </row>
    <row r="106" spans="1:21" ht="15.75" customHeight="1">
      <c r="A106" s="242">
        <f t="shared" si="4"/>
        <v>82</v>
      </c>
      <c r="B106" s="1096">
        <v>8950</v>
      </c>
      <c r="C106" s="277" t="s">
        <v>235</v>
      </c>
      <c r="D106" s="354">
        <f>'C.2.1 B'!D131</f>
        <v>0</v>
      </c>
      <c r="E106" s="354"/>
      <c r="F106" s="354">
        <v>0</v>
      </c>
      <c r="G106" s="399"/>
      <c r="H106" s="354">
        <v>0</v>
      </c>
      <c r="I106" s="458"/>
      <c r="J106" s="354">
        <v>0</v>
      </c>
      <c r="K106" s="354"/>
      <c r="L106" s="354">
        <v>0</v>
      </c>
      <c r="M106" s="354"/>
      <c r="N106" s="354">
        <v>0</v>
      </c>
      <c r="O106" s="458"/>
      <c r="P106" s="354">
        <f t="shared" si="3"/>
        <v>0</v>
      </c>
      <c r="T106" s="1096"/>
    </row>
    <row r="107" spans="1:21" ht="15.75" customHeight="1">
      <c r="A107" s="242">
        <f t="shared" si="4"/>
        <v>83</v>
      </c>
      <c r="B107" s="1096">
        <v>9010</v>
      </c>
      <c r="C107" s="277" t="s">
        <v>119</v>
      </c>
      <c r="D107" s="354">
        <f>'C.2.1 B'!D135</f>
        <v>406.0930132024418</v>
      </c>
      <c r="E107" s="354"/>
      <c r="F107" s="354">
        <v>0.33314425101310263</v>
      </c>
      <c r="G107" s="399"/>
      <c r="H107" s="354">
        <v>0</v>
      </c>
      <c r="I107" s="458"/>
      <c r="J107" s="354">
        <v>14.685257627256874</v>
      </c>
      <c r="K107" s="354"/>
      <c r="L107" s="354">
        <v>0</v>
      </c>
      <c r="M107" s="354"/>
      <c r="N107" s="354">
        <v>0</v>
      </c>
      <c r="O107" s="458"/>
      <c r="P107" s="354">
        <f t="shared" si="3"/>
        <v>15.018401878269977</v>
      </c>
      <c r="T107" s="1096"/>
    </row>
    <row r="108" spans="1:21" ht="15.75" customHeight="1">
      <c r="A108" s="242">
        <f t="shared" si="4"/>
        <v>84</v>
      </c>
      <c r="B108" s="1096">
        <v>9020</v>
      </c>
      <c r="C108" s="277" t="s">
        <v>120</v>
      </c>
      <c r="D108" s="354">
        <f>'C.2.1 B'!D136</f>
        <v>1186801.9868062921</v>
      </c>
      <c r="E108" s="354"/>
      <c r="F108" s="354">
        <v>2179.1109450388753</v>
      </c>
      <c r="G108" s="399"/>
      <c r="H108" s="354">
        <v>-257.27598687721093</v>
      </c>
      <c r="I108" s="458"/>
      <c r="J108" s="354">
        <v>63109.428007398586</v>
      </c>
      <c r="K108" s="354"/>
      <c r="L108" s="354">
        <v>0</v>
      </c>
      <c r="M108" s="354"/>
      <c r="N108" s="354">
        <v>0</v>
      </c>
      <c r="O108" s="458"/>
      <c r="P108" s="354">
        <f t="shared" si="3"/>
        <v>65031.26296556025</v>
      </c>
      <c r="T108" s="1096"/>
      <c r="U108" s="1096"/>
    </row>
    <row r="109" spans="1:21" ht="15.75" customHeight="1">
      <c r="A109" s="242">
        <f t="shared" si="4"/>
        <v>85</v>
      </c>
      <c r="B109" s="1096">
        <v>9030</v>
      </c>
      <c r="C109" s="277" t="s">
        <v>121</v>
      </c>
      <c r="D109" s="354">
        <f>'C.2.1 B'!D137</f>
        <v>1660971.6767347548</v>
      </c>
      <c r="E109" s="354"/>
      <c r="F109" s="354">
        <v>2138.0709331186172</v>
      </c>
      <c r="G109" s="399"/>
      <c r="H109" s="354">
        <v>0</v>
      </c>
      <c r="I109" s="458"/>
      <c r="J109" s="354">
        <v>99289.466642536019</v>
      </c>
      <c r="K109" s="354"/>
      <c r="L109" s="354">
        <v>0</v>
      </c>
      <c r="M109" s="354"/>
      <c r="N109" s="354">
        <v>0</v>
      </c>
      <c r="O109" s="458"/>
      <c r="P109" s="354">
        <f t="shared" si="3"/>
        <v>101427.53757565464</v>
      </c>
      <c r="T109" s="1096"/>
    </row>
    <row r="110" spans="1:21" ht="15.75" customHeight="1">
      <c r="A110" s="242">
        <f t="shared" si="4"/>
        <v>86</v>
      </c>
      <c r="B110" s="1096">
        <v>9040</v>
      </c>
      <c r="C110" s="277" t="s">
        <v>122</v>
      </c>
      <c r="D110" s="354">
        <f>'C.2.1 B'!D138</f>
        <v>369911.19170000002</v>
      </c>
      <c r="E110" s="354"/>
      <c r="F110" s="354">
        <v>0</v>
      </c>
      <c r="G110" s="399"/>
      <c r="H110" s="354">
        <v>0</v>
      </c>
      <c r="I110" s="458"/>
      <c r="J110" s="354">
        <v>0</v>
      </c>
      <c r="K110" s="354"/>
      <c r="L110" s="354">
        <v>-7798.9327663854347</v>
      </c>
      <c r="M110" s="354"/>
      <c r="N110" s="354">
        <v>0</v>
      </c>
      <c r="O110" s="458"/>
      <c r="P110" s="354">
        <f t="shared" si="3"/>
        <v>-7798.9327663854347</v>
      </c>
      <c r="T110" s="1096"/>
    </row>
    <row r="111" spans="1:21" ht="15.75" customHeight="1">
      <c r="A111" s="242">
        <f t="shared" si="4"/>
        <v>87</v>
      </c>
      <c r="B111" s="1096">
        <v>9070</v>
      </c>
      <c r="C111" s="277" t="s">
        <v>29</v>
      </c>
      <c r="D111" s="354">
        <f>'C.2.1 B'!D142</f>
        <v>0</v>
      </c>
      <c r="E111" s="354"/>
      <c r="F111" s="354">
        <v>0</v>
      </c>
      <c r="G111" s="399"/>
      <c r="H111" s="354">
        <v>0</v>
      </c>
      <c r="I111" s="458"/>
      <c r="J111" s="354">
        <v>0</v>
      </c>
      <c r="K111" s="354"/>
      <c r="L111" s="354">
        <v>0</v>
      </c>
      <c r="M111" s="354"/>
      <c r="N111" s="354">
        <v>0</v>
      </c>
      <c r="O111" s="458"/>
      <c r="P111" s="354">
        <f t="shared" si="3"/>
        <v>0</v>
      </c>
      <c r="T111" s="1096"/>
    </row>
    <row r="112" spans="1:21" ht="15.75" customHeight="1">
      <c r="A112" s="242">
        <f t="shared" si="4"/>
        <v>88</v>
      </c>
      <c r="B112" s="1096">
        <v>9080</v>
      </c>
      <c r="C112" s="277" t="s">
        <v>30</v>
      </c>
      <c r="D112" s="354">
        <f>'C.2.1 B'!D143</f>
        <v>0</v>
      </c>
      <c r="E112" s="354"/>
      <c r="F112" s="354">
        <v>0</v>
      </c>
      <c r="G112" s="399"/>
      <c r="H112" s="354">
        <v>0</v>
      </c>
      <c r="I112" s="458"/>
      <c r="J112" s="354">
        <v>0</v>
      </c>
      <c r="K112" s="354"/>
      <c r="L112" s="354">
        <v>0</v>
      </c>
      <c r="M112" s="354"/>
      <c r="N112" s="354">
        <v>0</v>
      </c>
      <c r="O112" s="458"/>
      <c r="P112" s="354">
        <f t="shared" si="3"/>
        <v>0</v>
      </c>
      <c r="T112" s="1096"/>
    </row>
    <row r="113" spans="1:20" ht="15.75" customHeight="1">
      <c r="A113" s="242">
        <f t="shared" si="4"/>
        <v>89</v>
      </c>
      <c r="B113" s="1096">
        <v>9090</v>
      </c>
      <c r="C113" s="277" t="s">
        <v>123</v>
      </c>
      <c r="D113" s="354">
        <f>'C.2.1 B'!D144</f>
        <v>134412.29365729415</v>
      </c>
      <c r="E113" s="354"/>
      <c r="F113" s="354">
        <v>582.97069566549908</v>
      </c>
      <c r="G113" s="399"/>
      <c r="H113" s="354">
        <v>0</v>
      </c>
      <c r="I113" s="458"/>
      <c r="J113" s="354">
        <v>-1066.5581852996224</v>
      </c>
      <c r="K113" s="354"/>
      <c r="L113" s="354">
        <v>0</v>
      </c>
      <c r="M113" s="354"/>
      <c r="N113" s="354">
        <v>0</v>
      </c>
      <c r="O113" s="458"/>
      <c r="P113" s="354">
        <f t="shared" si="3"/>
        <v>-483.58748963412336</v>
      </c>
      <c r="T113" s="1096"/>
    </row>
    <row r="114" spans="1:20" ht="15.75" customHeight="1">
      <c r="A114" s="242">
        <f t="shared" si="4"/>
        <v>90</v>
      </c>
      <c r="B114" s="1096">
        <v>9100</v>
      </c>
      <c r="C114" s="277" t="s">
        <v>124</v>
      </c>
      <c r="D114" s="354">
        <f>'C.2.1 B'!D145</f>
        <v>0</v>
      </c>
      <c r="E114" s="354"/>
      <c r="F114" s="354">
        <v>0</v>
      </c>
      <c r="G114" s="399"/>
      <c r="H114" s="354">
        <v>0</v>
      </c>
      <c r="I114" s="458"/>
      <c r="J114" s="354">
        <v>0</v>
      </c>
      <c r="K114" s="354"/>
      <c r="L114" s="354">
        <v>0</v>
      </c>
      <c r="M114" s="354"/>
      <c r="N114" s="354">
        <v>0</v>
      </c>
      <c r="O114" s="458"/>
      <c r="P114" s="354">
        <f t="shared" si="3"/>
        <v>0</v>
      </c>
      <c r="T114" s="1096"/>
    </row>
    <row r="115" spans="1:20" ht="15.75" customHeight="1">
      <c r="A115" s="242">
        <f t="shared" si="4"/>
        <v>91</v>
      </c>
      <c r="B115" s="1098">
        <v>9110</v>
      </c>
      <c r="C115" s="1099" t="s">
        <v>226</v>
      </c>
      <c r="D115" s="354">
        <f>'C.2.1 B'!D149</f>
        <v>255129.29012212393</v>
      </c>
      <c r="E115" s="354"/>
      <c r="F115" s="354">
        <v>1038.8138069473848</v>
      </c>
      <c r="G115" s="399"/>
      <c r="H115" s="354">
        <v>0</v>
      </c>
      <c r="I115" s="458"/>
      <c r="J115" s="354">
        <v>10793.558982604432</v>
      </c>
      <c r="K115" s="354"/>
      <c r="L115" s="354">
        <v>0</v>
      </c>
      <c r="M115" s="354"/>
      <c r="N115" s="354">
        <v>0</v>
      </c>
      <c r="O115" s="458"/>
      <c r="P115" s="354">
        <f t="shared" si="3"/>
        <v>11832.372789551817</v>
      </c>
      <c r="T115" s="1096"/>
    </row>
    <row r="116" spans="1:20" ht="15.75" customHeight="1">
      <c r="A116" s="242">
        <f t="shared" si="4"/>
        <v>92</v>
      </c>
      <c r="B116" s="1098">
        <v>9120</v>
      </c>
      <c r="C116" s="1099" t="s">
        <v>459</v>
      </c>
      <c r="D116" s="354">
        <f>'C.2.1 B'!D150</f>
        <v>117086.30179510081</v>
      </c>
      <c r="E116" s="354"/>
      <c r="F116" s="354">
        <v>0</v>
      </c>
      <c r="G116" s="399"/>
      <c r="H116" s="354">
        <v>-148.45512371662926</v>
      </c>
      <c r="I116" s="458"/>
      <c r="J116" s="354">
        <v>14352.096686603507</v>
      </c>
      <c r="K116" s="354"/>
      <c r="L116" s="354">
        <v>0</v>
      </c>
      <c r="M116" s="354"/>
      <c r="N116" s="354">
        <v>0</v>
      </c>
      <c r="O116" s="458"/>
      <c r="P116" s="354">
        <f t="shared" si="3"/>
        <v>14203.641562886878</v>
      </c>
      <c r="T116" s="1096"/>
    </row>
    <row r="117" spans="1:20" ht="15.75" customHeight="1">
      <c r="A117" s="242">
        <f t="shared" si="4"/>
        <v>93</v>
      </c>
      <c r="B117" s="1098">
        <v>9130</v>
      </c>
      <c r="C117" s="1099" t="s">
        <v>460</v>
      </c>
      <c r="D117" s="354">
        <f>'C.2.1 B'!D151</f>
        <v>38737.06849407807</v>
      </c>
      <c r="E117" s="354"/>
      <c r="F117" s="354">
        <v>0</v>
      </c>
      <c r="G117" s="399"/>
      <c r="H117" s="354">
        <v>0</v>
      </c>
      <c r="I117" s="458"/>
      <c r="J117" s="354">
        <v>6745.9547343508466</v>
      </c>
      <c r="K117" s="354"/>
      <c r="L117" s="354">
        <v>0</v>
      </c>
      <c r="M117" s="354"/>
      <c r="N117" s="354">
        <v>0</v>
      </c>
      <c r="O117" s="458"/>
      <c r="P117" s="354">
        <f t="shared" si="3"/>
        <v>6745.9547343508466</v>
      </c>
      <c r="T117" s="1096"/>
    </row>
    <row r="118" spans="1:20" ht="15.75" customHeight="1">
      <c r="A118" s="242">
        <f t="shared" si="4"/>
        <v>94</v>
      </c>
      <c r="B118" s="1098">
        <v>9160</v>
      </c>
      <c r="C118" s="1099" t="s">
        <v>227</v>
      </c>
      <c r="D118" s="354">
        <f>'C.2.1 B'!D152</f>
        <v>0</v>
      </c>
      <c r="E118" s="354"/>
      <c r="F118" s="354">
        <v>0</v>
      </c>
      <c r="G118" s="399"/>
      <c r="H118" s="354">
        <v>0</v>
      </c>
      <c r="I118" s="458"/>
      <c r="J118" s="354">
        <v>0</v>
      </c>
      <c r="K118" s="354"/>
      <c r="L118" s="354">
        <v>0</v>
      </c>
      <c r="M118" s="354"/>
      <c r="N118" s="354">
        <v>0</v>
      </c>
      <c r="O118" s="458"/>
      <c r="P118" s="354">
        <f t="shared" si="3"/>
        <v>0</v>
      </c>
      <c r="T118" s="1096"/>
    </row>
    <row r="119" spans="1:20" ht="15.75" customHeight="1">
      <c r="A119" s="242">
        <f t="shared" si="4"/>
        <v>95</v>
      </c>
      <c r="B119" s="1098">
        <v>9200</v>
      </c>
      <c r="C119" s="1099" t="s">
        <v>1321</v>
      </c>
      <c r="D119" s="354">
        <f>'C.2.1 B'!D156</f>
        <v>141985.19929653441</v>
      </c>
      <c r="E119" s="354"/>
      <c r="F119" s="354">
        <v>782.38032857020721</v>
      </c>
      <c r="G119" s="399"/>
      <c r="H119" s="354">
        <v>0</v>
      </c>
      <c r="I119" s="458"/>
      <c r="J119" s="354">
        <v>0</v>
      </c>
      <c r="K119" s="354"/>
      <c r="L119" s="354">
        <v>0</v>
      </c>
      <c r="M119" s="354"/>
      <c r="N119" s="354">
        <v>0</v>
      </c>
      <c r="O119" s="458"/>
      <c r="P119" s="354">
        <f>SUM(F119:O119)</f>
        <v>782.38032857020721</v>
      </c>
      <c r="T119" s="1096"/>
    </row>
    <row r="120" spans="1:20" ht="15.75" customHeight="1">
      <c r="A120" s="242">
        <f t="shared" si="4"/>
        <v>96</v>
      </c>
      <c r="B120" s="1096">
        <v>9210</v>
      </c>
      <c r="C120" s="277" t="s">
        <v>228</v>
      </c>
      <c r="D120" s="354">
        <f>'C.2.1 B'!D157</f>
        <v>1379.9935257030206</v>
      </c>
      <c r="E120" s="354"/>
      <c r="F120" s="354">
        <v>0</v>
      </c>
      <c r="G120" s="399"/>
      <c r="H120" s="354">
        <v>0</v>
      </c>
      <c r="I120" s="458"/>
      <c r="J120" s="354">
        <v>1868.5971040624072</v>
      </c>
      <c r="K120" s="354"/>
      <c r="L120" s="354">
        <v>0</v>
      </c>
      <c r="M120" s="354"/>
      <c r="N120" s="354">
        <v>0</v>
      </c>
      <c r="O120" s="458"/>
      <c r="P120" s="354">
        <f>SUM(F120:O120)</f>
        <v>1868.5971040624072</v>
      </c>
      <c r="T120" s="1096"/>
    </row>
    <row r="121" spans="1:20" ht="15">
      <c r="A121" s="242">
        <f t="shared" si="4"/>
        <v>97</v>
      </c>
      <c r="B121" s="1096">
        <v>9220</v>
      </c>
      <c r="C121" s="277" t="s">
        <v>213</v>
      </c>
      <c r="D121" s="354">
        <f>'C.2.1 B'!D158</f>
        <v>13282577.856594393</v>
      </c>
      <c r="E121" s="354"/>
      <c r="F121" s="354">
        <v>0</v>
      </c>
      <c r="G121" s="399"/>
      <c r="H121" s="354">
        <v>0</v>
      </c>
      <c r="I121" s="458"/>
      <c r="J121" s="354">
        <v>0</v>
      </c>
      <c r="K121" s="354"/>
      <c r="L121" s="354">
        <v>0</v>
      </c>
      <c r="M121" s="354"/>
      <c r="N121" s="354">
        <f>'C.2.2-F 09'!P100-'C.2.2 B 09'!P100</f>
        <v>304296.68279926665</v>
      </c>
      <c r="O121" s="458"/>
      <c r="P121" s="354">
        <f t="shared" si="3"/>
        <v>304296.68279926665</v>
      </c>
      <c r="S121" s="354"/>
      <c r="T121" s="1100"/>
    </row>
    <row r="122" spans="1:20" ht="15.75" customHeight="1">
      <c r="A122" s="242">
        <f t="shared" si="4"/>
        <v>98</v>
      </c>
      <c r="B122" s="1096">
        <v>9230</v>
      </c>
      <c r="C122" s="277" t="s">
        <v>229</v>
      </c>
      <c r="D122" s="354">
        <f>'C.2.1 B'!D159</f>
        <v>64810.557379835765</v>
      </c>
      <c r="E122" s="354"/>
      <c r="F122" s="354">
        <v>0</v>
      </c>
      <c r="G122" s="399"/>
      <c r="H122" s="354">
        <v>0</v>
      </c>
      <c r="I122" s="458"/>
      <c r="J122" s="354">
        <v>5038.9785867204628</v>
      </c>
      <c r="K122" s="354"/>
      <c r="L122" s="354">
        <v>0</v>
      </c>
      <c r="M122" s="354"/>
      <c r="N122" s="354">
        <v>0</v>
      </c>
      <c r="O122" s="458"/>
      <c r="P122" s="354">
        <f t="shared" si="3"/>
        <v>5038.9785867204628</v>
      </c>
      <c r="T122" s="1096"/>
    </row>
    <row r="123" spans="1:20" ht="15.75" customHeight="1">
      <c r="A123" s="242">
        <f t="shared" si="4"/>
        <v>99</v>
      </c>
      <c r="B123" s="1096">
        <v>9240</v>
      </c>
      <c r="C123" s="277" t="s">
        <v>461</v>
      </c>
      <c r="D123" s="354">
        <f>'C.2.1 B'!D160</f>
        <v>88982.39662252953</v>
      </c>
      <c r="E123" s="354"/>
      <c r="F123" s="354">
        <v>0</v>
      </c>
      <c r="G123" s="399"/>
      <c r="H123" s="354">
        <v>0</v>
      </c>
      <c r="I123" s="458"/>
      <c r="J123" s="354">
        <v>-83422.71588193388</v>
      </c>
      <c r="K123" s="354"/>
      <c r="L123" s="354">
        <v>0</v>
      </c>
      <c r="M123" s="354"/>
      <c r="N123" s="354">
        <v>0</v>
      </c>
      <c r="O123" s="458"/>
      <c r="P123" s="354">
        <f t="shared" si="3"/>
        <v>-83422.71588193388</v>
      </c>
      <c r="T123" s="1096"/>
    </row>
    <row r="124" spans="1:20" ht="15.75" customHeight="1">
      <c r="A124" s="242">
        <f t="shared" si="4"/>
        <v>100</v>
      </c>
      <c r="B124" s="1096">
        <v>9250</v>
      </c>
      <c r="C124" s="277" t="s">
        <v>1075</v>
      </c>
      <c r="D124" s="354">
        <f>'C.2.1 B'!D161</f>
        <v>18680.978177223515</v>
      </c>
      <c r="E124" s="354"/>
      <c r="F124" s="354">
        <v>-1.7937249437254295</v>
      </c>
      <c r="G124" s="399"/>
      <c r="H124" s="354">
        <v>0</v>
      </c>
      <c r="I124" s="458"/>
      <c r="J124" s="354">
        <v>-737.79755320000345</v>
      </c>
      <c r="K124" s="354"/>
      <c r="L124" s="354">
        <v>0</v>
      </c>
      <c r="M124" s="354"/>
      <c r="N124" s="354">
        <v>0</v>
      </c>
      <c r="O124" s="458"/>
      <c r="P124" s="354">
        <f t="shared" si="3"/>
        <v>-739.59127814372891</v>
      </c>
      <c r="T124" s="1096"/>
    </row>
    <row r="125" spans="1:20" ht="15.75" customHeight="1">
      <c r="A125" s="242">
        <f t="shared" si="4"/>
        <v>101</v>
      </c>
      <c r="B125" s="1096">
        <v>9260</v>
      </c>
      <c r="C125" s="277" t="s">
        <v>1076</v>
      </c>
      <c r="D125" s="354">
        <f>'C.2.1 B'!D162</f>
        <v>1947365.4299807029</v>
      </c>
      <c r="E125" s="354"/>
      <c r="F125" s="354">
        <v>-75497.721053606365</v>
      </c>
      <c r="G125" s="399"/>
      <c r="H125" s="354">
        <v>0</v>
      </c>
      <c r="I125" s="458"/>
      <c r="J125" s="354">
        <v>-28668.347897354965</v>
      </c>
      <c r="K125" s="354"/>
      <c r="L125" s="354">
        <v>0</v>
      </c>
      <c r="M125" s="354"/>
      <c r="N125" s="354">
        <v>0</v>
      </c>
      <c r="O125" s="458"/>
      <c r="P125" s="354">
        <f t="shared" si="3"/>
        <v>-104166.06895096133</v>
      </c>
      <c r="T125" s="1096"/>
    </row>
    <row r="126" spans="1:20" ht="15.75" customHeight="1">
      <c r="A126" s="242">
        <f t="shared" si="4"/>
        <v>102</v>
      </c>
      <c r="B126" s="1096">
        <v>9270</v>
      </c>
      <c r="C126" s="277" t="s">
        <v>1190</v>
      </c>
      <c r="D126" s="354">
        <f>'C.2.1 B'!D163</f>
        <v>6390.3648239198037</v>
      </c>
      <c r="E126" s="354"/>
      <c r="F126" s="354">
        <v>0</v>
      </c>
      <c r="G126" s="399"/>
      <c r="H126" s="354">
        <v>0</v>
      </c>
      <c r="I126" s="458"/>
      <c r="J126" s="354">
        <v>-4907.3291796781368</v>
      </c>
      <c r="K126" s="354"/>
      <c r="L126" s="354">
        <v>0</v>
      </c>
      <c r="M126" s="354"/>
      <c r="N126" s="354">
        <v>0</v>
      </c>
      <c r="O126" s="458"/>
      <c r="P126" s="354">
        <f t="shared" si="3"/>
        <v>-4907.3291796781368</v>
      </c>
      <c r="T126" s="1096"/>
    </row>
    <row r="127" spans="1:20" ht="15.75" customHeight="1">
      <c r="A127" s="242">
        <f t="shared" si="4"/>
        <v>103</v>
      </c>
      <c r="B127" s="1096">
        <v>9280</v>
      </c>
      <c r="C127" s="277" t="s">
        <v>1191</v>
      </c>
      <c r="D127" s="354">
        <f>'C.2.1 B'!D164</f>
        <v>0</v>
      </c>
      <c r="E127" s="354"/>
      <c r="F127" s="354">
        <v>0</v>
      </c>
      <c r="G127" s="399"/>
      <c r="H127" s="354">
        <v>0</v>
      </c>
      <c r="I127" s="458"/>
      <c r="J127" s="354">
        <v>0</v>
      </c>
      <c r="K127" s="354"/>
      <c r="L127" s="354">
        <v>0</v>
      </c>
      <c r="M127" s="354"/>
      <c r="N127" s="354">
        <v>0</v>
      </c>
      <c r="O127" s="458"/>
      <c r="P127" s="354">
        <f t="shared" si="3"/>
        <v>0</v>
      </c>
      <c r="T127" s="1096"/>
    </row>
    <row r="128" spans="1:20" ht="15.75" customHeight="1">
      <c r="A128" s="242">
        <f t="shared" si="4"/>
        <v>104</v>
      </c>
      <c r="B128" s="1096">
        <v>9290</v>
      </c>
      <c r="C128" s="277" t="s">
        <v>477</v>
      </c>
      <c r="D128" s="354">
        <v>0</v>
      </c>
      <c r="E128" s="354"/>
      <c r="F128" s="354">
        <v>0</v>
      </c>
      <c r="G128" s="399"/>
      <c r="H128" s="354">
        <v>0</v>
      </c>
      <c r="I128" s="458"/>
      <c r="J128" s="354">
        <v>0</v>
      </c>
      <c r="K128" s="354"/>
      <c r="L128" s="354">
        <v>0</v>
      </c>
      <c r="M128" s="354"/>
      <c r="N128" s="354">
        <v>0</v>
      </c>
      <c r="O128" s="458"/>
      <c r="P128" s="354">
        <f t="shared" si="3"/>
        <v>0</v>
      </c>
      <c r="T128" s="1096"/>
    </row>
    <row r="129" spans="1:20" ht="15.75" customHeight="1">
      <c r="A129" s="242">
        <f t="shared" si="4"/>
        <v>105</v>
      </c>
      <c r="B129" s="1098">
        <v>9301</v>
      </c>
      <c r="C129" s="1099" t="s">
        <v>1192</v>
      </c>
      <c r="D129" s="399">
        <v>0</v>
      </c>
      <c r="E129" s="354"/>
      <c r="F129" s="354">
        <v>0</v>
      </c>
      <c r="G129" s="399"/>
      <c r="H129" s="354">
        <v>0</v>
      </c>
      <c r="I129" s="458"/>
      <c r="J129" s="354">
        <v>0</v>
      </c>
      <c r="K129" s="354"/>
      <c r="L129" s="354">
        <v>0</v>
      </c>
      <c r="M129" s="354"/>
      <c r="N129" s="354">
        <v>0</v>
      </c>
      <c r="O129" s="458"/>
      <c r="P129" s="354">
        <f t="shared" si="3"/>
        <v>0</v>
      </c>
      <c r="T129" s="1096"/>
    </row>
    <row r="130" spans="1:20" ht="15.75" customHeight="1">
      <c r="A130" s="242">
        <f t="shared" si="4"/>
        <v>106</v>
      </c>
      <c r="B130" s="1098">
        <v>9302</v>
      </c>
      <c r="C130" s="1099" t="s">
        <v>1193</v>
      </c>
      <c r="D130" s="399">
        <f>'C.2.1 B'!D165</f>
        <v>74161.595295544976</v>
      </c>
      <c r="E130" s="354"/>
      <c r="F130" s="354">
        <v>0</v>
      </c>
      <c r="G130" s="399"/>
      <c r="H130" s="354">
        <v>0</v>
      </c>
      <c r="I130" s="458"/>
      <c r="J130" s="354">
        <v>-24460.693991621036</v>
      </c>
      <c r="K130" s="354"/>
      <c r="L130" s="354">
        <v>0</v>
      </c>
      <c r="M130" s="354"/>
      <c r="N130" s="354">
        <v>0</v>
      </c>
      <c r="O130" s="458"/>
      <c r="P130" s="354">
        <f t="shared" si="3"/>
        <v>-24460.693991621036</v>
      </c>
      <c r="T130" s="1096"/>
    </row>
    <row r="131" spans="1:20" ht="15.75" customHeight="1">
      <c r="A131" s="242">
        <f t="shared" si="4"/>
        <v>107</v>
      </c>
      <c r="B131" s="1098">
        <v>9310</v>
      </c>
      <c r="C131" s="1099" t="s">
        <v>1320</v>
      </c>
      <c r="D131" s="399">
        <f>'C.2.1 B'!D166</f>
        <v>14287.303404838631</v>
      </c>
      <c r="E131" s="354"/>
      <c r="F131" s="354">
        <v>0</v>
      </c>
      <c r="G131" s="399"/>
      <c r="H131" s="354">
        <v>-1516.4678449304647</v>
      </c>
      <c r="I131" s="458"/>
      <c r="J131" s="354">
        <v>0</v>
      </c>
      <c r="K131" s="354"/>
      <c r="L131" s="354">
        <v>0</v>
      </c>
      <c r="M131" s="354"/>
      <c r="N131" s="354"/>
      <c r="O131" s="458"/>
      <c r="P131" s="354">
        <f t="shared" si="3"/>
        <v>-1516.4678449304647</v>
      </c>
      <c r="T131" s="1096"/>
    </row>
    <row r="132" spans="1:20" ht="15.75" customHeight="1">
      <c r="A132" s="242">
        <f t="shared" si="4"/>
        <v>108</v>
      </c>
      <c r="B132" s="1098">
        <v>9320</v>
      </c>
      <c r="C132" s="1099" t="s">
        <v>1194</v>
      </c>
      <c r="D132" s="355">
        <f>'C.2.1 B'!D170</f>
        <v>0</v>
      </c>
      <c r="E132" s="354"/>
      <c r="F132" s="354">
        <v>0</v>
      </c>
      <c r="G132" s="399"/>
      <c r="H132" s="354">
        <v>0</v>
      </c>
      <c r="I132" s="458"/>
      <c r="J132" s="354">
        <v>0</v>
      </c>
      <c r="K132" s="354"/>
      <c r="L132" s="354">
        <v>0</v>
      </c>
      <c r="M132" s="354"/>
      <c r="N132" s="355">
        <v>0</v>
      </c>
      <c r="O132" s="354"/>
      <c r="P132" s="355">
        <f t="shared" si="3"/>
        <v>0</v>
      </c>
      <c r="T132" s="1096"/>
    </row>
    <row r="133" spans="1:20" ht="15.75" customHeight="1">
      <c r="A133" s="242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20" ht="15.75" customHeight="1">
      <c r="A134" s="242">
        <f>A132+1</f>
        <v>109</v>
      </c>
      <c r="B134" s="66" t="s">
        <v>97</v>
      </c>
      <c r="D134" s="286">
        <f>SUM(D48:D93)+SUM(D99:D132)</f>
        <v>26718389.43839439</v>
      </c>
      <c r="E134" s="96"/>
      <c r="F134" s="286">
        <f>SUM(F48:F93)+SUM(F99:F132)</f>
        <v>-48012.612215548856</v>
      </c>
      <c r="G134" s="96"/>
      <c r="H134" s="286">
        <f>SUM(H48:H93)+SUM(H99:H132)</f>
        <v>-62318.195233008861</v>
      </c>
      <c r="I134" s="96"/>
      <c r="J134" s="286">
        <f>SUM(J48:J93)+SUM(J99:J132)</f>
        <v>234379.63886950113</v>
      </c>
      <c r="K134" s="96"/>
      <c r="L134" s="286">
        <f>SUM(L48:L93)+SUM(L99:L132)</f>
        <v>-7798.9327663854347</v>
      </c>
      <c r="M134" s="96"/>
      <c r="N134" s="286">
        <f>SUM(N48:N93)+SUM(N99:N132)</f>
        <v>304296.68279926665</v>
      </c>
      <c r="O134" s="96"/>
      <c r="P134" s="286">
        <f>SUM(P48:P93)+SUM(P99:P132)</f>
        <v>420581.82409571076</v>
      </c>
    </row>
    <row r="135" spans="1:20" ht="15.75" customHeight="1">
      <c r="A135" s="242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20" ht="15.75" customHeight="1">
      <c r="A136" s="242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20" ht="15.75" customHeight="1">
      <c r="A137" s="242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20" ht="15.75" customHeight="1">
      <c r="A138" s="242">
        <f>A134+1</f>
        <v>110</v>
      </c>
      <c r="B138" s="697" t="s">
        <v>322</v>
      </c>
      <c r="C138" s="96"/>
      <c r="D138" s="86">
        <v>6804939.1000999995</v>
      </c>
      <c r="E138" s="96"/>
      <c r="F138" s="86">
        <f>SUM(F122:F132,F99:F119,F48:F93)</f>
        <v>-48012.612215548863</v>
      </c>
      <c r="G138" s="86"/>
      <c r="H138" s="86"/>
      <c r="I138" s="86"/>
      <c r="J138" s="86"/>
      <c r="K138" s="86"/>
      <c r="L138" s="86"/>
      <c r="M138" s="86"/>
      <c r="N138" s="86"/>
      <c r="O138" s="86"/>
      <c r="P138" s="86">
        <f>SUM(F138:O138)</f>
        <v>-48012.612215548863</v>
      </c>
    </row>
    <row r="139" spans="1:20" ht="15.75" customHeight="1">
      <c r="A139" s="242">
        <f>A138+1</f>
        <v>111</v>
      </c>
      <c r="B139" s="66" t="s">
        <v>323</v>
      </c>
      <c r="D139" s="86">
        <v>586727.88</v>
      </c>
      <c r="E139" s="96"/>
      <c r="F139" s="86"/>
      <c r="G139" s="86"/>
      <c r="H139" s="86">
        <f>SUM(H$122:H$132,H$99:H$119,H$48:H$93)</f>
        <v>-62318.195233008861</v>
      </c>
      <c r="I139" s="86"/>
      <c r="J139" s="86"/>
      <c r="K139" s="86"/>
      <c r="L139" s="86"/>
      <c r="M139" s="86"/>
      <c r="N139" s="86"/>
      <c r="O139" s="86"/>
      <c r="P139" s="86">
        <f>SUM(F139:O139)</f>
        <v>-62318.195233008861</v>
      </c>
    </row>
    <row r="140" spans="1:20" ht="15.75" customHeight="1">
      <c r="A140" s="242">
        <f>A139+1</f>
        <v>112</v>
      </c>
      <c r="B140" s="66" t="s">
        <v>324</v>
      </c>
      <c r="D140" s="86">
        <v>5674233.4099999992</v>
      </c>
      <c r="E140" s="96"/>
      <c r="F140" s="86"/>
      <c r="G140" s="86"/>
      <c r="H140" s="86"/>
      <c r="I140" s="86"/>
      <c r="J140" s="86">
        <f>SUM(J$122:J$132,J$99:J$120,J$48:J$93)</f>
        <v>234379.63886950113</v>
      </c>
      <c r="K140" s="86"/>
      <c r="L140" s="86"/>
      <c r="M140" s="86"/>
      <c r="N140" s="86"/>
      <c r="O140" s="86"/>
      <c r="P140" s="86">
        <f>SUM(F140:O140)</f>
        <v>234379.63886950113</v>
      </c>
    </row>
    <row r="141" spans="1:20" ht="15.75" customHeight="1">
      <c r="A141" s="242">
        <f>A140+1</f>
        <v>113</v>
      </c>
      <c r="B141" s="66" t="s">
        <v>325</v>
      </c>
      <c r="D141" s="86">
        <v>369911.19170000002</v>
      </c>
      <c r="E141" s="96"/>
      <c r="F141" s="86"/>
      <c r="G141" s="86"/>
      <c r="H141" s="86"/>
      <c r="I141" s="86"/>
      <c r="J141" s="86"/>
      <c r="K141" s="86"/>
      <c r="L141" s="86">
        <f>L134</f>
        <v>-7798.9327663854347</v>
      </c>
      <c r="M141" s="86"/>
      <c r="N141" s="86"/>
      <c r="O141" s="86"/>
      <c r="P141" s="86">
        <f>SUM(F141:O141)</f>
        <v>-7798.9327663854347</v>
      </c>
    </row>
    <row r="142" spans="1:20" ht="15.75" customHeight="1">
      <c r="A142" s="242">
        <f>A141+1</f>
        <v>114</v>
      </c>
      <c r="B142" s="66" t="s">
        <v>807</v>
      </c>
      <c r="D142" s="125">
        <f>D121</f>
        <v>13282577.856594393</v>
      </c>
      <c r="E142" s="96"/>
      <c r="F142" s="125">
        <f>F144-F138</f>
        <v>-1.7535057850182056E-9</v>
      </c>
      <c r="G142" s="86"/>
      <c r="H142" s="125">
        <f>H144-H139</f>
        <v>42.345233008883952</v>
      </c>
      <c r="I142" s="86"/>
      <c r="J142" s="125">
        <f>J144-J140</f>
        <v>-271.02886949985987</v>
      </c>
      <c r="K142" s="86"/>
      <c r="L142" s="125"/>
      <c r="M142" s="86"/>
      <c r="N142" s="125">
        <f>N121</f>
        <v>304296.68279926665</v>
      </c>
      <c r="O142" s="86"/>
      <c r="P142" s="463">
        <f>SUM(F142:O142)</f>
        <v>304067.99916277395</v>
      </c>
    </row>
    <row r="143" spans="1:20" ht="15.75" customHeight="1">
      <c r="A143" s="242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20" ht="15.75" customHeight="1">
      <c r="A144" s="242">
        <f>A142+1</f>
        <v>115</v>
      </c>
      <c r="B144" s="66" t="s">
        <v>97</v>
      </c>
      <c r="D144" s="286">
        <f>SUM(D138:D142)</f>
        <v>26718389.43839439</v>
      </c>
      <c r="E144" s="96"/>
      <c r="F144" s="286">
        <f>D.2.2!D15</f>
        <v>-48012.612215550616</v>
      </c>
      <c r="G144" s="86"/>
      <c r="H144" s="286">
        <f>D.2.2!$D$21</f>
        <v>-62275.849999999977</v>
      </c>
      <c r="I144" s="86"/>
      <c r="J144" s="286">
        <f>D.2.2!$D$28</f>
        <v>234108.61000000127</v>
      </c>
      <c r="K144" s="86"/>
      <c r="L144" s="286">
        <f>D.2.2!$D$34</f>
        <v>-7798.9327663854347</v>
      </c>
      <c r="M144" s="86"/>
      <c r="N144" s="286">
        <f>D.2.2!$D$39</f>
        <v>486321.01700084656</v>
      </c>
      <c r="O144" s="86"/>
      <c r="P144" s="286">
        <f>SUM(P138:P142)</f>
        <v>420317.89781733195</v>
      </c>
    </row>
    <row r="145" spans="1:21" ht="15.75" customHeight="1">
      <c r="A145" s="242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</row>
    <row r="146" spans="1:21" ht="15.75" customHeight="1">
      <c r="A146" s="242">
        <f>A144+1</f>
        <v>116</v>
      </c>
      <c r="B146" s="66" t="s">
        <v>225</v>
      </c>
      <c r="D146" s="1019">
        <f>D40</f>
        <v>0.38900000000000001</v>
      </c>
      <c r="E146" s="96"/>
      <c r="F146" s="286">
        <f>F144*$D$146*-1</f>
        <v>18676.906151849191</v>
      </c>
      <c r="G146" s="96"/>
      <c r="H146" s="286">
        <f>H144*$D$146*-1</f>
        <v>24225.305649999991</v>
      </c>
      <c r="I146" s="86"/>
      <c r="J146" s="286">
        <f>J144*$D$146*-1</f>
        <v>-91068.249290000502</v>
      </c>
      <c r="K146" s="86"/>
      <c r="L146" s="286">
        <f>L144*$D$146*-1</f>
        <v>3033.7848461239341</v>
      </c>
      <c r="M146" s="86"/>
      <c r="N146" s="286">
        <f>N144*$D$146*-1</f>
        <v>-189178.87561332932</v>
      </c>
      <c r="O146" s="86"/>
      <c r="P146" s="286">
        <f>P144*$D$146*-1</f>
        <v>-163503.66225094214</v>
      </c>
    </row>
    <row r="147" spans="1:21" ht="15.75" customHeight="1">
      <c r="A147" s="242"/>
      <c r="D147" s="96"/>
      <c r="E147" s="96"/>
      <c r="F147" s="96"/>
      <c r="G147" s="96"/>
      <c r="H147" s="86"/>
      <c r="I147" s="86"/>
      <c r="J147" s="86"/>
      <c r="K147" s="86"/>
      <c r="L147" s="86"/>
      <c r="M147" s="86"/>
      <c r="N147" s="86"/>
      <c r="O147" s="86"/>
      <c r="P147" s="86"/>
    </row>
    <row r="148" spans="1:21" ht="15.75" customHeight="1">
      <c r="A148" s="242">
        <f>A146+1</f>
        <v>117</v>
      </c>
      <c r="B148" s="66" t="s">
        <v>847</v>
      </c>
      <c r="D148" s="96"/>
      <c r="E148" s="96"/>
      <c r="F148" s="286">
        <f>F144+F146</f>
        <v>-29335.706063701426</v>
      </c>
      <c r="G148" s="96"/>
      <c r="H148" s="286">
        <f>H144+H146</f>
        <v>-38050.544349999982</v>
      </c>
      <c r="I148" s="96"/>
      <c r="J148" s="286">
        <f>J144+J146</f>
        <v>143040.36071000076</v>
      </c>
      <c r="K148" s="96"/>
      <c r="L148" s="286">
        <f>L144+L146</f>
        <v>-4765.147920261501</v>
      </c>
      <c r="M148" s="96"/>
      <c r="N148" s="286">
        <f>N144+N146</f>
        <v>297142.14138751721</v>
      </c>
      <c r="O148" s="96"/>
      <c r="P148" s="286">
        <f>P144+P146</f>
        <v>256814.23556638981</v>
      </c>
    </row>
    <row r="149" spans="1:21" ht="15.75" customHeight="1">
      <c r="A149" s="242"/>
      <c r="B149" s="66"/>
      <c r="D149" s="96"/>
      <c r="E149" s="96"/>
      <c r="F149" s="286"/>
      <c r="G149" s="96"/>
      <c r="H149" s="286"/>
      <c r="I149" s="96"/>
      <c r="J149" s="286"/>
      <c r="K149" s="96"/>
      <c r="L149" s="286"/>
      <c r="M149" s="96"/>
      <c r="N149" s="286"/>
      <c r="O149" s="96"/>
      <c r="P149" s="286"/>
    </row>
    <row r="150" spans="1:21" ht="15.75" customHeight="1">
      <c r="D150" s="96"/>
      <c r="E150" s="96"/>
      <c r="F150" s="96"/>
      <c r="G150" s="96"/>
      <c r="H150" s="864" t="s">
        <v>219</v>
      </c>
      <c r="I150" s="96"/>
      <c r="J150" s="96"/>
      <c r="K150" s="96"/>
      <c r="L150" s="96"/>
      <c r="M150" s="96"/>
      <c r="N150" s="96"/>
      <c r="O150" s="96"/>
      <c r="P150" s="96"/>
    </row>
    <row r="151" spans="1:21" ht="15.75" customHeight="1">
      <c r="A151" s="242" t="s">
        <v>94</v>
      </c>
      <c r="B151" s="277" t="s">
        <v>1325</v>
      </c>
      <c r="D151" s="864" t="s">
        <v>45</v>
      </c>
      <c r="E151" s="96"/>
      <c r="F151" s="1092" t="s">
        <v>1100</v>
      </c>
      <c r="G151" s="1095"/>
      <c r="H151" s="1092" t="s">
        <v>1100</v>
      </c>
      <c r="I151" s="1093"/>
      <c r="J151" s="1089" t="s">
        <v>475</v>
      </c>
      <c r="K151" s="1090"/>
      <c r="L151" s="1092" t="s">
        <v>1098</v>
      </c>
      <c r="M151" s="1093"/>
      <c r="N151" s="1092" t="s">
        <v>1098</v>
      </c>
      <c r="O151" s="1095"/>
      <c r="P151" s="864" t="s">
        <v>97</v>
      </c>
    </row>
    <row r="152" spans="1:21" ht="15.75" customHeight="1">
      <c r="A152" s="1094" t="s">
        <v>100</v>
      </c>
      <c r="B152" s="278" t="s">
        <v>220</v>
      </c>
      <c r="C152" s="241"/>
      <c r="D152" s="982" t="s">
        <v>543</v>
      </c>
      <c r="E152" s="643"/>
      <c r="F152" s="982" t="s">
        <v>612</v>
      </c>
      <c r="G152" s="978" t="s">
        <v>327</v>
      </c>
      <c r="H152" s="982" t="s">
        <v>469</v>
      </c>
      <c r="I152" s="978"/>
      <c r="J152" s="1094" t="s">
        <v>470</v>
      </c>
      <c r="K152" s="240" t="s">
        <v>327</v>
      </c>
      <c r="L152" s="982" t="s">
        <v>471</v>
      </c>
      <c r="M152" s="978" t="s">
        <v>327</v>
      </c>
      <c r="N152" s="982" t="s">
        <v>472</v>
      </c>
      <c r="O152" s="643"/>
      <c r="P152" s="982" t="s">
        <v>476</v>
      </c>
      <c r="U152" s="286"/>
    </row>
    <row r="153" spans="1:21" ht="15.75" customHeight="1">
      <c r="B153" s="280"/>
      <c r="D153" s="1101"/>
      <c r="E153" s="96"/>
      <c r="F153" s="96"/>
      <c r="G153" s="1101"/>
      <c r="H153" s="96"/>
      <c r="I153" s="1097"/>
      <c r="J153" s="96"/>
      <c r="K153" s="1102"/>
      <c r="L153" s="96"/>
      <c r="M153" s="1097"/>
      <c r="N153" s="96"/>
      <c r="O153" s="1101"/>
      <c r="P153" s="96"/>
    </row>
    <row r="154" spans="1:21" ht="15.75" customHeight="1">
      <c r="B154" s="280"/>
      <c r="D154" s="1101"/>
      <c r="E154" s="96"/>
      <c r="F154" s="96"/>
      <c r="G154" s="1101"/>
      <c r="H154" s="96"/>
      <c r="I154" s="1097"/>
      <c r="J154" s="96"/>
      <c r="K154" s="1102"/>
      <c r="L154" s="96"/>
      <c r="M154" s="1097"/>
      <c r="N154" s="96"/>
      <c r="O154" s="1101"/>
      <c r="P154" s="96"/>
    </row>
    <row r="155" spans="1:21" ht="15.75" customHeight="1">
      <c r="A155" s="242">
        <f>A148+1</f>
        <v>118</v>
      </c>
      <c r="B155" s="66" t="s">
        <v>23</v>
      </c>
      <c r="D155" s="354">
        <f>'C.2.1 B'!D175</f>
        <v>18849734.532483872</v>
      </c>
      <c r="E155" s="96"/>
      <c r="F155" s="86">
        <f>D.2.3!D15</f>
        <v>2653071.2936660275</v>
      </c>
      <c r="G155" s="1097"/>
      <c r="H155" s="86"/>
      <c r="I155" s="86"/>
      <c r="J155" s="86"/>
      <c r="K155" s="1102"/>
      <c r="L155" s="96"/>
      <c r="M155" s="86"/>
      <c r="N155" s="96"/>
      <c r="O155" s="1101"/>
      <c r="P155" s="86">
        <f>SUM(F155:O155)</f>
        <v>2653071.2936660275</v>
      </c>
    </row>
    <row r="156" spans="1:21" ht="15.75" customHeight="1">
      <c r="A156" s="242">
        <f>A155+1</f>
        <v>119</v>
      </c>
      <c r="B156" s="277" t="s">
        <v>514</v>
      </c>
      <c r="D156" s="86">
        <v>0</v>
      </c>
      <c r="E156" s="96"/>
      <c r="F156" s="86"/>
      <c r="G156" s="86"/>
      <c r="H156" s="86"/>
      <c r="I156" s="1097"/>
      <c r="J156" s="96"/>
      <c r="K156" s="1103"/>
      <c r="L156" s="96"/>
      <c r="M156" s="1097"/>
      <c r="N156" s="96"/>
      <c r="O156" s="1101"/>
      <c r="P156" s="86">
        <f>SUM(F156:O156)</f>
        <v>0</v>
      </c>
    </row>
    <row r="157" spans="1:21" ht="15.75" customHeight="1">
      <c r="A157" s="242">
        <f t="shared" ref="A157:A172" si="5">A156+1</f>
        <v>120</v>
      </c>
      <c r="B157" s="66" t="s">
        <v>167</v>
      </c>
      <c r="D157" s="1104">
        <v>0</v>
      </c>
      <c r="E157" s="96"/>
      <c r="F157" s="125"/>
      <c r="G157" s="1097"/>
      <c r="H157" s="125"/>
      <c r="I157" s="1097"/>
      <c r="J157" s="643"/>
      <c r="K157" s="1103"/>
      <c r="L157" s="643"/>
      <c r="M157" s="1097"/>
      <c r="N157" s="643"/>
      <c r="O157" s="1101"/>
      <c r="P157" s="125">
        <f>SUM(F157:O157)</f>
        <v>0</v>
      </c>
    </row>
    <row r="158" spans="1:21" ht="15.75" customHeight="1">
      <c r="A158" s="242">
        <f t="shared" si="5"/>
        <v>121</v>
      </c>
      <c r="D158" s="1097"/>
      <c r="E158" s="96"/>
      <c r="F158" s="86"/>
      <c r="G158" s="1097"/>
      <c r="H158" s="86"/>
      <c r="I158" s="1097"/>
      <c r="J158" s="1101"/>
      <c r="K158" s="1102"/>
      <c r="L158" s="96"/>
      <c r="M158" s="1097"/>
      <c r="N158" s="96"/>
      <c r="O158" s="1101"/>
      <c r="P158" s="86"/>
    </row>
    <row r="159" spans="1:21" ht="15.75" customHeight="1">
      <c r="A159" s="242">
        <f t="shared" si="5"/>
        <v>122</v>
      </c>
      <c r="B159" s="66" t="s">
        <v>492</v>
      </c>
      <c r="D159" s="1105">
        <f>SUM(D155:D157)</f>
        <v>18849734.532483872</v>
      </c>
      <c r="E159" s="96"/>
      <c r="F159" s="1105">
        <f>SUM(F155:F157)</f>
        <v>2653071.2936660275</v>
      </c>
      <c r="G159" s="1097"/>
      <c r="H159" s="1105"/>
      <c r="I159" s="96"/>
      <c r="J159" s="1105"/>
      <c r="K159" s="1102"/>
      <c r="L159" s="1105"/>
      <c r="M159" s="96"/>
      <c r="N159" s="1105"/>
      <c r="O159" s="1097"/>
      <c r="P159" s="286">
        <f>SUM(F159:O159)</f>
        <v>2653071.2936660275</v>
      </c>
    </row>
    <row r="160" spans="1:21" ht="15.75" customHeight="1">
      <c r="A160" s="242">
        <f t="shared" si="5"/>
        <v>123</v>
      </c>
      <c r="D160" s="1097"/>
      <c r="E160" s="96"/>
      <c r="F160" s="86"/>
      <c r="G160" s="1097"/>
      <c r="H160" s="86"/>
      <c r="I160" s="1097"/>
      <c r="J160" s="96"/>
      <c r="K160" s="1102"/>
      <c r="L160" s="96"/>
      <c r="M160" s="1097"/>
      <c r="N160" s="96"/>
      <c r="O160" s="1101"/>
      <c r="P160" s="96"/>
    </row>
    <row r="161" spans="1:16" ht="15.75" customHeight="1">
      <c r="A161" s="242">
        <f t="shared" si="5"/>
        <v>124</v>
      </c>
      <c r="B161" s="277" t="s">
        <v>225</v>
      </c>
      <c r="D161" s="1019">
        <f>D40</f>
        <v>0.38900000000000001</v>
      </c>
      <c r="E161" s="96"/>
      <c r="F161" s="286">
        <f>F159*$D$161</f>
        <v>1032044.7332360847</v>
      </c>
      <c r="G161" s="1097"/>
      <c r="H161" s="286"/>
      <c r="I161" s="1097"/>
      <c r="J161" s="286"/>
      <c r="K161" s="1097"/>
      <c r="L161" s="286"/>
      <c r="M161" s="86"/>
      <c r="N161" s="286"/>
      <c r="O161" s="1097"/>
      <c r="P161" s="286">
        <f>P159*$D$161</f>
        <v>1032044.7332360847</v>
      </c>
    </row>
    <row r="162" spans="1:16" ht="15.75" customHeight="1">
      <c r="A162" s="242">
        <f t="shared" si="5"/>
        <v>125</v>
      </c>
      <c r="B162" s="280"/>
      <c r="D162" s="1106"/>
      <c r="E162" s="96"/>
      <c r="F162" s="86"/>
      <c r="G162" s="1097"/>
      <c r="H162" s="86"/>
      <c r="I162" s="1097"/>
      <c r="J162" s="96"/>
      <c r="K162" s="1102"/>
      <c r="L162" s="96"/>
      <c r="M162" s="1097"/>
      <c r="N162" s="96"/>
      <c r="O162" s="1101"/>
      <c r="P162" s="96"/>
    </row>
    <row r="163" spans="1:16" ht="15.75" customHeight="1">
      <c r="A163" s="242">
        <f t="shared" si="5"/>
        <v>126</v>
      </c>
      <c r="B163" s="277" t="s">
        <v>847</v>
      </c>
      <c r="D163" s="1097"/>
      <c r="E163" s="96"/>
      <c r="F163" s="286">
        <f>F159-F161</f>
        <v>1621026.5604299428</v>
      </c>
      <c r="G163" s="1097"/>
      <c r="H163" s="286"/>
      <c r="I163" s="1097"/>
      <c r="J163" s="286"/>
      <c r="K163" s="1097"/>
      <c r="L163" s="286"/>
      <c r="M163" s="1097"/>
      <c r="N163" s="286"/>
      <c r="O163" s="1097"/>
      <c r="P163" s="286">
        <f>P159-P161</f>
        <v>1621026.5604299428</v>
      </c>
    </row>
    <row r="164" spans="1:16" ht="15.75" customHeight="1">
      <c r="A164" s="242">
        <f t="shared" si="5"/>
        <v>127</v>
      </c>
      <c r="B164" s="280"/>
      <c r="D164" s="1097"/>
      <c r="E164" s="96"/>
      <c r="F164" s="86"/>
      <c r="G164" s="1097"/>
      <c r="H164" s="86"/>
      <c r="I164" s="1097"/>
      <c r="J164" s="96"/>
      <c r="K164" s="1102"/>
      <c r="L164" s="96"/>
      <c r="M164" s="1097"/>
      <c r="N164" s="96"/>
      <c r="O164" s="1101"/>
      <c r="P164" s="96"/>
    </row>
    <row r="165" spans="1:16" ht="15.75" customHeight="1">
      <c r="A165" s="242">
        <f t="shared" si="5"/>
        <v>128</v>
      </c>
      <c r="D165" s="96"/>
      <c r="E165" s="96"/>
      <c r="F165" s="86"/>
      <c r="G165" s="1097"/>
      <c r="H165" s="86"/>
      <c r="I165" s="86"/>
      <c r="J165" s="96"/>
      <c r="K165" s="1102"/>
      <c r="L165" s="96"/>
      <c r="M165" s="86"/>
      <c r="N165" s="1101"/>
      <c r="O165" s="1101"/>
      <c r="P165" s="96"/>
    </row>
    <row r="166" spans="1:16" ht="15.75" customHeight="1">
      <c r="A166" s="242">
        <f t="shared" si="5"/>
        <v>129</v>
      </c>
      <c r="B166" s="280"/>
      <c r="D166" s="86"/>
      <c r="E166" s="96"/>
      <c r="F166" s="86"/>
      <c r="G166" s="86"/>
      <c r="H166" s="1097"/>
      <c r="I166" s="96"/>
      <c r="J166" s="96"/>
      <c r="K166" s="96"/>
      <c r="L166" s="96"/>
      <c r="M166" s="96"/>
      <c r="N166" s="96"/>
      <c r="O166" s="96"/>
      <c r="P166" s="96"/>
    </row>
    <row r="167" spans="1:16" ht="15.75" customHeight="1">
      <c r="A167" s="242">
        <f t="shared" si="5"/>
        <v>130</v>
      </c>
      <c r="D167" s="86"/>
      <c r="E167" s="96"/>
      <c r="F167" s="86"/>
      <c r="G167" s="86"/>
      <c r="H167" s="1097"/>
      <c r="I167" s="96"/>
      <c r="J167" s="96"/>
      <c r="K167" s="96"/>
      <c r="L167" s="96"/>
      <c r="M167" s="96"/>
      <c r="N167" s="96"/>
      <c r="O167" s="96"/>
      <c r="P167" s="96"/>
    </row>
    <row r="168" spans="1:16" ht="15.75" customHeight="1">
      <c r="A168" s="242">
        <f t="shared" si="5"/>
        <v>131</v>
      </c>
      <c r="B168" s="277" t="s">
        <v>575</v>
      </c>
      <c r="D168" s="1105">
        <f>'C.2.2 B 09'!P16</f>
        <v>4827152.1770496229</v>
      </c>
      <c r="E168" s="96"/>
      <c r="F168" s="286"/>
      <c r="G168" s="86"/>
      <c r="H168" s="1105">
        <f>D.2.3!D20</f>
        <v>1723430.9500329942</v>
      </c>
      <c r="I168" s="96"/>
      <c r="J168" s="1107"/>
      <c r="K168" s="96"/>
      <c r="L168" s="1107"/>
      <c r="M168" s="96"/>
      <c r="N168" s="1107"/>
      <c r="O168" s="96"/>
      <c r="P168" s="286">
        <f>SUM(F168:O168)</f>
        <v>1723430.9500329942</v>
      </c>
    </row>
    <row r="169" spans="1:16" ht="15.75" customHeight="1">
      <c r="A169" s="242">
        <f t="shared" si="5"/>
        <v>132</v>
      </c>
      <c r="D169" s="86"/>
      <c r="E169" s="96"/>
      <c r="F169" s="86"/>
      <c r="G169" s="86"/>
      <c r="H169" s="1097"/>
      <c r="I169" s="96"/>
      <c r="J169" s="96"/>
      <c r="K169" s="96"/>
      <c r="L169" s="96"/>
      <c r="M169" s="96"/>
      <c r="N169" s="96"/>
      <c r="O169" s="96"/>
      <c r="P169" s="96"/>
    </row>
    <row r="170" spans="1:16" ht="15.75" customHeight="1">
      <c r="A170" s="242">
        <f t="shared" si="5"/>
        <v>133</v>
      </c>
      <c r="B170" s="277" t="s">
        <v>225</v>
      </c>
      <c r="D170" s="1019">
        <f>D40</f>
        <v>0.38900000000000001</v>
      </c>
      <c r="E170" s="96"/>
      <c r="F170" s="286"/>
      <c r="G170" s="86"/>
      <c r="H170" s="286">
        <f>H168*$D$170</f>
        <v>670414.63956283475</v>
      </c>
      <c r="I170" s="96"/>
      <c r="J170" s="286"/>
      <c r="K170" s="86"/>
      <c r="L170" s="286"/>
      <c r="M170" s="96"/>
      <c r="N170" s="286"/>
      <c r="O170" s="86"/>
      <c r="P170" s="286">
        <f>P168*$D$170</f>
        <v>670414.63956283475</v>
      </c>
    </row>
    <row r="171" spans="1:16" ht="15.75" customHeight="1">
      <c r="A171" s="242">
        <f t="shared" si="5"/>
        <v>134</v>
      </c>
      <c r="B171" s="280"/>
      <c r="D171" s="1106"/>
      <c r="E171" s="96"/>
      <c r="F171" s="86"/>
      <c r="G171" s="86"/>
      <c r="H171" s="86"/>
      <c r="I171" s="96"/>
      <c r="J171" s="86"/>
      <c r="K171" s="86"/>
      <c r="L171" s="86"/>
      <c r="M171" s="96"/>
      <c r="N171" s="86"/>
      <c r="O171" s="86"/>
      <c r="P171" s="86"/>
    </row>
    <row r="172" spans="1:16" ht="15.75" customHeight="1">
      <c r="A172" s="242">
        <f t="shared" si="5"/>
        <v>135</v>
      </c>
      <c r="B172" s="277" t="s">
        <v>847</v>
      </c>
      <c r="D172" s="1108"/>
      <c r="F172" s="1109"/>
      <c r="G172" s="1108"/>
      <c r="H172" s="1109">
        <f>H168-H170</f>
        <v>1053016.3104701594</v>
      </c>
      <c r="I172" s="280"/>
      <c r="J172" s="1109"/>
      <c r="K172" s="1108"/>
      <c r="L172" s="1109"/>
      <c r="M172" s="280"/>
      <c r="N172" s="1109"/>
      <c r="O172" s="1108"/>
      <c r="P172" s="1109">
        <f>P168-P170</f>
        <v>1053016.3104701594</v>
      </c>
    </row>
    <row r="173" spans="1:16" ht="15.75" customHeight="1">
      <c r="A173" s="242"/>
      <c r="B173" s="280"/>
      <c r="D173" s="63"/>
      <c r="F173" s="63"/>
      <c r="G173" s="1108"/>
      <c r="H173" s="63"/>
      <c r="I173" s="280"/>
      <c r="K173" s="280"/>
      <c r="M173" s="280"/>
      <c r="O173" s="280"/>
    </row>
    <row r="174" spans="1:16" ht="15.75" customHeight="1">
      <c r="A174" s="242"/>
      <c r="D174" s="1108"/>
      <c r="F174" s="63"/>
      <c r="G174" s="63"/>
      <c r="H174" s="63"/>
      <c r="I174" s="280"/>
      <c r="K174" s="280"/>
      <c r="M174" s="280"/>
      <c r="O174" s="280"/>
    </row>
    <row r="175" spans="1:16" ht="15.75" customHeight="1">
      <c r="A175" s="242"/>
      <c r="D175" s="63"/>
      <c r="F175" s="63"/>
      <c r="G175" s="1108"/>
      <c r="H175" s="63"/>
      <c r="I175" s="280"/>
      <c r="K175" s="280"/>
      <c r="M175" s="280"/>
    </row>
    <row r="176" spans="1:16" ht="15.75" customHeight="1">
      <c r="A176" s="242"/>
      <c r="D176" s="1108"/>
      <c r="F176" s="63"/>
      <c r="G176" s="1108"/>
      <c r="H176" s="63"/>
    </row>
    <row r="177" spans="1:15" ht="15.75" customHeight="1">
      <c r="A177" s="242"/>
      <c r="B177" s="62" t="s">
        <v>1287</v>
      </c>
      <c r="D177" s="1108"/>
      <c r="G177" s="280"/>
      <c r="I177" s="1108"/>
      <c r="K177" s="1110"/>
      <c r="M177" s="1108"/>
      <c r="O177" s="280"/>
    </row>
    <row r="178" spans="1:15" ht="15.75" customHeight="1">
      <c r="C178" s="62" t="s">
        <v>1651</v>
      </c>
    </row>
  </sheetData>
  <phoneticPr fontId="22" type="noConversion"/>
  <printOptions horizontalCentered="1"/>
  <pageMargins left="0.64" right="0.5" top="1" bottom="0.5" header="0.5" footer="0.5"/>
  <pageSetup scale="48" fitToHeight="0" orientation="portrait" verticalDpi="300" r:id="rId1"/>
  <headerFooter alignWithMargins="0">
    <oddFooter>&amp;RSchedule &amp;A
Page &amp;P of &amp;N</oddFooter>
  </headerFooter>
  <rowBreaks count="5" manualBreakCount="5">
    <brk id="42" max="15" man="1"/>
    <brk id="93" max="15" man="1"/>
    <brk id="148" max="15" man="1"/>
    <brk id="185" max="25" man="1"/>
    <brk id="239" max="2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112"/>
  <sheetViews>
    <sheetView view="pageBreakPreview" zoomScale="60" zoomScaleNormal="90" workbookViewId="0">
      <pane ySplit="11" topLeftCell="A12" activePane="bottomLeft" state="frozen"/>
      <selection activeCell="H168" sqref="H168"/>
      <selection pane="bottomLeft" activeCell="B35" sqref="B35"/>
    </sheetView>
  </sheetViews>
  <sheetFormatPr defaultColWidth="7.109375" defaultRowHeight="15.75" customHeight="1"/>
  <cols>
    <col min="1" max="1" width="3.77734375" style="1" customWidth="1"/>
    <col min="2" max="2" width="82.33203125" style="1" bestFit="1" customWidth="1"/>
    <col min="3" max="3" width="11.8867187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6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  <c r="F1"/>
    </row>
    <row r="2" spans="1:6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  <c r="F2"/>
    </row>
    <row r="3" spans="1:6" ht="15.75" customHeight="1">
      <c r="A3" s="1172" t="s">
        <v>435</v>
      </c>
      <c r="B3" s="1172"/>
      <c r="C3" s="1172"/>
      <c r="D3" s="1172"/>
      <c r="E3" s="30"/>
      <c r="F3"/>
    </row>
    <row r="4" spans="1:6" ht="15.75" customHeight="1">
      <c r="A4" s="1172" t="str">
        <f>Allocation!A4</f>
        <v>Forecasted Test Period: Twelve Months Ended March 31, 2019</v>
      </c>
      <c r="B4" s="1172"/>
      <c r="C4" s="1172"/>
      <c r="D4" s="1172"/>
      <c r="E4" s="30"/>
      <c r="F4"/>
    </row>
    <row r="5" spans="1:6" ht="15.75" customHeight="1">
      <c r="B5" s="187"/>
      <c r="C5" s="30"/>
      <c r="D5" s="30"/>
      <c r="E5" s="30"/>
      <c r="F5"/>
    </row>
    <row r="6" spans="1:6" ht="15.75" customHeight="1">
      <c r="D6" s="35"/>
      <c r="F6"/>
    </row>
    <row r="7" spans="1:6" ht="15.75" customHeight="1">
      <c r="B7" s="4" t="s">
        <v>473</v>
      </c>
      <c r="D7" s="549" t="s">
        <v>1460</v>
      </c>
      <c r="F7"/>
    </row>
    <row r="8" spans="1:6" ht="15.75" customHeight="1">
      <c r="B8" s="4" t="s">
        <v>545</v>
      </c>
      <c r="D8" s="499" t="s">
        <v>256</v>
      </c>
      <c r="F8"/>
    </row>
    <row r="9" spans="1:6" ht="15.75" customHeight="1">
      <c r="A9" s="33"/>
      <c r="B9" s="4" t="s">
        <v>369</v>
      </c>
      <c r="C9" s="33"/>
      <c r="D9" s="499" t="str">
        <f>D.1!P9</f>
        <v>Witness:  Waller, Martin</v>
      </c>
      <c r="E9" s="35"/>
      <c r="F9"/>
    </row>
    <row r="10" spans="1:6" ht="15.75" customHeight="1">
      <c r="A10" s="1" t="s">
        <v>1087</v>
      </c>
      <c r="B10" s="13"/>
      <c r="C10" s="35"/>
      <c r="D10" s="59"/>
      <c r="E10" s="35"/>
      <c r="F10"/>
    </row>
    <row r="11" spans="1:6" ht="15.75" customHeight="1">
      <c r="A11" s="33" t="s">
        <v>1088</v>
      </c>
      <c r="B11" s="253" t="s">
        <v>609</v>
      </c>
      <c r="C11" s="6"/>
      <c r="D11" s="9" t="s">
        <v>105</v>
      </c>
      <c r="E11" s="35"/>
      <c r="F11"/>
    </row>
    <row r="12" spans="1:6" ht="15.75" customHeight="1">
      <c r="A12" s="54">
        <v>1</v>
      </c>
      <c r="B12" s="197" t="s">
        <v>610</v>
      </c>
      <c r="F12"/>
    </row>
    <row r="13" spans="1:6" ht="15.75" customHeight="1">
      <c r="A13" s="54">
        <f>A12+1</f>
        <v>2</v>
      </c>
      <c r="B13" s="88" t="s">
        <v>1296</v>
      </c>
      <c r="C13" s="88" t="s">
        <v>44</v>
      </c>
      <c r="D13" s="583">
        <f>'C.2.1 F'!D15</f>
        <v>98377919.415192276</v>
      </c>
      <c r="F13"/>
    </row>
    <row r="14" spans="1:6" ht="15.75" customHeight="1">
      <c r="A14" s="765">
        <f t="shared" ref="A14:A72" si="0">A13+1</f>
        <v>3</v>
      </c>
      <c r="B14" s="88" t="s">
        <v>1663</v>
      </c>
      <c r="C14" s="88" t="s">
        <v>45</v>
      </c>
      <c r="D14" s="83">
        <f>'C.2.1 B'!D15</f>
        <v>92003987.593029201</v>
      </c>
      <c r="F14"/>
    </row>
    <row r="15" spans="1:6" ht="15.75" customHeight="1">
      <c r="A15" s="765">
        <f t="shared" si="0"/>
        <v>4</v>
      </c>
      <c r="B15" s="81"/>
      <c r="C15" s="88" t="s">
        <v>151</v>
      </c>
      <c r="D15" s="583">
        <f>D13-D14</f>
        <v>6373931.8221630752</v>
      </c>
      <c r="F15"/>
    </row>
    <row r="16" spans="1:6" ht="15.75" customHeight="1">
      <c r="A16" s="765">
        <f t="shared" si="0"/>
        <v>5</v>
      </c>
      <c r="B16" s="81"/>
      <c r="C16" s="81"/>
      <c r="D16" s="166">
        <f>D15/D14</f>
        <v>6.9278864850483984E-2</v>
      </c>
      <c r="F16"/>
    </row>
    <row r="17" spans="1:6" ht="15.75" customHeight="1">
      <c r="A17" s="765">
        <f t="shared" si="0"/>
        <v>6</v>
      </c>
      <c r="B17" s="81"/>
      <c r="C17" s="81"/>
      <c r="D17" s="166"/>
      <c r="F17"/>
    </row>
    <row r="18" spans="1:6" ht="15.75" customHeight="1">
      <c r="A18" s="765">
        <f t="shared" si="0"/>
        <v>7</v>
      </c>
      <c r="B18" s="88" t="s">
        <v>1297</v>
      </c>
      <c r="C18" s="88" t="s">
        <v>44</v>
      </c>
      <c r="D18" s="583">
        <f>'C.2.1 F'!D16</f>
        <v>40637063.73720403</v>
      </c>
      <c r="F18"/>
    </row>
    <row r="19" spans="1:6" ht="15.75" customHeight="1">
      <c r="A19" s="765">
        <f t="shared" si="0"/>
        <v>8</v>
      </c>
      <c r="B19" s="88" t="s">
        <v>1663</v>
      </c>
      <c r="C19" s="88" t="s">
        <v>45</v>
      </c>
      <c r="D19" s="83">
        <f>'C.2.1 B'!D17</f>
        <v>38443047.651499577</v>
      </c>
      <c r="F19"/>
    </row>
    <row r="20" spans="1:6" ht="15.75" customHeight="1">
      <c r="A20" s="765">
        <f t="shared" si="0"/>
        <v>9</v>
      </c>
      <c r="B20" s="81"/>
      <c r="C20" s="88" t="s">
        <v>151</v>
      </c>
      <c r="D20" s="583">
        <f>D18-D19</f>
        <v>2194016.0857044533</v>
      </c>
      <c r="F20"/>
    </row>
    <row r="21" spans="1:6" ht="15.75" customHeight="1">
      <c r="A21" s="765">
        <f t="shared" si="0"/>
        <v>10</v>
      </c>
      <c r="B21" s="81"/>
      <c r="C21" s="81"/>
      <c r="D21" s="166">
        <f>D20/D19</f>
        <v>5.7071856154434455E-2</v>
      </c>
      <c r="F21"/>
    </row>
    <row r="22" spans="1:6" ht="15.75" customHeight="1">
      <c r="A22" s="765">
        <f t="shared" si="0"/>
        <v>11</v>
      </c>
      <c r="B22" s="81"/>
      <c r="C22" s="81"/>
      <c r="D22" s="166"/>
      <c r="F22"/>
    </row>
    <row r="23" spans="1:6" ht="15.75" customHeight="1">
      <c r="A23" s="765">
        <f t="shared" si="0"/>
        <v>12</v>
      </c>
      <c r="B23" s="88" t="s">
        <v>1298</v>
      </c>
      <c r="C23" s="88" t="s">
        <v>44</v>
      </c>
      <c r="D23" s="583">
        <f>'C.2.1 F'!D17</f>
        <v>5286755.3393530753</v>
      </c>
      <c r="F23"/>
    </row>
    <row r="24" spans="1:6" ht="15.75" customHeight="1">
      <c r="A24" s="765">
        <f t="shared" si="0"/>
        <v>13</v>
      </c>
      <c r="B24" s="88" t="s">
        <v>1692</v>
      </c>
      <c r="C24" s="88" t="s">
        <v>45</v>
      </c>
      <c r="D24" s="83">
        <f>'C.2.1 B'!D18</f>
        <v>6816385.5647433177</v>
      </c>
      <c r="F24"/>
    </row>
    <row r="25" spans="1:6" ht="15.75" customHeight="1">
      <c r="A25" s="765">
        <f t="shared" si="0"/>
        <v>14</v>
      </c>
      <c r="B25" s="81" t="s">
        <v>1664</v>
      </c>
      <c r="C25" s="88" t="s">
        <v>151</v>
      </c>
      <c r="D25" s="583">
        <f>D23-D24</f>
        <v>-1529630.2253902424</v>
      </c>
      <c r="F25"/>
    </row>
    <row r="26" spans="1:6" ht="15.75" customHeight="1">
      <c r="A26" s="765">
        <f t="shared" si="0"/>
        <v>15</v>
      </c>
      <c r="B26" s="81"/>
      <c r="C26" s="81"/>
      <c r="D26" s="166">
        <f>D25/D24</f>
        <v>-0.22440488597094832</v>
      </c>
      <c r="F26"/>
    </row>
    <row r="27" spans="1:6" ht="15.75" customHeight="1">
      <c r="A27" s="765">
        <f t="shared" si="0"/>
        <v>16</v>
      </c>
      <c r="B27" s="81"/>
      <c r="C27" s="81"/>
      <c r="D27" s="166"/>
      <c r="F27"/>
    </row>
    <row r="28" spans="1:6" ht="15.75" customHeight="1">
      <c r="A28" s="765">
        <f t="shared" si="0"/>
        <v>17</v>
      </c>
      <c r="B28" s="88" t="s">
        <v>1299</v>
      </c>
      <c r="C28" s="88" t="s">
        <v>44</v>
      </c>
      <c r="D28" s="583">
        <f>'C.2.1 F'!D18</f>
        <v>6847372.3870250378</v>
      </c>
      <c r="F28"/>
    </row>
    <row r="29" spans="1:6" ht="15.75" customHeight="1">
      <c r="A29" s="765">
        <f t="shared" si="0"/>
        <v>18</v>
      </c>
      <c r="B29" s="88" t="s">
        <v>1665</v>
      </c>
      <c r="C29" s="88" t="s">
        <v>45</v>
      </c>
      <c r="D29" s="83">
        <f>'C.2.1 B'!D21</f>
        <v>6397243.3093471676</v>
      </c>
      <c r="F29"/>
    </row>
    <row r="30" spans="1:6" ht="15.75" customHeight="1">
      <c r="A30" s="765">
        <f t="shared" si="0"/>
        <v>19</v>
      </c>
      <c r="B30" s="81"/>
      <c r="C30" s="88" t="s">
        <v>151</v>
      </c>
      <c r="D30" s="583">
        <f>D28-D29</f>
        <v>450129.07767787017</v>
      </c>
      <c r="F30"/>
    </row>
    <row r="31" spans="1:6" ht="15.75" customHeight="1">
      <c r="A31" s="765">
        <f t="shared" si="0"/>
        <v>20</v>
      </c>
      <c r="B31" s="81"/>
      <c r="C31" s="81"/>
      <c r="D31" s="166">
        <f>D30/D29</f>
        <v>7.0362976036908845E-2</v>
      </c>
      <c r="F31"/>
    </row>
    <row r="32" spans="1:6" ht="15.75" customHeight="1">
      <c r="A32" s="765">
        <f t="shared" si="0"/>
        <v>21</v>
      </c>
      <c r="B32" s="81"/>
      <c r="C32" s="81"/>
      <c r="D32" s="166"/>
      <c r="F32"/>
    </row>
    <row r="33" spans="1:6" ht="15.75" customHeight="1">
      <c r="A33" s="765">
        <f t="shared" si="0"/>
        <v>22</v>
      </c>
      <c r="B33" s="81" t="s">
        <v>658</v>
      </c>
      <c r="C33" s="88" t="s">
        <v>44</v>
      </c>
      <c r="D33" s="583">
        <v>0</v>
      </c>
      <c r="F33"/>
    </row>
    <row r="34" spans="1:6" ht="15.75" customHeight="1">
      <c r="A34" s="765">
        <f t="shared" si="0"/>
        <v>23</v>
      </c>
      <c r="B34" s="81"/>
      <c r="C34" s="88" t="s">
        <v>45</v>
      </c>
      <c r="D34" s="83">
        <v>0</v>
      </c>
      <c r="F34"/>
    </row>
    <row r="35" spans="1:6" ht="15.75" customHeight="1">
      <c r="A35" s="765">
        <f t="shared" si="0"/>
        <v>24</v>
      </c>
      <c r="B35" s="81"/>
      <c r="C35" s="88" t="s">
        <v>151</v>
      </c>
      <c r="D35" s="583">
        <f>D33-D34</f>
        <v>0</v>
      </c>
      <c r="F35"/>
    </row>
    <row r="36" spans="1:6" ht="15.75" customHeight="1">
      <c r="A36" s="765">
        <f t="shared" si="0"/>
        <v>25</v>
      </c>
      <c r="B36" s="81"/>
      <c r="C36" s="81"/>
      <c r="D36" s="584">
        <f>IF(D34=0,0,D35/D34)</f>
        <v>0</v>
      </c>
      <c r="F36"/>
    </row>
    <row r="37" spans="1:6" ht="15.75" customHeight="1">
      <c r="A37" s="765">
        <f t="shared" si="0"/>
        <v>26</v>
      </c>
      <c r="B37" s="603" t="s">
        <v>611</v>
      </c>
      <c r="C37" s="81"/>
      <c r="D37" s="81"/>
      <c r="F37"/>
    </row>
    <row r="38" spans="1:6" ht="15.75" customHeight="1">
      <c r="A38" s="765">
        <f t="shared" si="0"/>
        <v>27</v>
      </c>
      <c r="B38" s="81" t="s">
        <v>1302</v>
      </c>
      <c r="C38" s="88" t="s">
        <v>44</v>
      </c>
      <c r="D38" s="583">
        <f>'C.2.1 F'!D22</f>
        <v>1297964.1796976668</v>
      </c>
      <c r="F38"/>
    </row>
    <row r="39" spans="1:6" ht="15.75" customHeight="1">
      <c r="A39" s="765">
        <f t="shared" si="0"/>
        <v>28</v>
      </c>
      <c r="B39" s="81" t="s">
        <v>1303</v>
      </c>
      <c r="C39" s="88" t="s">
        <v>45</v>
      </c>
      <c r="D39" s="83">
        <f>'C.2.1 B'!D26</f>
        <v>1231451.7485199214</v>
      </c>
      <c r="F39"/>
    </row>
    <row r="40" spans="1:6" ht="15.75" customHeight="1">
      <c r="A40" s="765">
        <f t="shared" si="0"/>
        <v>29</v>
      </c>
      <c r="B40" s="81"/>
      <c r="C40" s="88" t="s">
        <v>151</v>
      </c>
      <c r="D40" s="583">
        <f>D38-D39</f>
        <v>66512.43117774534</v>
      </c>
      <c r="F40"/>
    </row>
    <row r="41" spans="1:6" ht="15.75" customHeight="1">
      <c r="A41" s="765">
        <f t="shared" si="0"/>
        <v>30</v>
      </c>
      <c r="B41" s="81"/>
      <c r="C41" s="81"/>
      <c r="D41" s="166">
        <f>D40/D39</f>
        <v>5.4011398544592963E-2</v>
      </c>
      <c r="F41"/>
    </row>
    <row r="42" spans="1:6" ht="15.75" customHeight="1">
      <c r="A42" s="765">
        <f t="shared" si="0"/>
        <v>31</v>
      </c>
      <c r="B42" s="81"/>
      <c r="C42" s="81"/>
      <c r="D42" s="166"/>
      <c r="F42"/>
    </row>
    <row r="43" spans="1:6" ht="15.75" customHeight="1">
      <c r="A43" s="765">
        <f t="shared" si="0"/>
        <v>32</v>
      </c>
      <c r="B43" s="88" t="s">
        <v>1399</v>
      </c>
      <c r="C43" s="88" t="s">
        <v>44</v>
      </c>
      <c r="D43" s="583">
        <f>'C.2.1 F'!D23</f>
        <v>806054</v>
      </c>
      <c r="F43"/>
    </row>
    <row r="44" spans="1:6" ht="15.75" customHeight="1">
      <c r="A44" s="765">
        <f t="shared" si="0"/>
        <v>33</v>
      </c>
      <c r="B44" s="88" t="s">
        <v>1300</v>
      </c>
      <c r="C44" s="88" t="s">
        <v>45</v>
      </c>
      <c r="D44" s="83">
        <f>'C.2.1 B'!D27</f>
        <v>805992</v>
      </c>
      <c r="F44"/>
    </row>
    <row r="45" spans="1:6" ht="15.75" customHeight="1">
      <c r="A45" s="765">
        <f t="shared" si="0"/>
        <v>34</v>
      </c>
      <c r="B45" s="81"/>
      <c r="C45" s="88" t="s">
        <v>151</v>
      </c>
      <c r="D45" s="583">
        <f>D43-D44</f>
        <v>62</v>
      </c>
      <c r="F45"/>
    </row>
    <row r="46" spans="1:6" ht="15.75" customHeight="1">
      <c r="A46" s="765">
        <f t="shared" si="0"/>
        <v>35</v>
      </c>
      <c r="B46" s="81"/>
      <c r="C46" s="81"/>
      <c r="D46" s="166">
        <f>D45/D44</f>
        <v>7.6923840435140801E-5</v>
      </c>
      <c r="F46"/>
    </row>
    <row r="47" spans="1:6" ht="15.75" customHeight="1">
      <c r="A47" s="765">
        <f t="shared" si="0"/>
        <v>36</v>
      </c>
      <c r="B47" s="81"/>
      <c r="C47" s="81"/>
      <c r="D47" s="166"/>
      <c r="F47"/>
    </row>
    <row r="48" spans="1:6" ht="15.75" customHeight="1">
      <c r="A48" s="765">
        <f t="shared" si="0"/>
        <v>37</v>
      </c>
      <c r="B48" s="88" t="s">
        <v>1301</v>
      </c>
      <c r="C48" s="88" t="s">
        <v>44</v>
      </c>
      <c r="D48" s="583">
        <f>'C.2.1 F'!D24</f>
        <v>15202087.192665644</v>
      </c>
      <c r="F48"/>
    </row>
    <row r="49" spans="1:11" ht="15.75" customHeight="1">
      <c r="A49" s="765">
        <f t="shared" si="0"/>
        <v>38</v>
      </c>
      <c r="B49" s="88" t="s">
        <v>1691</v>
      </c>
      <c r="C49" s="88" t="s">
        <v>45</v>
      </c>
      <c r="D49" s="83">
        <f>'C.2.1 B'!D28</f>
        <v>15830893.886251401</v>
      </c>
      <c r="F49"/>
    </row>
    <row r="50" spans="1:11" ht="15.75" customHeight="1">
      <c r="A50" s="765">
        <f t="shared" si="0"/>
        <v>39</v>
      </c>
      <c r="B50" s="81"/>
      <c r="C50" s="88" t="s">
        <v>151</v>
      </c>
      <c r="D50" s="583">
        <f>D48-D49</f>
        <v>-628806.69358575717</v>
      </c>
      <c r="F50"/>
    </row>
    <row r="51" spans="1:11" ht="15.75" customHeight="1">
      <c r="A51" s="765">
        <f t="shared" si="0"/>
        <v>40</v>
      </c>
      <c r="B51" s="81"/>
      <c r="C51" s="81"/>
      <c r="D51" s="166">
        <f>D50/D49</f>
        <v>-3.9720226672219354E-2</v>
      </c>
      <c r="F51"/>
    </row>
    <row r="52" spans="1:11" ht="15.75" customHeight="1">
      <c r="A52" s="765">
        <f t="shared" si="0"/>
        <v>41</v>
      </c>
      <c r="B52" s="81"/>
      <c r="C52" s="81"/>
      <c r="D52" s="166"/>
      <c r="F52"/>
    </row>
    <row r="53" spans="1:11" ht="15.75" customHeight="1">
      <c r="A53" s="765">
        <f t="shared" si="0"/>
        <v>42</v>
      </c>
      <c r="B53" s="81" t="s">
        <v>1525</v>
      </c>
      <c r="C53" s="88" t="s">
        <v>44</v>
      </c>
      <c r="D53" s="583">
        <f>'C.2.1 F'!D25</f>
        <v>2274059.6602829527</v>
      </c>
      <c r="F53"/>
    </row>
    <row r="54" spans="1:11" ht="15.75" customHeight="1">
      <c r="A54" s="765">
        <f t="shared" si="0"/>
        <v>43</v>
      </c>
      <c r="B54" s="103" t="s">
        <v>1526</v>
      </c>
      <c r="C54" s="88" t="s">
        <v>45</v>
      </c>
      <c r="D54" s="83">
        <f>'C.2.1 B'!D29</f>
        <v>1173474.0575652353</v>
      </c>
      <c r="F54"/>
    </row>
    <row r="55" spans="1:11" ht="15.75" customHeight="1">
      <c r="A55" s="765">
        <f t="shared" si="0"/>
        <v>44</v>
      </c>
      <c r="B55" s="81"/>
      <c r="C55" s="88" t="s">
        <v>151</v>
      </c>
      <c r="D55" s="583">
        <f>D53-D54</f>
        <v>1100585.6027177174</v>
      </c>
      <c r="F55"/>
    </row>
    <row r="56" spans="1:11" ht="15.75" customHeight="1">
      <c r="A56" s="765">
        <f t="shared" si="0"/>
        <v>45</v>
      </c>
      <c r="B56" s="81"/>
      <c r="C56" s="81"/>
      <c r="D56" s="584">
        <f>IF(D54=0,0,D55/D54)</f>
        <v>0.93788660739654583</v>
      </c>
      <c r="F56"/>
    </row>
    <row r="57" spans="1:11" ht="15.75" customHeight="1">
      <c r="A57" s="765">
        <f t="shared" si="0"/>
        <v>46</v>
      </c>
      <c r="B57" s="603" t="s">
        <v>474</v>
      </c>
      <c r="C57" s="81"/>
      <c r="D57" s="81"/>
      <c r="F57"/>
    </row>
    <row r="58" spans="1:11" ht="15.75" customHeight="1">
      <c r="A58" s="765">
        <f t="shared" si="0"/>
        <v>47</v>
      </c>
      <c r="B58" s="88" t="s">
        <v>1530</v>
      </c>
      <c r="C58" s="88" t="s">
        <v>44</v>
      </c>
      <c r="D58" s="583">
        <f>'C.2.1 F'!D100</f>
        <v>78709117.242809042</v>
      </c>
      <c r="F58"/>
    </row>
    <row r="59" spans="1:11" ht="15.75" customHeight="1">
      <c r="A59" s="765">
        <f t="shared" si="0"/>
        <v>48</v>
      </c>
      <c r="B59" s="88" t="s">
        <v>1688</v>
      </c>
      <c r="C59" s="88" t="s">
        <v>45</v>
      </c>
      <c r="D59" s="83">
        <f>'C.2.1 B'!D104</f>
        <v>65546014.381216273</v>
      </c>
      <c r="F59"/>
    </row>
    <row r="60" spans="1:11" ht="15.75" customHeight="1">
      <c r="A60" s="765">
        <f t="shared" si="0"/>
        <v>49</v>
      </c>
      <c r="B60" s="1" t="s">
        <v>1689</v>
      </c>
      <c r="C60" s="4" t="s">
        <v>151</v>
      </c>
      <c r="D60" s="28">
        <f>D58-D59</f>
        <v>13163102.86159277</v>
      </c>
      <c r="F60"/>
      <c r="G60" s="10"/>
      <c r="H60" s="10"/>
      <c r="I60" s="10"/>
      <c r="J60" s="10"/>
      <c r="K60" s="10"/>
    </row>
    <row r="61" spans="1:11" ht="15.75" customHeight="1">
      <c r="A61" s="765">
        <f t="shared" si="0"/>
        <v>50</v>
      </c>
      <c r="B61" s="1" t="s">
        <v>1690</v>
      </c>
      <c r="D61" s="20">
        <f>D60/D59</f>
        <v>0.20082232284996052</v>
      </c>
      <c r="F61"/>
      <c r="G61" s="10"/>
      <c r="H61" s="10"/>
      <c r="I61" s="10"/>
      <c r="J61" s="10"/>
      <c r="K61" s="10"/>
    </row>
    <row r="62" spans="1:11" ht="15.75" customHeight="1">
      <c r="A62" s="849">
        <f t="shared" si="0"/>
        <v>51</v>
      </c>
      <c r="D62" s="20"/>
      <c r="F62" s="798"/>
      <c r="G62" s="10"/>
      <c r="H62" s="10"/>
      <c r="I62" s="10"/>
      <c r="J62" s="10"/>
      <c r="K62" s="10"/>
    </row>
    <row r="63" spans="1:11" ht="15.75" customHeight="1">
      <c r="A63" s="849">
        <f t="shared" si="0"/>
        <v>52</v>
      </c>
      <c r="D63" s="20"/>
      <c r="F63" s="798"/>
      <c r="G63" s="10"/>
      <c r="H63" s="10"/>
      <c r="I63" s="10"/>
      <c r="J63" s="10"/>
      <c r="K63" s="10"/>
    </row>
    <row r="64" spans="1:11" ht="15.75" customHeight="1">
      <c r="A64" s="849">
        <f t="shared" si="0"/>
        <v>53</v>
      </c>
      <c r="D64" s="20"/>
      <c r="F64" s="798"/>
      <c r="G64" s="10"/>
      <c r="H64" s="10"/>
      <c r="I64" s="10"/>
      <c r="J64" s="10"/>
      <c r="K64" s="10"/>
    </row>
    <row r="65" spans="1:15" ht="15.75" customHeight="1">
      <c r="A65" s="849">
        <f t="shared" si="0"/>
        <v>54</v>
      </c>
      <c r="B65" t="s">
        <v>195</v>
      </c>
      <c r="F65"/>
    </row>
    <row r="66" spans="1:15" ht="15.75" customHeight="1">
      <c r="A66" s="849">
        <f t="shared" si="0"/>
        <v>55</v>
      </c>
      <c r="B66" s="317" t="s">
        <v>1290</v>
      </c>
      <c r="C66"/>
      <c r="D66">
        <f>D14+D19+D24+D29+D34+D44+D49+D54+D39</f>
        <v>162702475.81095582</v>
      </c>
      <c r="E66"/>
      <c r="F66"/>
    </row>
    <row r="67" spans="1:15" ht="15.75" customHeight="1">
      <c r="A67" s="849">
        <f t="shared" si="0"/>
        <v>56</v>
      </c>
      <c r="B67" s="317" t="s">
        <v>1291</v>
      </c>
      <c r="C67"/>
      <c r="D67" s="52">
        <f>D59</f>
        <v>65546014.381216273</v>
      </c>
      <c r="E67"/>
      <c r="F67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849">
        <f t="shared" si="0"/>
        <v>57</v>
      </c>
      <c r="B68" s="317" t="s">
        <v>1292</v>
      </c>
      <c r="C68"/>
      <c r="D68">
        <f>D66-D67</f>
        <v>97156461.42973955</v>
      </c>
      <c r="E68"/>
      <c r="F68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849">
        <f t="shared" si="0"/>
        <v>58</v>
      </c>
      <c r="B69" s="317"/>
      <c r="C69"/>
      <c r="D69"/>
      <c r="E69"/>
      <c r="F69"/>
      <c r="K69" s="29"/>
    </row>
    <row r="70" spans="1:15" ht="15.75" customHeight="1">
      <c r="A70" s="849">
        <f t="shared" si="0"/>
        <v>59</v>
      </c>
      <c r="B70" s="317" t="s">
        <v>1293</v>
      </c>
      <c r="C70"/>
      <c r="D70">
        <f>D13+D18+D23+D28+D33+D43+D48+D53+D38</f>
        <v>170729275.91142067</v>
      </c>
      <c r="E70"/>
      <c r="F70"/>
    </row>
    <row r="71" spans="1:15" ht="15.75" customHeight="1">
      <c r="A71" s="849">
        <f t="shared" si="0"/>
        <v>60</v>
      </c>
      <c r="B71" s="317" t="s">
        <v>1294</v>
      </c>
      <c r="C71"/>
      <c r="D71" s="52">
        <f>D58</f>
        <v>78709117.242809042</v>
      </c>
      <c r="E71"/>
      <c r="F71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849">
        <f t="shared" si="0"/>
        <v>61</v>
      </c>
      <c r="B72" s="317" t="s">
        <v>1295</v>
      </c>
      <c r="C72"/>
      <c r="D72">
        <f>D70-D71</f>
        <v>92020158.668611631</v>
      </c>
      <c r="E72"/>
      <c r="F72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B73"/>
      <c r="C73"/>
      <c r="D73"/>
      <c r="E73"/>
      <c r="F73"/>
      <c r="K73" s="29"/>
    </row>
    <row r="74" spans="1:15" ht="15.75" customHeight="1">
      <c r="B74"/>
      <c r="C74"/>
      <c r="D74"/>
      <c r="E74"/>
      <c r="F74"/>
    </row>
    <row r="75" spans="1:15" ht="15.75" customHeight="1">
      <c r="B75"/>
      <c r="C75"/>
      <c r="D75"/>
      <c r="E75"/>
      <c r="F75"/>
    </row>
    <row r="76" spans="1:15" ht="15.75" customHeight="1">
      <c r="B76"/>
      <c r="C76"/>
      <c r="D76"/>
      <c r="E76"/>
      <c r="F76"/>
    </row>
    <row r="77" spans="1:15" ht="15.75" customHeight="1">
      <c r="B77"/>
      <c r="C77"/>
      <c r="D77"/>
      <c r="E77"/>
      <c r="F77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B78"/>
      <c r="C78"/>
      <c r="D78"/>
      <c r="E78"/>
      <c r="F78"/>
    </row>
    <row r="79" spans="1:15" ht="15.75" customHeight="1">
      <c r="B79"/>
      <c r="C79"/>
      <c r="D79"/>
      <c r="E79"/>
      <c r="F79"/>
    </row>
    <row r="80" spans="1:15" ht="15.75" customHeight="1">
      <c r="B80"/>
      <c r="C80"/>
      <c r="D80"/>
      <c r="E80"/>
      <c r="F80"/>
    </row>
    <row r="81" spans="2:6" ht="15.75" customHeight="1">
      <c r="B81"/>
      <c r="C81"/>
      <c r="D81"/>
      <c r="E81"/>
      <c r="F81"/>
    </row>
    <row r="82" spans="2:6" ht="15.75" customHeight="1">
      <c r="B82"/>
      <c r="C82"/>
      <c r="D82"/>
      <c r="E82"/>
      <c r="F82"/>
    </row>
    <row r="83" spans="2:6" ht="15.75" customHeight="1">
      <c r="B83"/>
      <c r="C83"/>
      <c r="D83"/>
      <c r="E83"/>
      <c r="F83"/>
    </row>
    <row r="84" spans="2:6" ht="15.75" customHeight="1">
      <c r="B84"/>
      <c r="C84"/>
      <c r="D84"/>
      <c r="E84"/>
      <c r="F84"/>
    </row>
    <row r="85" spans="2:6" ht="15.75" customHeight="1">
      <c r="B85"/>
      <c r="C85"/>
      <c r="D85"/>
      <c r="E85"/>
      <c r="F85"/>
    </row>
    <row r="86" spans="2:6" ht="15.75" customHeight="1">
      <c r="B86"/>
      <c r="C86"/>
      <c r="D86"/>
      <c r="E86"/>
      <c r="F86"/>
    </row>
    <row r="87" spans="2:6" ht="15.75" customHeight="1">
      <c r="B87"/>
      <c r="C87"/>
      <c r="D87"/>
      <c r="E87"/>
      <c r="F87"/>
    </row>
    <row r="88" spans="2:6" ht="15.75" customHeight="1">
      <c r="B88"/>
      <c r="C88"/>
      <c r="D88"/>
      <c r="E88"/>
      <c r="F88"/>
    </row>
    <row r="89" spans="2:6" ht="15.75" customHeight="1">
      <c r="B89"/>
      <c r="C89"/>
      <c r="D89"/>
      <c r="E89"/>
      <c r="F89"/>
    </row>
    <row r="90" spans="2:6" ht="15.75" customHeight="1">
      <c r="B90"/>
      <c r="C90"/>
      <c r="D90"/>
      <c r="E90"/>
      <c r="F90"/>
    </row>
    <row r="91" spans="2:6" ht="15.75" customHeight="1">
      <c r="B91"/>
      <c r="C91"/>
      <c r="D91"/>
      <c r="E91"/>
      <c r="F91"/>
    </row>
    <row r="92" spans="2:6" ht="15.75" customHeight="1">
      <c r="B92"/>
      <c r="C92"/>
      <c r="D92"/>
      <c r="E92"/>
      <c r="F92"/>
    </row>
    <row r="93" spans="2:6" ht="15.75" customHeight="1">
      <c r="B93"/>
      <c r="C93"/>
      <c r="D93"/>
      <c r="E93"/>
      <c r="F93"/>
    </row>
    <row r="94" spans="2:6" ht="15.75" customHeight="1">
      <c r="B94"/>
      <c r="C94"/>
      <c r="D94"/>
      <c r="E94"/>
      <c r="F94"/>
    </row>
    <row r="95" spans="2:6" ht="15.75" customHeight="1">
      <c r="B95"/>
      <c r="C95"/>
      <c r="D95"/>
      <c r="E95"/>
      <c r="F95"/>
    </row>
    <row r="96" spans="2:6" ht="15.75" customHeight="1">
      <c r="B96"/>
      <c r="C96"/>
      <c r="D96"/>
      <c r="E96"/>
      <c r="F96"/>
    </row>
    <row r="97" spans="2:6" ht="15.75" customHeight="1">
      <c r="B97"/>
      <c r="C97"/>
      <c r="D97"/>
      <c r="E97"/>
      <c r="F97"/>
    </row>
    <row r="98" spans="2:6" ht="15.75" customHeight="1">
      <c r="B98"/>
      <c r="C98"/>
      <c r="D98"/>
      <c r="E98"/>
      <c r="F98"/>
    </row>
    <row r="99" spans="2:6" ht="15.75" customHeight="1">
      <c r="B99"/>
      <c r="C99"/>
      <c r="D99"/>
      <c r="E99"/>
      <c r="F99"/>
    </row>
    <row r="100" spans="2:6" ht="15.75" customHeight="1">
      <c r="B100"/>
      <c r="C100"/>
      <c r="D100"/>
      <c r="E100"/>
      <c r="F100"/>
    </row>
    <row r="101" spans="2:6" ht="15.75" customHeight="1">
      <c r="B101"/>
      <c r="C101"/>
      <c r="D101"/>
      <c r="E101"/>
      <c r="F101"/>
    </row>
    <row r="102" spans="2:6" ht="15.75" customHeight="1">
      <c r="B102"/>
      <c r="C102"/>
      <c r="D102"/>
      <c r="E102"/>
      <c r="F102"/>
    </row>
    <row r="103" spans="2:6" ht="15.75" customHeight="1">
      <c r="B103"/>
      <c r="C103"/>
      <c r="D103"/>
      <c r="E103"/>
      <c r="F103"/>
    </row>
    <row r="104" spans="2:6" ht="15.75" customHeight="1">
      <c r="B104"/>
      <c r="C104"/>
      <c r="D104"/>
      <c r="E104"/>
      <c r="F104"/>
    </row>
    <row r="105" spans="2:6" ht="15.75" customHeight="1">
      <c r="B105"/>
      <c r="C105"/>
      <c r="D105"/>
      <c r="E105"/>
      <c r="F105"/>
    </row>
    <row r="106" spans="2:6" ht="15.75" customHeight="1">
      <c r="B106"/>
      <c r="C106"/>
      <c r="D106"/>
      <c r="E106"/>
      <c r="F106"/>
    </row>
    <row r="107" spans="2:6" ht="15.75" customHeight="1">
      <c r="B107"/>
      <c r="C107"/>
      <c r="D107"/>
      <c r="E107"/>
      <c r="F107"/>
    </row>
    <row r="108" spans="2:6" ht="15.75" customHeight="1">
      <c r="B108"/>
      <c r="C108"/>
      <c r="D108"/>
      <c r="E108"/>
      <c r="F108"/>
    </row>
    <row r="109" spans="2:6" ht="15.75" customHeight="1">
      <c r="B109" s="26"/>
    </row>
    <row r="110" spans="2:6" ht="15.75" customHeight="1">
      <c r="B110" s="26"/>
    </row>
    <row r="112" spans="2:6" ht="15.75" customHeight="1">
      <c r="B112" s="26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71" right="0.43" top="0.75" bottom="0.67" header="0.5" footer="0.26"/>
  <pageSetup scale="61" orientation="portrait" verticalDpi="300" r:id="rId1"/>
  <headerFooter alignWithMargins="0">
    <oddFooter>&amp;RSchedule &amp;A
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O143"/>
  <sheetViews>
    <sheetView view="pageBreakPreview" zoomScale="60" zoomScaleNormal="90" workbookViewId="0">
      <pane ySplit="10" topLeftCell="A11" activePane="bottomLeft" state="frozen"/>
      <selection activeCell="H168" sqref="H168"/>
      <selection pane="bottomLeft" activeCell="H168" sqref="H168"/>
    </sheetView>
  </sheetViews>
  <sheetFormatPr defaultColWidth="7.109375" defaultRowHeight="15.75" customHeight="1"/>
  <cols>
    <col min="1" max="1" width="3.6640625" style="1" customWidth="1"/>
    <col min="2" max="2" width="89.44140625" style="1" customWidth="1"/>
    <col min="3" max="3" width="11.6640625" style="1" customWidth="1"/>
    <col min="4" max="4" width="12.44140625" style="1" customWidth="1"/>
    <col min="5" max="11" width="7.109375" style="1"/>
    <col min="12" max="12" width="7.88671875" style="1" customWidth="1"/>
    <col min="13" max="13" width="8.5546875" style="1" customWidth="1"/>
    <col min="14" max="16384" width="7.109375" style="1"/>
  </cols>
  <sheetData>
    <row r="1" spans="1:5" ht="15.75" customHeight="1">
      <c r="A1" s="1172" t="str">
        <f>'Table of Contents'!A1:C1</f>
        <v>Atmos Energy Corporation, Kentucky/Mid-States Division</v>
      </c>
      <c r="B1" s="1172"/>
      <c r="C1" s="1172"/>
      <c r="D1" s="1172"/>
      <c r="E1" s="30"/>
    </row>
    <row r="2" spans="1:5" ht="15.75" customHeight="1">
      <c r="A2" s="1172" t="str">
        <f>'Table of Contents'!A2:C2</f>
        <v>Kentucky Jurisdiction Case No. 2017-00349</v>
      </c>
      <c r="B2" s="1172"/>
      <c r="C2" s="1172"/>
      <c r="D2" s="1172"/>
      <c r="E2" s="30"/>
    </row>
    <row r="3" spans="1:5" ht="15.75" customHeight="1">
      <c r="A3" s="1172" t="s">
        <v>435</v>
      </c>
      <c r="B3" s="1172"/>
      <c r="C3" s="1172"/>
      <c r="D3" s="1172"/>
      <c r="E3" s="30"/>
    </row>
    <row r="4" spans="1:5" ht="15.75" customHeight="1">
      <c r="A4" s="1172" t="str">
        <f>'Table of Contents'!A4:C4</f>
        <v>Forecasted Test Period: Twelve Months Ended March 31, 2019</v>
      </c>
      <c r="B4" s="1172"/>
      <c r="C4" s="1172"/>
      <c r="D4" s="1172"/>
      <c r="E4" s="30"/>
    </row>
    <row r="6" spans="1:5" ht="15.75" customHeight="1">
      <c r="B6" s="4" t="s">
        <v>686</v>
      </c>
      <c r="D6" s="549" t="s">
        <v>1461</v>
      </c>
    </row>
    <row r="7" spans="1:5" ht="15.75" customHeight="1">
      <c r="B7" s="4" t="s">
        <v>545</v>
      </c>
      <c r="D7" s="499" t="s">
        <v>264</v>
      </c>
    </row>
    <row r="8" spans="1:5" ht="15.75" customHeight="1">
      <c r="A8" s="33"/>
      <c r="B8" s="4" t="s">
        <v>463</v>
      </c>
      <c r="C8" s="33"/>
      <c r="D8" s="499" t="str">
        <f>D.1!P9</f>
        <v>Witness:  Waller, Martin</v>
      </c>
      <c r="E8"/>
    </row>
    <row r="9" spans="1:5" ht="15.75" customHeight="1">
      <c r="A9" s="1" t="s">
        <v>1087</v>
      </c>
      <c r="B9" s="13"/>
      <c r="C9" s="35"/>
      <c r="D9" s="13"/>
      <c r="E9"/>
    </row>
    <row r="10" spans="1:5" ht="15.75" customHeight="1">
      <c r="A10" s="33" t="s">
        <v>1088</v>
      </c>
      <c r="B10" s="130" t="s">
        <v>609</v>
      </c>
      <c r="C10" s="6"/>
      <c r="D10" s="9" t="s">
        <v>105</v>
      </c>
      <c r="E10"/>
    </row>
    <row r="11" spans="1:5" ht="15.75" customHeight="1">
      <c r="E11"/>
    </row>
    <row r="12" spans="1:5" ht="15.75" customHeight="1">
      <c r="A12" s="54">
        <v>1</v>
      </c>
      <c r="B12" s="197" t="s">
        <v>612</v>
      </c>
      <c r="E12"/>
    </row>
    <row r="13" spans="1:5" ht="15.75" customHeight="1">
      <c r="A13" s="54">
        <v>2</v>
      </c>
      <c r="B13" s="585" t="s">
        <v>1523</v>
      </c>
      <c r="C13" s="4" t="s">
        <v>44</v>
      </c>
      <c r="D13" s="357">
        <v>6756926.4878844488</v>
      </c>
    </row>
    <row r="14" spans="1:5" ht="15.75" customHeight="1">
      <c r="A14" s="54">
        <v>3</v>
      </c>
      <c r="B14" s="585" t="s">
        <v>1524</v>
      </c>
      <c r="C14" s="4" t="s">
        <v>45</v>
      </c>
      <c r="D14" s="421">
        <v>6804939.1000999995</v>
      </c>
    </row>
    <row r="15" spans="1:5" ht="15.75" customHeight="1">
      <c r="A15" s="54">
        <v>4</v>
      </c>
      <c r="B15" s="585" t="s">
        <v>1304</v>
      </c>
      <c r="C15" s="4" t="s">
        <v>151</v>
      </c>
      <c r="D15" s="587">
        <f>D13-D14</f>
        <v>-48012.612215550616</v>
      </c>
    </row>
    <row r="16" spans="1:5" ht="15.75" customHeight="1">
      <c r="A16" s="54">
        <v>5</v>
      </c>
      <c r="B16" s="585" t="s">
        <v>1305</v>
      </c>
      <c r="D16" s="166">
        <f>D15/D14</f>
        <v>-7.0555535485754845E-3</v>
      </c>
    </row>
    <row r="17" spans="1:5" ht="15.75" customHeight="1">
      <c r="A17" s="54">
        <v>6</v>
      </c>
      <c r="B17" s="586"/>
      <c r="D17" s="81"/>
    </row>
    <row r="18" spans="1:5" ht="15.75" customHeight="1">
      <c r="A18" s="54">
        <v>7</v>
      </c>
      <c r="B18" s="603" t="s">
        <v>469</v>
      </c>
      <c r="D18" s="81"/>
    </row>
    <row r="19" spans="1:5" ht="15.75" customHeight="1">
      <c r="A19" s="54">
        <v>8</v>
      </c>
      <c r="B19" s="586" t="s">
        <v>1306</v>
      </c>
      <c r="C19" s="4" t="s">
        <v>44</v>
      </c>
      <c r="D19" s="357">
        <v>524452.03</v>
      </c>
    </row>
    <row r="20" spans="1:5" ht="15.75" customHeight="1">
      <c r="A20" s="54">
        <v>9</v>
      </c>
      <c r="B20" s="586" t="s">
        <v>1307</v>
      </c>
      <c r="C20" s="4" t="s">
        <v>45</v>
      </c>
      <c r="D20" s="421">
        <v>586727.88</v>
      </c>
    </row>
    <row r="21" spans="1:5" ht="15.75" customHeight="1">
      <c r="A21" s="54">
        <v>10</v>
      </c>
      <c r="B21" s="586" t="s">
        <v>1308</v>
      </c>
      <c r="C21" s="4" t="s">
        <v>151</v>
      </c>
      <c r="D21" s="583">
        <f>D19-D20</f>
        <v>-62275.849999999977</v>
      </c>
    </row>
    <row r="22" spans="1:5" ht="15.75" customHeight="1">
      <c r="A22" s="54">
        <v>11</v>
      </c>
      <c r="B22" s="586" t="s">
        <v>1310</v>
      </c>
      <c r="D22" s="166">
        <f>D21/D20</f>
        <v>-0.10614094220305327</v>
      </c>
    </row>
    <row r="23" spans="1:5" ht="15.75" customHeight="1">
      <c r="A23" s="54">
        <v>12</v>
      </c>
      <c r="B23" s="586" t="s">
        <v>1309</v>
      </c>
      <c r="D23" s="81"/>
    </row>
    <row r="24" spans="1:5" ht="15.75" customHeight="1">
      <c r="A24" s="54">
        <v>13</v>
      </c>
      <c r="B24" s="586"/>
      <c r="D24" s="81"/>
    </row>
    <row r="25" spans="1:5" ht="15.75" customHeight="1">
      <c r="A25" s="54">
        <v>14</v>
      </c>
      <c r="B25" s="603" t="s">
        <v>470</v>
      </c>
      <c r="D25" s="81"/>
    </row>
    <row r="26" spans="1:5" ht="15.75" customHeight="1">
      <c r="A26" s="54">
        <v>15</v>
      </c>
      <c r="B26" s="586" t="s">
        <v>1311</v>
      </c>
      <c r="C26" s="4" t="s">
        <v>44</v>
      </c>
      <c r="D26" s="587">
        <v>5908342.0200000005</v>
      </c>
    </row>
    <row r="27" spans="1:5" ht="15.75" customHeight="1">
      <c r="A27" s="54">
        <v>16</v>
      </c>
      <c r="B27" s="586" t="s">
        <v>1528</v>
      </c>
      <c r="C27" s="4" t="s">
        <v>45</v>
      </c>
      <c r="D27" s="588">
        <v>5674233.4099999992</v>
      </c>
    </row>
    <row r="28" spans="1:5" ht="15.75" customHeight="1">
      <c r="A28" s="54">
        <v>17</v>
      </c>
      <c r="B28" s="586" t="s">
        <v>1522</v>
      </c>
      <c r="C28" s="4" t="s">
        <v>151</v>
      </c>
      <c r="D28" s="583">
        <f>D26-D27</f>
        <v>234108.61000000127</v>
      </c>
    </row>
    <row r="29" spans="1:5" ht="15.75" customHeight="1">
      <c r="A29" s="54">
        <v>18</v>
      </c>
      <c r="B29" s="586"/>
      <c r="D29" s="166">
        <f>D28/D27</f>
        <v>4.1258191738714763E-2</v>
      </c>
    </row>
    <row r="30" spans="1:5" ht="15.75" customHeight="1">
      <c r="A30" s="54">
        <v>19</v>
      </c>
      <c r="B30" s="586"/>
      <c r="D30" s="81"/>
    </row>
    <row r="31" spans="1:5" ht="15.75" customHeight="1">
      <c r="A31" s="54">
        <v>20</v>
      </c>
      <c r="B31" s="603" t="s">
        <v>471</v>
      </c>
      <c r="D31" s="81"/>
    </row>
    <row r="32" spans="1:5" ht="15.75" customHeight="1">
      <c r="A32" s="54">
        <v>21</v>
      </c>
      <c r="B32" s="586" t="s">
        <v>1312</v>
      </c>
      <c r="C32" s="4" t="s">
        <v>44</v>
      </c>
      <c r="D32" s="73">
        <v>362112.25893361459</v>
      </c>
      <c r="E32" s="10"/>
    </row>
    <row r="33" spans="1:11" ht="15.75" customHeight="1">
      <c r="A33" s="54">
        <v>22</v>
      </c>
      <c r="B33" s="586" t="s">
        <v>1313</v>
      </c>
      <c r="C33" s="4" t="s">
        <v>45</v>
      </c>
      <c r="D33" s="83">
        <v>369911.19170000002</v>
      </c>
      <c r="E33" s="10"/>
    </row>
    <row r="34" spans="1:11" ht="15.75" customHeight="1">
      <c r="A34" s="54">
        <v>23</v>
      </c>
      <c r="B34" s="586" t="s">
        <v>1527</v>
      </c>
      <c r="C34" s="4" t="s">
        <v>151</v>
      </c>
      <c r="D34" s="589">
        <f>D32-D33</f>
        <v>-7798.9327663854347</v>
      </c>
    </row>
    <row r="35" spans="1:11" ht="15.75" customHeight="1">
      <c r="A35" s="54">
        <v>24</v>
      </c>
      <c r="B35" s="90"/>
      <c r="D35" s="166">
        <f>D34/D32</f>
        <v>-2.1537334276813862E-2</v>
      </c>
      <c r="E35" s="10"/>
    </row>
    <row r="36" spans="1:11" ht="15.75" customHeight="1">
      <c r="A36" s="54">
        <v>25</v>
      </c>
      <c r="B36" s="197" t="s">
        <v>472</v>
      </c>
      <c r="C36" s="10"/>
      <c r="D36" s="73"/>
      <c r="E36" s="10"/>
      <c r="F36" s="10"/>
      <c r="G36" s="10"/>
      <c r="H36" s="10"/>
      <c r="I36" s="10"/>
      <c r="J36" s="10"/>
      <c r="K36" s="10"/>
    </row>
    <row r="37" spans="1:11" ht="15.75" customHeight="1">
      <c r="A37" s="54">
        <v>26</v>
      </c>
      <c r="B37" s="586" t="s">
        <v>1314</v>
      </c>
      <c r="C37" s="4" t="s">
        <v>44</v>
      </c>
      <c r="D37" s="357">
        <v>14012400.831079323</v>
      </c>
    </row>
    <row r="38" spans="1:11" ht="15.75" customHeight="1">
      <c r="A38" s="54">
        <v>27</v>
      </c>
      <c r="B38" s="103" t="s">
        <v>1315</v>
      </c>
      <c r="C38" s="4" t="s">
        <v>45</v>
      </c>
      <c r="D38" s="421">
        <v>13526079.814078476</v>
      </c>
    </row>
    <row r="39" spans="1:11" ht="15.75" customHeight="1">
      <c r="A39" s="54">
        <v>28</v>
      </c>
      <c r="B39" s="90" t="s">
        <v>1316</v>
      </c>
      <c r="C39" s="4" t="s">
        <v>151</v>
      </c>
      <c r="D39" s="583">
        <f>D37-D38</f>
        <v>486321.01700084656</v>
      </c>
      <c r="E39" s="10"/>
      <c r="F39" s="10"/>
      <c r="G39" s="10"/>
      <c r="H39" s="10"/>
      <c r="I39" s="10"/>
      <c r="J39" s="10"/>
      <c r="K39" s="10"/>
    </row>
    <row r="40" spans="1:11" ht="15.75" customHeight="1">
      <c r="A40" s="54">
        <v>29</v>
      </c>
      <c r="B40" s="4"/>
      <c r="D40" s="166">
        <f>D39/D38</f>
        <v>3.5954321110442104E-2</v>
      </c>
      <c r="E40" s="10"/>
      <c r="F40" s="10"/>
      <c r="G40" s="10"/>
      <c r="H40" s="10"/>
      <c r="I40" s="10"/>
      <c r="J40" s="10"/>
      <c r="K40" s="10"/>
    </row>
    <row r="41" spans="1:11" ht="15.75" customHeight="1">
      <c r="A41" s="54">
        <v>30</v>
      </c>
      <c r="B41" s="4"/>
      <c r="D41" s="20"/>
      <c r="E41" s="10"/>
      <c r="F41" s="10"/>
      <c r="G41" s="10"/>
      <c r="H41" s="10"/>
      <c r="I41" s="10"/>
      <c r="J41" s="10"/>
      <c r="K41" s="10"/>
    </row>
    <row r="42" spans="1:11" ht="15.75" customHeight="1">
      <c r="A42" s="54">
        <v>31</v>
      </c>
      <c r="B42" s="15" t="s">
        <v>394</v>
      </c>
      <c r="C42" t="s">
        <v>44</v>
      </c>
      <c r="D42" s="183">
        <f>D13+D19+D26+D32+D37</f>
        <v>27564233.627897389</v>
      </c>
      <c r="E42"/>
    </row>
    <row r="43" spans="1:11" ht="15.75" customHeight="1">
      <c r="A43" s="54">
        <v>32</v>
      </c>
      <c r="B43"/>
      <c r="C43" t="s">
        <v>45</v>
      </c>
      <c r="D43" s="408">
        <f>D14+D20+D27+D33+D38</f>
        <v>26961891.395878475</v>
      </c>
      <c r="E43"/>
    </row>
    <row r="44" spans="1:11" ht="15.75" customHeight="1">
      <c r="A44" s="54">
        <v>33</v>
      </c>
      <c r="B44"/>
      <c r="C44" t="s">
        <v>151</v>
      </c>
      <c r="D44" s="28">
        <f>D42-D43</f>
        <v>602342.23201891407</v>
      </c>
      <c r="E44"/>
    </row>
    <row r="45" spans="1:11" ht="15.75" customHeight="1">
      <c r="A45" s="54">
        <v>34</v>
      </c>
      <c r="B45"/>
      <c r="C45"/>
      <c r="D45" s="20">
        <f>D44/D43</f>
        <v>2.2340503608400078E-2</v>
      </c>
      <c r="E45"/>
      <c r="K45" s="10"/>
    </row>
    <row r="46" spans="1:11" ht="15.75" customHeight="1">
      <c r="B46"/>
      <c r="C46"/>
      <c r="D46"/>
      <c r="E46"/>
    </row>
    <row r="47" spans="1:11" ht="15.75" customHeight="1">
      <c r="B47"/>
      <c r="C47"/>
      <c r="D47"/>
      <c r="E47"/>
    </row>
    <row r="48" spans="1:11" ht="15.75" customHeight="1">
      <c r="B48"/>
      <c r="C48"/>
      <c r="D48"/>
      <c r="E48"/>
    </row>
    <row r="49" spans="2:15" ht="15.75" customHeight="1">
      <c r="B49"/>
      <c r="C49"/>
      <c r="D49"/>
      <c r="E49"/>
    </row>
    <row r="50" spans="2:15" ht="15.75" customHeight="1">
      <c r="B50"/>
      <c r="C50"/>
      <c r="D50"/>
      <c r="E50"/>
    </row>
    <row r="51" spans="2:15" ht="15.75" customHeight="1">
      <c r="B51"/>
      <c r="C51"/>
      <c r="D51"/>
      <c r="E51"/>
    </row>
    <row r="52" spans="2:15" ht="15.75" customHeight="1">
      <c r="B52"/>
      <c r="C52"/>
      <c r="D52"/>
      <c r="E52"/>
    </row>
    <row r="53" spans="2:15" ht="15.75" customHeight="1">
      <c r="B53"/>
      <c r="C53"/>
      <c r="D53"/>
      <c r="E53"/>
    </row>
    <row r="54" spans="2:15" ht="15.75" customHeight="1">
      <c r="B54"/>
      <c r="C54"/>
      <c r="D54"/>
      <c r="E54"/>
    </row>
    <row r="55" spans="2:15" ht="15.75" customHeight="1">
      <c r="B55"/>
      <c r="C55"/>
      <c r="D55"/>
      <c r="E55"/>
    </row>
    <row r="56" spans="2:15" ht="15.75" customHeight="1">
      <c r="B56"/>
      <c r="C56"/>
      <c r="D56"/>
      <c r="E56"/>
    </row>
    <row r="57" spans="2:15" ht="15.75" customHeight="1">
      <c r="B57"/>
      <c r="C57"/>
      <c r="D57"/>
      <c r="E57"/>
    </row>
    <row r="58" spans="2:15" ht="15.75" customHeight="1">
      <c r="B58"/>
      <c r="C58"/>
      <c r="D58"/>
      <c r="E58"/>
    </row>
    <row r="59" spans="2:15" ht="15.75" customHeight="1">
      <c r="B59"/>
      <c r="C59"/>
      <c r="D59"/>
      <c r="E59"/>
    </row>
    <row r="60" spans="2:15" ht="15.75" customHeight="1">
      <c r="B60"/>
      <c r="C60"/>
      <c r="D60"/>
      <c r="E6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.75" customHeight="1">
      <c r="B61"/>
      <c r="C61"/>
      <c r="D61"/>
      <c r="E61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ht="15.75" customHeight="1">
      <c r="B62"/>
      <c r="C62"/>
      <c r="D62"/>
      <c r="E62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5" ht="15.75" customHeight="1">
      <c r="B63"/>
      <c r="C63"/>
      <c r="D63"/>
      <c r="E63"/>
      <c r="K63" s="29"/>
    </row>
    <row r="64" spans="2:15" ht="15.75" customHeight="1">
      <c r="B64"/>
      <c r="C64"/>
      <c r="D64"/>
      <c r="E64"/>
    </row>
    <row r="65" spans="2:11" ht="15.75" customHeight="1">
      <c r="B65"/>
      <c r="C65"/>
      <c r="D65"/>
      <c r="E65"/>
    </row>
    <row r="66" spans="2:11" ht="15.75" customHeight="1">
      <c r="B66"/>
      <c r="C66"/>
      <c r="D66"/>
      <c r="E66"/>
      <c r="K66" s="10"/>
    </row>
    <row r="67" spans="2:11" ht="15.75" customHeight="1">
      <c r="B67"/>
      <c r="C67"/>
      <c r="D67"/>
      <c r="E67"/>
    </row>
    <row r="68" spans="2:11" ht="15.75" customHeight="1">
      <c r="B68"/>
      <c r="C68"/>
      <c r="D68"/>
      <c r="E68"/>
    </row>
    <row r="69" spans="2:11" ht="15.75" customHeight="1">
      <c r="B69"/>
      <c r="C69"/>
      <c r="D69"/>
      <c r="E69"/>
    </row>
    <row r="70" spans="2:11" ht="15.75" customHeight="1">
      <c r="B70"/>
      <c r="C70"/>
      <c r="D70"/>
      <c r="E70"/>
    </row>
    <row r="71" spans="2:11" ht="15.75" customHeight="1">
      <c r="B71"/>
      <c r="C71"/>
      <c r="D71"/>
      <c r="E71"/>
    </row>
    <row r="72" spans="2:11" ht="15.75" customHeight="1">
      <c r="B72"/>
      <c r="C72"/>
      <c r="D72"/>
      <c r="E72"/>
    </row>
    <row r="73" spans="2:11" ht="15.75" customHeight="1">
      <c r="B73"/>
      <c r="C73"/>
      <c r="D73"/>
      <c r="E73"/>
      <c r="G73" s="26"/>
    </row>
    <row r="74" spans="2:11" ht="15.75" customHeight="1">
      <c r="B74"/>
      <c r="C74"/>
      <c r="D74"/>
      <c r="E74"/>
      <c r="G74" s="26"/>
    </row>
    <row r="75" spans="2:11" ht="15.75" customHeight="1">
      <c r="B75"/>
      <c r="C75"/>
      <c r="D75"/>
      <c r="E75"/>
      <c r="G75" s="26"/>
    </row>
    <row r="76" spans="2:11" ht="15.75" customHeight="1">
      <c r="B76"/>
      <c r="C76"/>
      <c r="D76"/>
      <c r="E76"/>
    </row>
    <row r="77" spans="2:11" ht="15.75" customHeight="1">
      <c r="B77"/>
      <c r="C77"/>
      <c r="D77"/>
      <c r="E77"/>
    </row>
    <row r="78" spans="2:11" ht="15.75" customHeight="1">
      <c r="B78"/>
      <c r="C78"/>
      <c r="D78"/>
      <c r="E78"/>
    </row>
    <row r="79" spans="2:11" ht="15.75" customHeight="1">
      <c r="B79"/>
      <c r="C79"/>
      <c r="D79"/>
      <c r="E79"/>
    </row>
    <row r="80" spans="2:11" ht="15.75" customHeight="1">
      <c r="B80"/>
      <c r="C80"/>
      <c r="D80"/>
      <c r="E80"/>
    </row>
    <row r="81" spans="2:15" ht="15.75" customHeight="1">
      <c r="B81"/>
      <c r="C81"/>
      <c r="D81"/>
      <c r="E81"/>
    </row>
    <row r="82" spans="2:15" ht="15.75" customHeight="1">
      <c r="B82"/>
      <c r="C82"/>
      <c r="D82"/>
      <c r="E82"/>
    </row>
    <row r="83" spans="2:15" ht="15.75" customHeight="1">
      <c r="B83"/>
      <c r="C83"/>
      <c r="D83"/>
      <c r="E83"/>
    </row>
    <row r="84" spans="2:15" ht="15.75" customHeight="1">
      <c r="B84"/>
      <c r="C84"/>
      <c r="D84"/>
      <c r="E84"/>
    </row>
    <row r="85" spans="2:15" ht="15.75" customHeight="1">
      <c r="B85"/>
      <c r="C85"/>
      <c r="D85"/>
      <c r="E85"/>
    </row>
    <row r="86" spans="2:15" ht="15.75" customHeight="1">
      <c r="B86"/>
      <c r="C86"/>
      <c r="D86"/>
      <c r="E86"/>
    </row>
    <row r="87" spans="2:15" ht="15.75" customHeight="1">
      <c r="B87"/>
      <c r="C87"/>
      <c r="D87"/>
      <c r="E87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5" ht="15.75" customHeight="1">
      <c r="B88"/>
      <c r="C88"/>
      <c r="D88"/>
      <c r="E88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ht="15.75" customHeight="1">
      <c r="B89"/>
      <c r="C89"/>
      <c r="D89"/>
      <c r="E89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ht="15.75" customHeight="1">
      <c r="B90"/>
      <c r="C90"/>
      <c r="D90"/>
      <c r="E90"/>
      <c r="K90" s="29"/>
    </row>
    <row r="91" spans="2:15" ht="15.75" customHeight="1">
      <c r="B91"/>
      <c r="C91"/>
      <c r="D91"/>
      <c r="E91"/>
    </row>
    <row r="92" spans="2:15" ht="15.75" customHeight="1">
      <c r="B92"/>
      <c r="C92"/>
      <c r="D92"/>
      <c r="E92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5" ht="15.75" customHeight="1">
      <c r="B93"/>
      <c r="C93"/>
      <c r="D93"/>
      <c r="E93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5" ht="15.75" customHeight="1">
      <c r="B94"/>
      <c r="C94"/>
      <c r="D94"/>
      <c r="E9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5" ht="15.75" customHeight="1">
      <c r="B95"/>
      <c r="C95"/>
      <c r="D95"/>
      <c r="E95"/>
      <c r="K95" s="29"/>
    </row>
    <row r="96" spans="2:15" ht="15.75" customHeight="1">
      <c r="B96"/>
      <c r="C96"/>
      <c r="D96"/>
      <c r="E96"/>
    </row>
    <row r="97" spans="2:15" ht="15.75" customHeight="1">
      <c r="B97"/>
      <c r="C97"/>
      <c r="D97"/>
      <c r="E97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2:15" ht="15.75" customHeight="1">
      <c r="B98"/>
      <c r="C98"/>
      <c r="D98"/>
      <c r="E98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2:15" ht="15.75" customHeight="1">
      <c r="B99"/>
      <c r="C99"/>
      <c r="D99"/>
      <c r="E99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2:15" ht="15.75" customHeight="1">
      <c r="B100"/>
      <c r="C100"/>
      <c r="D100"/>
      <c r="E100"/>
      <c r="K100" s="29"/>
    </row>
    <row r="101" spans="2:15" ht="15.75" customHeight="1">
      <c r="B101"/>
      <c r="C101"/>
      <c r="D101"/>
      <c r="E101"/>
    </row>
    <row r="102" spans="2:15" ht="15.75" customHeight="1">
      <c r="B102"/>
      <c r="C102"/>
      <c r="D102"/>
      <c r="E102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2:15" ht="15.75" customHeight="1">
      <c r="B103"/>
      <c r="C103"/>
      <c r="D103"/>
      <c r="E103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2:15" ht="15.75" customHeight="1">
      <c r="B104"/>
      <c r="C104"/>
      <c r="D104"/>
      <c r="E104"/>
      <c r="K104" s="29"/>
    </row>
    <row r="105" spans="2:15" ht="15.75" customHeight="1">
      <c r="B105"/>
      <c r="C105"/>
      <c r="D105"/>
      <c r="E105"/>
    </row>
    <row r="106" spans="2:15" ht="15.75" customHeight="1">
      <c r="B106"/>
      <c r="C106"/>
      <c r="D106"/>
      <c r="E106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2:15" ht="15.75" customHeight="1">
      <c r="B107"/>
      <c r="C107"/>
      <c r="D107"/>
      <c r="E107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2:15" ht="15.75" customHeight="1">
      <c r="B108"/>
      <c r="C108"/>
      <c r="D108"/>
      <c r="E108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2:15" ht="15.75" customHeight="1">
      <c r="B109"/>
      <c r="C109"/>
      <c r="D109"/>
      <c r="E109"/>
      <c r="K109" s="29"/>
    </row>
    <row r="110" spans="2:15" ht="15.75" customHeight="1">
      <c r="B110"/>
      <c r="C110"/>
      <c r="D110"/>
      <c r="E110"/>
    </row>
    <row r="111" spans="2:15" ht="15.75" customHeight="1">
      <c r="B111"/>
      <c r="C111"/>
      <c r="D111"/>
      <c r="E111"/>
    </row>
    <row r="112" spans="2:15" ht="15.75" customHeight="1">
      <c r="B112"/>
      <c r="C112"/>
      <c r="D112"/>
      <c r="E112"/>
      <c r="K112" s="10"/>
    </row>
    <row r="113" spans="2:15" ht="15.75" customHeight="1">
      <c r="B113"/>
      <c r="C113"/>
      <c r="D113"/>
      <c r="E113"/>
    </row>
    <row r="114" spans="2:15" ht="15.75" customHeight="1">
      <c r="B114"/>
      <c r="C114"/>
      <c r="D114"/>
      <c r="E114"/>
    </row>
    <row r="115" spans="2:15" ht="15.75" customHeight="1">
      <c r="B115"/>
      <c r="C115"/>
      <c r="D115"/>
      <c r="E115"/>
    </row>
    <row r="116" spans="2:15" ht="15.75" customHeight="1">
      <c r="B116"/>
      <c r="C116"/>
      <c r="D116"/>
      <c r="E116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2:15" ht="15.75" customHeight="1">
      <c r="B117"/>
      <c r="C117"/>
      <c r="D117"/>
      <c r="E117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2:15" ht="15.75" customHeight="1">
      <c r="B118"/>
      <c r="C118"/>
      <c r="D118"/>
      <c r="E1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2:15" ht="15.75" customHeight="1">
      <c r="B119"/>
      <c r="C119"/>
      <c r="D119"/>
      <c r="E119"/>
      <c r="K119" s="29"/>
    </row>
    <row r="120" spans="2:15" ht="15.75" customHeight="1">
      <c r="C120"/>
      <c r="D120"/>
      <c r="E120"/>
    </row>
    <row r="121" spans="2:15" ht="15.75" customHeight="1">
      <c r="B121"/>
      <c r="C121"/>
      <c r="D121"/>
      <c r="E121"/>
    </row>
    <row r="122" spans="2:15" ht="15.75" customHeight="1">
      <c r="B122"/>
      <c r="C122"/>
      <c r="D122"/>
      <c r="E122"/>
    </row>
    <row r="123" spans="2:15" ht="15.75" customHeight="1">
      <c r="B123"/>
      <c r="C123"/>
      <c r="D123"/>
      <c r="E123"/>
    </row>
    <row r="124" spans="2:15" ht="15.75" customHeight="1">
      <c r="B124"/>
      <c r="C124"/>
      <c r="D124"/>
      <c r="E124"/>
    </row>
    <row r="125" spans="2:15" ht="15.75" customHeight="1">
      <c r="B125"/>
      <c r="C125"/>
      <c r="D125"/>
      <c r="E125"/>
    </row>
    <row r="126" spans="2:15" ht="15.75" customHeight="1">
      <c r="B126"/>
      <c r="C126"/>
      <c r="D126"/>
      <c r="E126"/>
    </row>
    <row r="127" spans="2:15" ht="15.75" customHeight="1">
      <c r="B127"/>
      <c r="C127"/>
      <c r="D127"/>
      <c r="E127"/>
    </row>
    <row r="128" spans="2:15" ht="15.75" customHeight="1">
      <c r="B128"/>
      <c r="C128"/>
      <c r="D128"/>
      <c r="E128"/>
    </row>
    <row r="129" spans="2:5" ht="15.75" customHeight="1">
      <c r="B129"/>
      <c r="C129"/>
      <c r="D129"/>
      <c r="E129"/>
    </row>
    <row r="130" spans="2:5" ht="15.75" customHeight="1">
      <c r="B130"/>
      <c r="C130"/>
      <c r="D130"/>
      <c r="E130"/>
    </row>
    <row r="131" spans="2:5" ht="15.75" customHeight="1">
      <c r="B131"/>
      <c r="C131"/>
      <c r="D131"/>
      <c r="E131"/>
    </row>
    <row r="132" spans="2:5" ht="15.75" customHeight="1">
      <c r="B132"/>
      <c r="C132"/>
      <c r="D132"/>
      <c r="E132"/>
    </row>
    <row r="133" spans="2:5" ht="15.75" customHeight="1">
      <c r="B133"/>
      <c r="C133"/>
      <c r="D133"/>
      <c r="E133"/>
    </row>
    <row r="134" spans="2:5" ht="15.75" customHeight="1">
      <c r="B134"/>
      <c r="C134"/>
      <c r="D134"/>
      <c r="E134"/>
    </row>
    <row r="135" spans="2:5" ht="15.75" customHeight="1">
      <c r="B135"/>
      <c r="C135"/>
      <c r="D135"/>
      <c r="E135"/>
    </row>
    <row r="136" spans="2:5" ht="15.75" customHeight="1">
      <c r="B136"/>
      <c r="C136"/>
      <c r="D136"/>
      <c r="E136"/>
    </row>
    <row r="137" spans="2:5" ht="15.75" customHeight="1">
      <c r="B137"/>
      <c r="C137"/>
      <c r="D137"/>
      <c r="E137"/>
    </row>
    <row r="138" spans="2:5" ht="15.75" customHeight="1">
      <c r="B138"/>
      <c r="C138"/>
      <c r="D138"/>
      <c r="E138"/>
    </row>
    <row r="139" spans="2:5" ht="15.75" customHeight="1">
      <c r="B139"/>
      <c r="C139"/>
      <c r="D139"/>
      <c r="E139"/>
    </row>
    <row r="140" spans="2:5" ht="15.75" customHeight="1">
      <c r="B140"/>
      <c r="C140"/>
      <c r="D140"/>
      <c r="E140"/>
    </row>
    <row r="141" spans="2:5" ht="15.75" customHeight="1">
      <c r="B141"/>
      <c r="C141"/>
      <c r="D141"/>
      <c r="E141"/>
    </row>
    <row r="142" spans="2:5" ht="15.75" customHeight="1">
      <c r="B142"/>
      <c r="C142"/>
      <c r="D142"/>
      <c r="E142"/>
    </row>
    <row r="143" spans="2:5" ht="15.75" customHeight="1">
      <c r="B143"/>
      <c r="C143"/>
      <c r="D143"/>
      <c r="E143"/>
    </row>
  </sheetData>
  <mergeCells count="4">
    <mergeCell ref="A1:D1"/>
    <mergeCell ref="A2:D2"/>
    <mergeCell ref="A3:D3"/>
    <mergeCell ref="A4:D4"/>
  </mergeCells>
  <phoneticPr fontId="22" type="noConversion"/>
  <printOptions horizontalCentered="1"/>
  <pageMargins left="0.67" right="0.57999999999999996" top="0.75" bottom="1.28" header="0.5" footer="0.78"/>
  <pageSetup scale="66" orientation="portrait" verticalDpi="300" r:id="rId1"/>
  <headerFooter alignWithMargins="0">
    <oddFooter>&amp;RSchedule &amp;A
Page 1 of 1</oddFooter>
  </headerFooter>
  <rowBreaks count="1" manualBreakCount="1">
    <brk id="68" min="1" max="4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70"/>
  <sheetViews>
    <sheetView view="pageBreakPreview" zoomScale="60" zoomScaleNormal="90" workbookViewId="0">
      <selection activeCell="B32" sqref="B32"/>
    </sheetView>
  </sheetViews>
  <sheetFormatPr defaultColWidth="7.109375" defaultRowHeight="15"/>
  <cols>
    <col min="1" max="1" width="3.77734375" style="1" customWidth="1"/>
    <col min="2" max="2" width="66.77734375" style="1" bestFit="1" customWidth="1"/>
    <col min="3" max="3" width="13.33203125" style="1" customWidth="1"/>
    <col min="4" max="4" width="12.6640625" style="1" customWidth="1"/>
    <col min="5" max="10" width="7.109375" style="1"/>
    <col min="11" max="11" width="7.88671875" style="1" customWidth="1"/>
    <col min="12" max="12" width="8.5546875" style="1" customWidth="1"/>
    <col min="13" max="16384" width="7.109375" style="1"/>
  </cols>
  <sheetData>
    <row r="1" spans="1:10">
      <c r="A1" s="1172" t="str">
        <f>'Table of Contents'!A1:C1</f>
        <v>Atmos Energy Corporation, Kentucky/Mid-States Division</v>
      </c>
      <c r="B1" s="1172"/>
      <c r="C1" s="1172"/>
      <c r="D1" s="1172"/>
    </row>
    <row r="2" spans="1:10">
      <c r="A2" s="1172" t="str">
        <f>'Table of Contents'!A2:C2</f>
        <v>Kentucky Jurisdiction Case No. 2017-00349</v>
      </c>
      <c r="B2" s="1172"/>
      <c r="C2" s="1172"/>
      <c r="D2" s="1172"/>
    </row>
    <row r="3" spans="1:10">
      <c r="A3" s="1172" t="s">
        <v>435</v>
      </c>
      <c r="B3" s="1172"/>
      <c r="C3" s="1172"/>
      <c r="D3" s="1172"/>
    </row>
    <row r="4" spans="1:10">
      <c r="A4" s="1172" t="str">
        <f>'Table of Contents'!A4:C4</f>
        <v>Forecasted Test Period: Twelve Months Ended March 31, 2019</v>
      </c>
      <c r="B4" s="1172"/>
      <c r="C4" s="1172"/>
      <c r="D4" s="1172"/>
    </row>
    <row r="5" spans="1:10">
      <c r="D5" s="35"/>
      <c r="F5" s="26"/>
    </row>
    <row r="6" spans="1:10">
      <c r="B6" s="4" t="s">
        <v>686</v>
      </c>
      <c r="D6" s="549" t="s">
        <v>1462</v>
      </c>
      <c r="F6" s="26"/>
    </row>
    <row r="7" spans="1:10">
      <c r="B7" s="4" t="s">
        <v>621</v>
      </c>
      <c r="D7" s="499" t="s">
        <v>265</v>
      </c>
      <c r="F7" s="26"/>
    </row>
    <row r="8" spans="1:10">
      <c r="A8" s="33"/>
      <c r="B8" s="4" t="s">
        <v>369</v>
      </c>
      <c r="C8" s="33"/>
      <c r="D8" s="550" t="str">
        <f>D.1!P9</f>
        <v>Witness:  Waller, Martin</v>
      </c>
    </row>
    <row r="9" spans="1:10">
      <c r="A9" s="1" t="s">
        <v>1087</v>
      </c>
      <c r="B9" s="13"/>
      <c r="C9" s="35"/>
      <c r="D9" s="13"/>
    </row>
    <row r="10" spans="1:10">
      <c r="A10" s="33" t="s">
        <v>1088</v>
      </c>
      <c r="B10" s="130" t="s">
        <v>609</v>
      </c>
      <c r="C10" s="6"/>
      <c r="D10" s="9" t="s">
        <v>105</v>
      </c>
    </row>
    <row r="12" spans="1:10" ht="15.75">
      <c r="A12" s="54">
        <v>1</v>
      </c>
      <c r="B12" s="197" t="s">
        <v>610</v>
      </c>
      <c r="D12" s="81"/>
    </row>
    <row r="13" spans="1:10">
      <c r="A13" s="54">
        <v>2</v>
      </c>
      <c r="B13" s="81" t="s">
        <v>1367</v>
      </c>
      <c r="C13" s="4" t="s">
        <v>44</v>
      </c>
      <c r="D13" s="583">
        <f>'C.2.2-F 09'!P14</f>
        <v>21502805.8261499</v>
      </c>
      <c r="J13" s="10"/>
    </row>
    <row r="14" spans="1:10">
      <c r="A14" s="54">
        <v>3</v>
      </c>
      <c r="B14" s="81" t="s">
        <v>1215</v>
      </c>
      <c r="C14" s="4" t="s">
        <v>45</v>
      </c>
      <c r="D14" s="83">
        <f>'C.2.2 B 09'!P14</f>
        <v>18849734.532483872</v>
      </c>
    </row>
    <row r="15" spans="1:10">
      <c r="A15" s="54">
        <v>4</v>
      </c>
      <c r="C15" s="4" t="s">
        <v>151</v>
      </c>
      <c r="D15" s="583">
        <f>D13-D14</f>
        <v>2653071.2936660275</v>
      </c>
    </row>
    <row r="16" spans="1:10">
      <c r="A16" s="54">
        <v>5</v>
      </c>
      <c r="D16" s="166">
        <f>D15/D14</f>
        <v>0.14074846991048984</v>
      </c>
    </row>
    <row r="17" spans="1:10" ht="15.75">
      <c r="A17" s="54">
        <v>6</v>
      </c>
      <c r="B17" s="197" t="s">
        <v>611</v>
      </c>
      <c r="D17" s="166"/>
    </row>
    <row r="18" spans="1:10">
      <c r="A18" s="54">
        <v>7</v>
      </c>
      <c r="B18" s="88" t="s">
        <v>1216</v>
      </c>
      <c r="C18" s="4" t="s">
        <v>44</v>
      </c>
      <c r="D18" s="583">
        <f>'C.2.2-F 09'!P16</f>
        <v>6550583.127082617</v>
      </c>
      <c r="J18" s="10"/>
    </row>
    <row r="19" spans="1:10">
      <c r="A19" s="54">
        <v>8</v>
      </c>
      <c r="B19" s="88" t="s">
        <v>1217</v>
      </c>
      <c r="C19" s="4" t="s">
        <v>45</v>
      </c>
      <c r="D19" s="83">
        <f>'C.2.2 B 09'!P16</f>
        <v>4827152.1770496229</v>
      </c>
    </row>
    <row r="20" spans="1:10" ht="16.5" customHeight="1">
      <c r="A20" s="54">
        <v>9</v>
      </c>
      <c r="B20" s="81"/>
      <c r="C20" s="4" t="s">
        <v>151</v>
      </c>
      <c r="D20" s="583">
        <f>D18-D19</f>
        <v>1723430.9500329942</v>
      </c>
    </row>
    <row r="21" spans="1:10">
      <c r="A21" s="54">
        <v>10</v>
      </c>
      <c r="B21" s="81"/>
      <c r="D21" s="20">
        <f>D20/D19</f>
        <v>0.35702851014868209</v>
      </c>
    </row>
    <row r="22" spans="1:10">
      <c r="D22" s="28"/>
      <c r="J22" s="10"/>
    </row>
    <row r="23" spans="1:10">
      <c r="B23" s="4"/>
      <c r="C23" s="4"/>
      <c r="D23" s="28"/>
    </row>
    <row r="24" spans="1:10">
      <c r="B24"/>
      <c r="C24"/>
      <c r="D24"/>
      <c r="E24"/>
    </row>
    <row r="25" spans="1:10">
      <c r="B25"/>
      <c r="C25"/>
      <c r="D25"/>
      <c r="E25"/>
    </row>
    <row r="26" spans="1:10">
      <c r="B26"/>
      <c r="C26"/>
      <c r="D26"/>
      <c r="E26"/>
    </row>
    <row r="27" spans="1:10">
      <c r="B27"/>
      <c r="C27"/>
      <c r="D27"/>
      <c r="E27"/>
    </row>
    <row r="28" spans="1:10">
      <c r="B28"/>
      <c r="C28"/>
      <c r="D28"/>
      <c r="E28"/>
    </row>
    <row r="29" spans="1:10">
      <c r="B29"/>
      <c r="C29"/>
      <c r="D29"/>
      <c r="E29"/>
    </row>
    <row r="30" spans="1:10">
      <c r="B30"/>
      <c r="C30"/>
      <c r="D30"/>
      <c r="E30"/>
    </row>
    <row r="31" spans="1:10">
      <c r="B31"/>
      <c r="C31"/>
      <c r="D31"/>
      <c r="E31"/>
    </row>
    <row r="32" spans="1:10">
      <c r="B32"/>
      <c r="C32"/>
      <c r="D32"/>
      <c r="E32"/>
    </row>
    <row r="33" spans="2:5">
      <c r="B33"/>
      <c r="C33"/>
      <c r="D33"/>
      <c r="E33"/>
    </row>
    <row r="34" spans="2:5">
      <c r="B34"/>
      <c r="C34"/>
      <c r="D34"/>
      <c r="E34"/>
    </row>
    <row r="35" spans="2:5">
      <c r="B35"/>
      <c r="C35"/>
      <c r="D35"/>
      <c r="E35"/>
    </row>
    <row r="36" spans="2:5">
      <c r="B36"/>
      <c r="C36"/>
      <c r="D36"/>
      <c r="E36"/>
    </row>
    <row r="37" spans="2:5">
      <c r="B37"/>
      <c r="C37"/>
      <c r="D37"/>
      <c r="E37"/>
    </row>
    <row r="38" spans="2:5">
      <c r="B38"/>
      <c r="C38"/>
      <c r="D38"/>
      <c r="E38"/>
    </row>
    <row r="39" spans="2:5">
      <c r="B39"/>
      <c r="C39"/>
      <c r="D39"/>
      <c r="E39"/>
    </row>
    <row r="40" spans="2:5">
      <c r="B40"/>
      <c r="C40"/>
      <c r="D40"/>
      <c r="E40"/>
    </row>
    <row r="41" spans="2:5">
      <c r="B41"/>
      <c r="C41"/>
      <c r="D41"/>
      <c r="E41"/>
    </row>
    <row r="42" spans="2:5">
      <c r="B42"/>
      <c r="C42"/>
      <c r="D42"/>
      <c r="E42"/>
    </row>
    <row r="43" spans="2:5">
      <c r="B43"/>
      <c r="C43"/>
      <c r="D43"/>
      <c r="E43"/>
    </row>
    <row r="44" spans="2:5">
      <c r="B44"/>
      <c r="C44"/>
      <c r="D44"/>
      <c r="E44"/>
    </row>
    <row r="45" spans="2:5">
      <c r="B45"/>
      <c r="C45"/>
      <c r="D45"/>
      <c r="E45"/>
    </row>
    <row r="46" spans="2:5">
      <c r="B46"/>
      <c r="C46"/>
      <c r="D46"/>
      <c r="E46"/>
    </row>
    <row r="47" spans="2:5">
      <c r="B47"/>
      <c r="C47"/>
      <c r="D47"/>
      <c r="E47"/>
    </row>
    <row r="48" spans="2:5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  <row r="51" spans="2:5">
      <c r="B51"/>
      <c r="C51"/>
      <c r="D51"/>
      <c r="E51"/>
    </row>
    <row r="52" spans="2:5">
      <c r="B52"/>
      <c r="C52"/>
      <c r="D52"/>
      <c r="E52"/>
    </row>
    <row r="53" spans="2:5">
      <c r="B53"/>
      <c r="C53"/>
      <c r="D53"/>
      <c r="E53"/>
    </row>
    <row r="54" spans="2:5">
      <c r="B54"/>
      <c r="C54"/>
      <c r="D54"/>
      <c r="E54"/>
    </row>
    <row r="55" spans="2:5">
      <c r="B55"/>
      <c r="C55"/>
      <c r="D55"/>
      <c r="E55"/>
    </row>
    <row r="56" spans="2:5">
      <c r="B56"/>
      <c r="C56"/>
      <c r="D56"/>
      <c r="E56"/>
    </row>
    <row r="57" spans="2:5">
      <c r="B57"/>
      <c r="C57"/>
      <c r="D57"/>
      <c r="E57"/>
    </row>
    <row r="58" spans="2:5">
      <c r="B58"/>
      <c r="C58"/>
      <c r="D58"/>
      <c r="E58"/>
    </row>
    <row r="59" spans="2:5">
      <c r="B59"/>
      <c r="C59"/>
      <c r="D59"/>
      <c r="E59"/>
    </row>
    <row r="60" spans="2:5">
      <c r="B60"/>
      <c r="C60"/>
      <c r="D60"/>
      <c r="E60"/>
    </row>
    <row r="61" spans="2:5">
      <c r="B61"/>
      <c r="C61"/>
      <c r="D61"/>
      <c r="E61"/>
    </row>
    <row r="62" spans="2:5">
      <c r="B62"/>
      <c r="C62"/>
      <c r="D62"/>
      <c r="E62"/>
    </row>
    <row r="63" spans="2:5">
      <c r="B63"/>
      <c r="C63"/>
      <c r="D63"/>
      <c r="E63"/>
    </row>
    <row r="64" spans="2:5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</sheetData>
  <mergeCells count="4">
    <mergeCell ref="A1:D1"/>
    <mergeCell ref="A2:D2"/>
    <mergeCell ref="A3:D3"/>
    <mergeCell ref="A4:D4"/>
  </mergeCells>
  <phoneticPr fontId="22" type="noConversion"/>
  <pageMargins left="0.95" right="0.5" top="0.92" bottom="0.5" header="0.5" footer="0.5"/>
  <pageSetup scale="78" orientation="portrait" verticalDpi="300" r:id="rId1"/>
  <headerFooter alignWithMargins="0">
    <oddFooter>&amp;RSchedule &amp;A
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C23"/>
  <sheetViews>
    <sheetView view="pageBreakPreview" zoomScale="60" zoomScaleNormal="100" workbookViewId="0">
      <selection activeCell="E14" sqref="E14"/>
    </sheetView>
  </sheetViews>
  <sheetFormatPr defaultRowHeight="15"/>
  <cols>
    <col min="3" max="3" width="67.66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3" spans="1:3">
      <c r="A13" s="1157" t="s">
        <v>1463</v>
      </c>
      <c r="B13" s="1157"/>
      <c r="C13" s="1157"/>
    </row>
    <row r="15" spans="1:3" ht="15.75">
      <c r="A15" s="1178" t="s">
        <v>468</v>
      </c>
      <c r="B15" s="1178"/>
      <c r="C15" s="1178"/>
    </row>
    <row r="18" spans="1:3">
      <c r="A18" s="58" t="s">
        <v>59</v>
      </c>
      <c r="B18" s="58" t="s">
        <v>620</v>
      </c>
      <c r="C18" s="58" t="s">
        <v>993</v>
      </c>
    </row>
    <row r="20" spans="1:3">
      <c r="A20" s="53" t="s">
        <v>835</v>
      </c>
      <c r="B20" s="53">
        <v>1</v>
      </c>
      <c r="C20" t="s">
        <v>468</v>
      </c>
    </row>
    <row r="21" spans="1:3">
      <c r="B21" s="53"/>
    </row>
    <row r="22" spans="1:3">
      <c r="B22" s="53"/>
    </row>
    <row r="23" spans="1:3">
      <c r="B23" s="53"/>
    </row>
  </sheetData>
  <mergeCells count="6">
    <mergeCell ref="A4:C4"/>
    <mergeCell ref="A13:C13"/>
    <mergeCell ref="A15:C15"/>
    <mergeCell ref="A1:C1"/>
    <mergeCell ref="A2:C2"/>
    <mergeCell ref="A3:C3"/>
  </mergeCells>
  <phoneticPr fontId="22" type="noConversion"/>
  <pageMargins left="0.75" right="0.75" top="1" bottom="1" header="0.5" footer="0.5"/>
  <pageSetup scale="87" orientation="portrait" r:id="rId1"/>
  <headerFooter alignWithMargins="0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24"/>
  <sheetViews>
    <sheetView view="pageBreakPreview" zoomScale="60" zoomScaleNormal="100" workbookViewId="0">
      <selection activeCell="C6" sqref="C6"/>
    </sheetView>
  </sheetViews>
  <sheetFormatPr defaultRowHeight="15"/>
  <cols>
    <col min="1" max="1" width="10" customWidth="1"/>
    <col min="3" max="3" width="74.44140625" bestFit="1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9" spans="1:3">
      <c r="A9" s="1157" t="s">
        <v>1442</v>
      </c>
      <c r="B9" s="1157"/>
      <c r="C9" s="1157"/>
    </row>
    <row r="11" spans="1:3" ht="15.75">
      <c r="A11" s="1161" t="s">
        <v>272</v>
      </c>
      <c r="B11" s="1161"/>
      <c r="C11" s="1161"/>
    </row>
    <row r="14" spans="1:3" ht="15.75">
      <c r="A14" s="303" t="s">
        <v>59</v>
      </c>
      <c r="B14" s="461" t="s">
        <v>620</v>
      </c>
      <c r="C14" s="303" t="s">
        <v>993</v>
      </c>
    </row>
    <row r="15" spans="1:3">
      <c r="A15" s="78"/>
      <c r="B15" s="196"/>
      <c r="C15" s="40"/>
    </row>
    <row r="16" spans="1:3">
      <c r="A16" s="227" t="s">
        <v>371</v>
      </c>
      <c r="B16" s="462">
        <v>2</v>
      </c>
      <c r="C16" s="40" t="s">
        <v>172</v>
      </c>
    </row>
    <row r="17" spans="1:3">
      <c r="A17" s="227" t="s">
        <v>684</v>
      </c>
      <c r="B17" s="462">
        <v>14</v>
      </c>
      <c r="C17" s="40" t="s">
        <v>535</v>
      </c>
    </row>
    <row r="18" spans="1:3">
      <c r="A18" s="227" t="s">
        <v>685</v>
      </c>
      <c r="B18" s="462">
        <v>14</v>
      </c>
      <c r="C18" s="40" t="s">
        <v>421</v>
      </c>
    </row>
    <row r="19" spans="1:3">
      <c r="A19" s="227" t="s">
        <v>1128</v>
      </c>
      <c r="B19" s="462">
        <v>5</v>
      </c>
      <c r="C19" s="40" t="s">
        <v>92</v>
      </c>
    </row>
    <row r="20" spans="1:3">
      <c r="A20" s="227" t="s">
        <v>80</v>
      </c>
      <c r="B20" s="462">
        <v>2</v>
      </c>
      <c r="C20" s="40" t="s">
        <v>81</v>
      </c>
    </row>
    <row r="21" spans="1:3">
      <c r="A21" s="227" t="s">
        <v>83</v>
      </c>
      <c r="B21" s="462">
        <v>2</v>
      </c>
      <c r="C21" s="40" t="s">
        <v>854</v>
      </c>
    </row>
    <row r="22" spans="1:3">
      <c r="A22" s="227" t="s">
        <v>82</v>
      </c>
      <c r="B22" s="462">
        <v>2</v>
      </c>
      <c r="C22" s="40" t="s">
        <v>855</v>
      </c>
    </row>
    <row r="23" spans="1:3">
      <c r="A23" s="227" t="s">
        <v>85</v>
      </c>
      <c r="B23" s="462">
        <v>2</v>
      </c>
      <c r="C23" s="40" t="s">
        <v>634</v>
      </c>
    </row>
    <row r="24" spans="1:3">
      <c r="A24" s="227" t="s">
        <v>814</v>
      </c>
      <c r="B24" s="462">
        <v>2</v>
      </c>
      <c r="C24" s="4" t="s">
        <v>639</v>
      </c>
    </row>
  </sheetData>
  <mergeCells count="6">
    <mergeCell ref="A9:C9"/>
    <mergeCell ref="A11:C11"/>
    <mergeCell ref="A1:C1"/>
    <mergeCell ref="A2:C2"/>
    <mergeCell ref="A3:C3"/>
    <mergeCell ref="A4:C4"/>
  </mergeCells>
  <phoneticPr fontId="22" type="noConversion"/>
  <printOptions horizontalCentered="1"/>
  <pageMargins left="0.75" right="0.75" top="1" bottom="1" header="0.5" footer="0.5"/>
  <pageSetup scale="78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AH43"/>
  <sheetViews>
    <sheetView view="pageBreakPreview" zoomScale="70" zoomScaleNormal="90" zoomScaleSheetLayoutView="70" workbookViewId="0">
      <selection activeCell="E28" sqref="E28"/>
    </sheetView>
  </sheetViews>
  <sheetFormatPr defaultColWidth="13.88671875" defaultRowHeight="15"/>
  <cols>
    <col min="1" max="1" width="3.6640625" style="36" customWidth="1"/>
    <col min="2" max="2" width="16.21875" style="36" customWidth="1"/>
    <col min="3" max="3" width="11" style="36" customWidth="1"/>
    <col min="4" max="4" width="12.33203125" style="36" customWidth="1"/>
    <col min="5" max="5" width="13.109375" style="36" customWidth="1"/>
    <col min="6" max="6" width="12.5546875" style="36" customWidth="1"/>
    <col min="7" max="7" width="13.109375" style="36" customWidth="1"/>
    <col min="8" max="8" width="8.6640625" style="36" customWidth="1"/>
    <col min="9" max="9" width="13.88671875" style="36" customWidth="1"/>
    <col min="10" max="10" width="15.109375" style="36" customWidth="1"/>
    <col min="11" max="16384" width="13.88671875" style="36"/>
  </cols>
  <sheetData>
    <row r="1" spans="1:16">
      <c r="A1" s="1171" t="str">
        <f>'Table of Contents'!A1:C1</f>
        <v>Atmos Energy Corporation, Kentucky/Mid-States Division</v>
      </c>
      <c r="B1" s="1171"/>
      <c r="C1" s="1171"/>
      <c r="D1" s="1171"/>
      <c r="E1" s="1171"/>
      <c r="F1" s="1171"/>
      <c r="G1" s="1171"/>
      <c r="H1" s="1171"/>
      <c r="I1" s="30"/>
      <c r="M1" s="37"/>
      <c r="O1" s="37"/>
      <c r="P1" s="37"/>
    </row>
    <row r="2" spans="1:16">
      <c r="A2" s="1171" t="str">
        <f>'Table of Contents'!A2:C2</f>
        <v>Kentucky Jurisdiction Case No. 2017-00349</v>
      </c>
      <c r="B2" s="1171"/>
      <c r="C2" s="1171"/>
      <c r="D2" s="1171"/>
      <c r="E2" s="1171"/>
      <c r="F2" s="1171"/>
      <c r="G2" s="1171"/>
      <c r="H2" s="1171"/>
      <c r="I2" s="30"/>
      <c r="P2" s="37"/>
    </row>
    <row r="3" spans="1:16">
      <c r="A3" s="1171" t="s">
        <v>152</v>
      </c>
      <c r="B3" s="1171"/>
      <c r="C3" s="1171"/>
      <c r="D3" s="1171"/>
      <c r="E3" s="1171"/>
      <c r="F3" s="1171"/>
      <c r="G3" s="1171"/>
      <c r="H3" s="1171"/>
      <c r="I3" s="30"/>
    </row>
    <row r="4" spans="1:16">
      <c r="A4" s="1171" t="str">
        <f>'Table of Contents'!A3:C3</f>
        <v>Base Period: Twelve Months Ended December 31, 2017</v>
      </c>
      <c r="B4" s="1171"/>
      <c r="C4" s="1171"/>
      <c r="D4" s="1171"/>
      <c r="E4" s="1171"/>
      <c r="F4" s="1171"/>
      <c r="G4" s="1171"/>
      <c r="H4" s="1171"/>
      <c r="I4" s="30"/>
      <c r="M4" s="37"/>
      <c r="O4" s="37"/>
      <c r="P4" s="37"/>
    </row>
    <row r="5" spans="1:16">
      <c r="A5" s="1171" t="str">
        <f>'Table of Contents'!A4:C4</f>
        <v>Forecasted Test Period: Twelve Months Ended March 31, 2019</v>
      </c>
      <c r="B5" s="1171"/>
      <c r="C5" s="1171"/>
      <c r="D5" s="1171"/>
      <c r="E5" s="1171"/>
      <c r="F5" s="1171"/>
      <c r="G5" s="1171"/>
      <c r="H5" s="1171"/>
      <c r="I5" s="30"/>
      <c r="M5" s="37"/>
      <c r="O5" s="37"/>
      <c r="P5" s="37"/>
    </row>
    <row r="6" spans="1:16">
      <c r="A6" s="4"/>
      <c r="B6" s="49"/>
      <c r="C6" s="49"/>
      <c r="D6" s="50"/>
      <c r="P6" s="37"/>
    </row>
    <row r="7" spans="1:16">
      <c r="B7" s="50"/>
      <c r="C7" s="50"/>
      <c r="D7" s="50"/>
      <c r="H7" s="377" t="s">
        <v>1435</v>
      </c>
      <c r="I7" s="4"/>
    </row>
    <row r="8" spans="1:16">
      <c r="A8" s="4" t="s">
        <v>621</v>
      </c>
      <c r="B8" s="50"/>
      <c r="C8" s="50"/>
      <c r="D8" s="50"/>
      <c r="H8" s="490" t="s">
        <v>836</v>
      </c>
      <c r="I8" s="4"/>
      <c r="M8" s="37"/>
      <c r="O8" s="37"/>
      <c r="P8" s="37"/>
    </row>
    <row r="9" spans="1:16">
      <c r="A9" s="51" t="s">
        <v>369</v>
      </c>
      <c r="B9" s="38"/>
      <c r="C9" s="38"/>
      <c r="D9" s="38"/>
      <c r="E9" s="154"/>
      <c r="F9" s="154"/>
      <c r="G9" s="154"/>
      <c r="H9" s="551" t="s">
        <v>1326</v>
      </c>
      <c r="I9" s="50"/>
      <c r="M9" s="37"/>
      <c r="P9" s="37"/>
    </row>
    <row r="10" spans="1:16">
      <c r="E10" s="50"/>
      <c r="F10" s="49"/>
      <c r="G10" s="50"/>
      <c r="H10" s="49"/>
      <c r="I10" s="50"/>
    </row>
    <row r="11" spans="1:16">
      <c r="A11" s="37" t="s">
        <v>94</v>
      </c>
      <c r="E11" s="34" t="s">
        <v>328</v>
      </c>
      <c r="F11" s="2"/>
      <c r="G11" s="54" t="s">
        <v>320</v>
      </c>
      <c r="H11" s="54" t="s">
        <v>140</v>
      </c>
      <c r="I11" s="222"/>
    </row>
    <row r="12" spans="1:16">
      <c r="A12" s="39" t="s">
        <v>100</v>
      </c>
      <c r="B12" s="39" t="s">
        <v>993</v>
      </c>
      <c r="C12" s="38"/>
      <c r="D12" s="38"/>
      <c r="E12" s="9" t="s">
        <v>994</v>
      </c>
      <c r="F12" s="9" t="s">
        <v>995</v>
      </c>
      <c r="G12" s="9" t="s">
        <v>837</v>
      </c>
      <c r="H12" s="9" t="s">
        <v>454</v>
      </c>
      <c r="I12" s="34"/>
    </row>
    <row r="13" spans="1:16">
      <c r="E13" s="2" t="s">
        <v>1101</v>
      </c>
      <c r="F13" s="2" t="s">
        <v>1102</v>
      </c>
      <c r="G13" s="2" t="s">
        <v>1103</v>
      </c>
      <c r="H13" s="2"/>
      <c r="I13" s="34"/>
    </row>
    <row r="14" spans="1:16">
      <c r="E14" s="2"/>
      <c r="F14" s="2"/>
      <c r="G14" s="2"/>
      <c r="H14" s="2"/>
      <c r="I14" s="34"/>
    </row>
    <row r="15" spans="1:16">
      <c r="A15" s="54">
        <v>1</v>
      </c>
      <c r="B15" s="36" t="s">
        <v>838</v>
      </c>
      <c r="E15" s="552">
        <f>+C.2!D14-SUM(C.2!D17:D27)</f>
        <v>40771956.351811677</v>
      </c>
      <c r="F15" s="552">
        <f>+G15-E15</f>
        <v>-2601982.4235634357</v>
      </c>
      <c r="G15" s="552">
        <f>C.2!O14-SUM(C.2!O17:O27)</f>
        <v>38169973.928248242</v>
      </c>
      <c r="H15" s="2" t="s">
        <v>141</v>
      </c>
      <c r="I15" s="34"/>
    </row>
    <row r="16" spans="1:16">
      <c r="A16" s="54"/>
      <c r="E16" s="19"/>
      <c r="F16" s="19"/>
      <c r="G16" s="19"/>
      <c r="H16" s="2"/>
      <c r="I16" s="2"/>
    </row>
    <row r="17" spans="1:34">
      <c r="A17" s="54">
        <v>2</v>
      </c>
      <c r="B17" s="36" t="s">
        <v>212</v>
      </c>
      <c r="E17" s="159">
        <f>+E32</f>
        <v>8242325.4719855431</v>
      </c>
      <c r="F17" s="159">
        <f>+G17-E17</f>
        <v>1646320.757985089</v>
      </c>
      <c r="G17" s="159">
        <f>+G32</f>
        <v>9888646.2299706321</v>
      </c>
      <c r="H17" s="2" t="s">
        <v>782</v>
      </c>
      <c r="I17" s="2"/>
    </row>
    <row r="18" spans="1:34">
      <c r="A18" s="54"/>
      <c r="E18" s="19"/>
      <c r="F18" s="19"/>
      <c r="G18" s="19"/>
      <c r="H18" s="2"/>
      <c r="I18" s="2"/>
    </row>
    <row r="19" spans="1:34">
      <c r="A19" s="54">
        <v>3</v>
      </c>
      <c r="B19" s="36" t="s">
        <v>819</v>
      </c>
      <c r="E19" s="552">
        <f>+E15-E17</f>
        <v>32529630.879826136</v>
      </c>
      <c r="F19" s="552">
        <f>+F15-F17</f>
        <v>-4248303.1815485246</v>
      </c>
      <c r="G19" s="552">
        <f>+G15-G17</f>
        <v>28281327.698277608</v>
      </c>
      <c r="H19" s="2"/>
      <c r="I19" s="2"/>
    </row>
    <row r="20" spans="1:34">
      <c r="A20" s="54"/>
      <c r="E20" s="19"/>
      <c r="F20" s="19"/>
      <c r="G20" s="19"/>
      <c r="H20" s="2"/>
      <c r="I20" s="2"/>
    </row>
    <row r="21" spans="1:34">
      <c r="A21" s="54">
        <v>4</v>
      </c>
      <c r="B21" s="36" t="s">
        <v>153</v>
      </c>
      <c r="E21" s="160">
        <f>0.06+0.35*(1-0.06)</f>
        <v>0.38899999999999996</v>
      </c>
      <c r="F21" s="160"/>
      <c r="G21" s="160">
        <f>Allocation!E25</f>
        <v>0.38900000000000001</v>
      </c>
      <c r="H21" s="2" t="s">
        <v>505</v>
      </c>
      <c r="I21" s="2"/>
    </row>
    <row r="22" spans="1:34">
      <c r="A22" s="54"/>
      <c r="E22" s="19"/>
      <c r="F22" s="19"/>
      <c r="G22" s="19"/>
      <c r="H22" s="2"/>
      <c r="I22" s="2"/>
    </row>
    <row r="23" spans="1:34" ht="16.5" thickBot="1">
      <c r="A23" s="54">
        <v>5</v>
      </c>
      <c r="B23" s="161" t="s">
        <v>1158</v>
      </c>
      <c r="E23" s="553">
        <f>+E19*E21</f>
        <v>12654026.412252365</v>
      </c>
      <c r="F23" s="553">
        <f>+G23-E23</f>
        <v>-1652589.9376223758</v>
      </c>
      <c r="G23" s="554">
        <f>+G19*G21</f>
        <v>11001436.474629989</v>
      </c>
      <c r="H23" s="2"/>
      <c r="I23" s="2"/>
    </row>
    <row r="24" spans="1:34" ht="16.5" thickTop="1">
      <c r="A24" s="54"/>
      <c r="B24" s="161"/>
      <c r="E24" s="72"/>
      <c r="F24" s="19"/>
      <c r="G24" s="162"/>
      <c r="H24" s="2"/>
      <c r="I24" s="2"/>
    </row>
    <row r="25" spans="1:34" ht="15.75">
      <c r="A25" s="54"/>
      <c r="B25" s="161"/>
      <c r="E25" s="72"/>
      <c r="F25" s="19"/>
      <c r="G25" s="162"/>
      <c r="H25" s="2"/>
      <c r="I25" s="2"/>
    </row>
    <row r="26" spans="1:34">
      <c r="A26" s="54"/>
      <c r="E26" s="19"/>
      <c r="F26" s="19"/>
      <c r="G26" s="19"/>
      <c r="H26" s="2"/>
      <c r="I26" s="2"/>
    </row>
    <row r="27" spans="1:34">
      <c r="A27" s="54"/>
      <c r="B27" s="163" t="s">
        <v>1159</v>
      </c>
      <c r="E27" s="19"/>
      <c r="F27" s="19"/>
      <c r="G27" s="19"/>
      <c r="H27" s="2"/>
      <c r="I27" s="2"/>
    </row>
    <row r="28" spans="1:34" s="1" customFormat="1">
      <c r="A28" s="54">
        <v>6</v>
      </c>
      <c r="B28" s="156" t="s">
        <v>22</v>
      </c>
      <c r="E28" s="555">
        <f>+'B.1 B'!F27</f>
        <v>366554327.38816023</v>
      </c>
      <c r="F28" s="155"/>
      <c r="G28" s="556">
        <f>+'B.1 F '!F27</f>
        <v>426999485.2838006</v>
      </c>
      <c r="H28" s="54" t="s">
        <v>371</v>
      </c>
      <c r="J28" s="36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1" customFormat="1">
      <c r="A29" s="54"/>
      <c r="J29" s="36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1" customFormat="1">
      <c r="A30" s="54">
        <v>7</v>
      </c>
      <c r="B30" s="156" t="s">
        <v>142</v>
      </c>
      <c r="E30" s="158">
        <f>J.1!N21</f>
        <v>2.2485958713719913E-2</v>
      </c>
      <c r="G30" s="158">
        <f>J.1!V21</f>
        <v>2.3158450000000001E-2</v>
      </c>
      <c r="H30" s="54" t="s">
        <v>1144</v>
      </c>
      <c r="I30" s="69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1" customFormat="1">
      <c r="A31" s="54"/>
      <c r="I31" s="594"/>
      <c r="J31" s="36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1" customFormat="1" ht="15.75" thickBot="1">
      <c r="A32" s="54">
        <v>8</v>
      </c>
      <c r="B32" s="157" t="s">
        <v>1063</v>
      </c>
      <c r="E32" s="331">
        <f>+E28*E30</f>
        <v>8242325.4719855431</v>
      </c>
      <c r="G32" s="331">
        <f>+G28*G30</f>
        <v>9888646.2299706321</v>
      </c>
      <c r="J32" s="36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1" customFormat="1" ht="15.75" thickTop="1">
      <c r="A33" s="54"/>
      <c r="J33" s="36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1" customFormat="1">
      <c r="A34" s="54"/>
      <c r="B34" s="81"/>
      <c r="C34" s="81"/>
      <c r="D34" s="81"/>
      <c r="E34" s="81"/>
      <c r="F34" s="81"/>
      <c r="J34" s="36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" customFormat="1">
      <c r="A35" s="54">
        <v>9</v>
      </c>
      <c r="B35" s="658" t="s">
        <v>1368</v>
      </c>
      <c r="C35" s="81"/>
      <c r="D35" s="81"/>
      <c r="E35" s="81"/>
      <c r="F35" s="81"/>
      <c r="I35" s="695"/>
      <c r="J35" s="69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>
      <c r="A36" s="54">
        <v>10</v>
      </c>
      <c r="B36" s="655" t="s">
        <v>1160</v>
      </c>
      <c r="C36" s="656"/>
      <c r="D36" s="656"/>
      <c r="E36" s="657">
        <v>0.06</v>
      </c>
      <c r="F36" s="656"/>
      <c r="I36" s="695"/>
      <c r="J36" s="694"/>
    </row>
    <row r="37" spans="1:34">
      <c r="A37" s="54">
        <v>11</v>
      </c>
      <c r="B37" s="655" t="s">
        <v>1161</v>
      </c>
      <c r="C37" s="656"/>
      <c r="D37" s="656"/>
      <c r="E37" s="657">
        <v>0.35</v>
      </c>
      <c r="F37" s="656"/>
      <c r="I37" s="695"/>
      <c r="J37" s="694"/>
    </row>
    <row r="38" spans="1:34">
      <c r="B38" s="656"/>
      <c r="C38" s="656"/>
      <c r="D38" s="656"/>
      <c r="E38" s="657"/>
      <c r="F38" s="656"/>
      <c r="I38" s="694"/>
      <c r="J38" s="694"/>
    </row>
    <row r="39" spans="1:34">
      <c r="E39" s="164"/>
    </row>
    <row r="40" spans="1:34">
      <c r="E40" s="164"/>
    </row>
    <row r="41" spans="1:34">
      <c r="G41" s="696"/>
    </row>
    <row r="43" spans="1:34">
      <c r="E43" s="164"/>
    </row>
  </sheetData>
  <mergeCells count="5">
    <mergeCell ref="A2:H2"/>
    <mergeCell ref="A3:H3"/>
    <mergeCell ref="A4:H4"/>
    <mergeCell ref="A5:H5"/>
    <mergeCell ref="A1:H1"/>
  </mergeCells>
  <phoneticPr fontId="22" type="noConversion"/>
  <pageMargins left="1.05" right="0.5" top="0.9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C29"/>
  <sheetViews>
    <sheetView view="pageBreakPreview" zoomScale="60" zoomScaleNormal="100" workbookViewId="0">
      <selection activeCell="D31" sqref="D31"/>
    </sheetView>
  </sheetViews>
  <sheetFormatPr defaultRowHeight="15"/>
  <cols>
    <col min="3" max="3" width="45.44140625" customWidth="1"/>
  </cols>
  <sheetData>
    <row r="1" spans="1:3">
      <c r="A1" s="1157" t="str">
        <f>'Table of Contents'!A1:C1</f>
        <v>Atmos Energy Corporation, Kentucky/Mid-States Division</v>
      </c>
      <c r="B1" s="1157"/>
      <c r="C1" s="1157"/>
    </row>
    <row r="2" spans="1:3">
      <c r="A2" s="1157" t="str">
        <f>'Table of Contents'!A2:C2</f>
        <v>Kentucky Jurisdiction Case No. 2017-00349</v>
      </c>
      <c r="B2" s="1157"/>
      <c r="C2" s="1157"/>
    </row>
    <row r="3" spans="1:3">
      <c r="A3" s="1157" t="str">
        <f>'Table of Contents'!A3:C3</f>
        <v>Base Period: Twelve Months Ended December 31, 2017</v>
      </c>
      <c r="B3" s="1157"/>
      <c r="C3" s="1157"/>
    </row>
    <row r="4" spans="1:3">
      <c r="A4" s="1157" t="str">
        <f>'Table of Contents'!A4:C4</f>
        <v>Forecasted Test Period: Twelve Months Ended March 31, 2019</v>
      </c>
      <c r="B4" s="1157"/>
      <c r="C4" s="1157"/>
    </row>
    <row r="11" spans="1:3">
      <c r="A11" s="1157" t="s">
        <v>1464</v>
      </c>
      <c r="B11" s="1157"/>
      <c r="C11" s="1157"/>
    </row>
    <row r="13" spans="1:3">
      <c r="A13" s="1157"/>
      <c r="B13" s="1157"/>
      <c r="C13" s="1157"/>
    </row>
    <row r="16" spans="1:3">
      <c r="A16" s="58" t="s">
        <v>59</v>
      </c>
      <c r="B16" s="58" t="s">
        <v>620</v>
      </c>
      <c r="C16" s="58" t="s">
        <v>993</v>
      </c>
    </row>
    <row r="18" spans="1:3">
      <c r="A18" t="s">
        <v>551</v>
      </c>
      <c r="B18" s="177">
        <v>2</v>
      </c>
      <c r="C18" t="s">
        <v>552</v>
      </c>
    </row>
    <row r="19" spans="1:3">
      <c r="A19" t="s">
        <v>553</v>
      </c>
      <c r="B19" s="177">
        <v>1</v>
      </c>
      <c r="C19" t="s">
        <v>554</v>
      </c>
    </row>
    <row r="20" spans="1:3">
      <c r="A20" t="s">
        <v>506</v>
      </c>
      <c r="B20" s="177">
        <v>1</v>
      </c>
      <c r="C20" t="s">
        <v>555</v>
      </c>
    </row>
    <row r="21" spans="1:3">
      <c r="A21" t="s">
        <v>556</v>
      </c>
      <c r="B21" s="177">
        <v>1</v>
      </c>
      <c r="C21" t="s">
        <v>557</v>
      </c>
    </row>
    <row r="22" spans="1:3">
      <c r="A22" t="s">
        <v>507</v>
      </c>
      <c r="B22" s="177">
        <v>1</v>
      </c>
      <c r="C22" t="s">
        <v>558</v>
      </c>
    </row>
    <row r="23" spans="1:3">
      <c r="A23" t="s">
        <v>559</v>
      </c>
      <c r="B23" s="177">
        <v>1</v>
      </c>
      <c r="C23" t="s">
        <v>962</v>
      </c>
    </row>
    <row r="24" spans="1:3">
      <c r="A24" t="s">
        <v>560</v>
      </c>
      <c r="B24" s="177">
        <v>1</v>
      </c>
      <c r="C24" t="s">
        <v>561</v>
      </c>
    </row>
    <row r="25" spans="1:3">
      <c r="A25" t="s">
        <v>562</v>
      </c>
      <c r="B25" s="177">
        <v>1</v>
      </c>
      <c r="C25" t="s">
        <v>221</v>
      </c>
    </row>
    <row r="26" spans="1:3">
      <c r="A26" t="s">
        <v>563</v>
      </c>
      <c r="B26" s="177">
        <v>1</v>
      </c>
      <c r="C26" t="s">
        <v>564</v>
      </c>
    </row>
    <row r="27" spans="1:3">
      <c r="A27" t="s">
        <v>980</v>
      </c>
      <c r="B27" s="177">
        <v>1</v>
      </c>
      <c r="C27" t="s">
        <v>565</v>
      </c>
    </row>
    <row r="28" spans="1:3">
      <c r="A28" t="s">
        <v>1318</v>
      </c>
      <c r="B28" s="679">
        <v>1</v>
      </c>
      <c r="C28" t="s">
        <v>1319</v>
      </c>
    </row>
    <row r="29" spans="1:3">
      <c r="A29" t="s">
        <v>1395</v>
      </c>
      <c r="B29" s="846">
        <v>1</v>
      </c>
      <c r="C29" t="s">
        <v>1521</v>
      </c>
    </row>
  </sheetData>
  <mergeCells count="6">
    <mergeCell ref="A4:C4"/>
    <mergeCell ref="A11:C11"/>
    <mergeCell ref="A13:C13"/>
    <mergeCell ref="A1:C1"/>
    <mergeCell ref="A2:C2"/>
    <mergeCell ref="A3:C3"/>
  </mergeCells>
  <phoneticPr fontId="22" type="noConversion"/>
  <printOptions horizontalCentered="1"/>
  <pageMargins left="0.75" right="0.75" top="1" bottom="1" header="0.5" footer="0.5"/>
  <pageSetup orientation="portrait" r:id="rId1"/>
  <headerFooter alignWithMargins="0"/>
  <colBreaks count="1" manualBreakCount="1">
    <brk id="3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160"/>
  <sheetViews>
    <sheetView view="pageBreakPreview" zoomScale="60" zoomScaleNormal="90" workbookViewId="0">
      <pane ySplit="11" topLeftCell="A12" activePane="bottomLeft" state="frozen"/>
      <selection activeCell="F45" sqref="F45"/>
      <selection pane="bottomLeft" activeCell="F45" sqref="F45"/>
    </sheetView>
  </sheetViews>
  <sheetFormatPr defaultColWidth="11.21875" defaultRowHeight="15"/>
  <cols>
    <col min="1" max="1" width="4.6640625" style="438" customWidth="1"/>
    <col min="2" max="2" width="9.5546875" style="438" customWidth="1"/>
    <col min="3" max="3" width="56.5546875" style="438" customWidth="1"/>
    <col min="4" max="4" width="10.6640625" style="438" customWidth="1"/>
    <col min="5" max="5" width="13.5546875" style="438" customWidth="1"/>
    <col min="6" max="6" width="11.6640625" style="438" customWidth="1"/>
    <col min="7" max="7" width="3.6640625" style="438" customWidth="1"/>
    <col min="8" max="8" width="7.6640625" style="438" customWidth="1"/>
    <col min="9" max="9" width="4.6640625" style="438" customWidth="1"/>
    <col min="10" max="10" width="23.6640625" style="438" customWidth="1"/>
    <col min="11" max="12" width="10.6640625" style="438" customWidth="1"/>
    <col min="13" max="13" width="11.6640625" style="438" customWidth="1"/>
    <col min="14" max="14" width="10.6640625" style="438" customWidth="1"/>
    <col min="15" max="15" width="9.6640625" style="438" customWidth="1"/>
    <col min="16" max="16" width="14.6640625" style="438" customWidth="1"/>
    <col min="17" max="17" width="5.6640625" style="438" customWidth="1"/>
    <col min="18" max="18" width="4.6640625" style="438" customWidth="1"/>
    <col min="19" max="19" width="9.6640625" style="438" customWidth="1"/>
    <col min="20" max="20" width="20.6640625" style="438" customWidth="1"/>
    <col min="21" max="21" width="9.6640625" style="438" customWidth="1"/>
    <col min="22" max="22" width="15.6640625" style="438" customWidth="1"/>
    <col min="23" max="23" width="9.6640625" style="438" customWidth="1"/>
    <col min="24" max="24" width="6.6640625" style="438" customWidth="1"/>
    <col min="25" max="25" width="9.6640625" style="438" customWidth="1"/>
    <col min="26" max="26" width="16.6640625" style="438" customWidth="1"/>
    <col min="27" max="27" width="9.6640625" style="438" customWidth="1"/>
    <col min="28" max="28" width="5.6640625" style="438" customWidth="1"/>
    <col min="29" max="29" width="10.6640625" style="438" customWidth="1"/>
    <col min="30" max="30" width="19.6640625" style="438" customWidth="1"/>
    <col min="31" max="31" width="9.6640625" style="438" customWidth="1"/>
    <col min="32" max="32" width="16.6640625" style="438" customWidth="1"/>
    <col min="33" max="33" width="11.21875" style="438"/>
    <col min="34" max="34" width="5.6640625" style="438" customWidth="1"/>
    <col min="35" max="35" width="10.6640625" style="438" customWidth="1"/>
    <col min="36" max="36" width="17.6640625" style="438" customWidth="1"/>
    <col min="37" max="37" width="10.6640625" style="438" customWidth="1"/>
    <col min="38" max="38" width="24.6640625" style="438" customWidth="1"/>
    <col min="39" max="40" width="9.6640625" style="438" customWidth="1"/>
    <col min="41" max="41" width="11.6640625" style="438" customWidth="1"/>
    <col min="42" max="43" width="9.6640625" style="438" customWidth="1"/>
    <col min="44" max="44" width="13.6640625" style="438" customWidth="1"/>
    <col min="45" max="45" width="19.6640625" style="438" customWidth="1"/>
    <col min="46" max="46" width="14.6640625" style="438" customWidth="1"/>
    <col min="47" max="50" width="11.21875" style="438"/>
    <col min="51" max="51" width="9.6640625" style="438" customWidth="1"/>
    <col min="52" max="52" width="14.6640625" style="438" customWidth="1"/>
    <col min="53" max="54" width="11.21875" style="438"/>
    <col min="55" max="55" width="12.6640625" style="438" customWidth="1"/>
    <col min="56" max="56" width="10.6640625" style="438" customWidth="1"/>
    <col min="57" max="16384" width="11.21875" style="438"/>
  </cols>
  <sheetData>
    <row r="1" spans="1:7" ht="15.75" customHeight="1">
      <c r="A1" s="1179" t="str">
        <f>'Table of Contents'!A1:C1</f>
        <v>Atmos Energy Corporation, Kentucky/Mid-States Division</v>
      </c>
      <c r="B1" s="1179"/>
      <c r="C1" s="1179"/>
      <c r="D1" s="1179"/>
      <c r="E1" s="1179"/>
      <c r="F1" s="1179"/>
    </row>
    <row r="2" spans="1:7" ht="15.75">
      <c r="A2" s="1179" t="str">
        <f>'Table of Contents'!A2:C2</f>
        <v>Kentucky Jurisdiction Case No. 2017-00349</v>
      </c>
      <c r="B2" s="1179"/>
      <c r="C2" s="1179"/>
      <c r="D2" s="1179"/>
      <c r="E2" s="1179"/>
      <c r="F2" s="1179"/>
    </row>
    <row r="3" spans="1:7" ht="15.75">
      <c r="A3" s="1179" t="s">
        <v>429</v>
      </c>
      <c r="B3" s="1179"/>
      <c r="C3" s="1179"/>
      <c r="D3" s="1179"/>
      <c r="E3" s="1179"/>
      <c r="F3" s="1179"/>
    </row>
    <row r="4" spans="1:7" ht="15.75">
      <c r="A4" s="1179" t="str">
        <f>'Table of Contents'!A3:C3</f>
        <v>Base Period: Twelve Months Ended December 31, 2017</v>
      </c>
      <c r="B4" s="1179"/>
      <c r="C4" s="1179"/>
      <c r="D4" s="1179"/>
      <c r="E4" s="1179"/>
      <c r="F4" s="1179"/>
    </row>
    <row r="5" spans="1:7" ht="15.75">
      <c r="A5" s="1179" t="str">
        <f>'Table of Contents'!A4:C4</f>
        <v>Forecasted Test Period: Twelve Months Ended March 31, 2019</v>
      </c>
      <c r="B5" s="1179"/>
      <c r="C5" s="1179"/>
      <c r="D5" s="1179"/>
      <c r="E5" s="1179"/>
      <c r="F5" s="1179"/>
    </row>
    <row r="7" spans="1:7" ht="15.75">
      <c r="A7" s="557" t="s">
        <v>810</v>
      </c>
      <c r="B7" s="439"/>
      <c r="F7" s="558" t="s">
        <v>1436</v>
      </c>
    </row>
    <row r="8" spans="1:7" ht="15.75">
      <c r="A8" s="557" t="s">
        <v>1132</v>
      </c>
      <c r="B8" s="439"/>
      <c r="F8" s="559" t="s">
        <v>175</v>
      </c>
    </row>
    <row r="9" spans="1:7" ht="15.75">
      <c r="A9" s="557" t="s">
        <v>431</v>
      </c>
      <c r="B9" s="439"/>
      <c r="F9" s="560" t="s">
        <v>1366</v>
      </c>
    </row>
    <row r="10" spans="1:7">
      <c r="A10" s="443" t="s">
        <v>94</v>
      </c>
      <c r="B10" s="444"/>
      <c r="C10" s="444"/>
      <c r="D10" s="443" t="s">
        <v>97</v>
      </c>
      <c r="E10" s="444"/>
      <c r="F10" s="444"/>
      <c r="G10" s="442"/>
    </row>
    <row r="11" spans="1:7">
      <c r="A11" s="445" t="s">
        <v>100</v>
      </c>
      <c r="B11" s="445" t="s">
        <v>176</v>
      </c>
      <c r="C11" s="445" t="s">
        <v>177</v>
      </c>
      <c r="D11" s="445" t="s">
        <v>599</v>
      </c>
      <c r="E11" s="445" t="s">
        <v>178</v>
      </c>
      <c r="F11" s="445" t="s">
        <v>600</v>
      </c>
      <c r="G11" s="442"/>
    </row>
    <row r="12" spans="1:7">
      <c r="A12" s="454"/>
      <c r="B12" s="454"/>
      <c r="C12" s="454"/>
      <c r="D12" s="454"/>
      <c r="E12" s="454"/>
      <c r="F12" s="454"/>
      <c r="G12" s="442"/>
    </row>
    <row r="13" spans="1:7" ht="15.75">
      <c r="A13" s="454"/>
      <c r="C13" s="456" t="s">
        <v>812</v>
      </c>
      <c r="D13" s="454"/>
      <c r="E13" s="454"/>
      <c r="F13" s="454"/>
      <c r="G13" s="442"/>
    </row>
    <row r="14" spans="1:7">
      <c r="G14" s="442"/>
    </row>
    <row r="15" spans="1:7">
      <c r="A15" s="446">
        <v>1</v>
      </c>
      <c r="B15" s="447" t="s">
        <v>630</v>
      </c>
      <c r="C15" s="804" t="s">
        <v>1421</v>
      </c>
      <c r="D15" s="781">
        <v>0</v>
      </c>
      <c r="E15" s="448" t="s">
        <v>1068</v>
      </c>
      <c r="F15" s="446">
        <f t="shared" ref="F15:F37" si="0">D15</f>
        <v>0</v>
      </c>
    </row>
    <row r="16" spans="1:7">
      <c r="A16" s="446">
        <f>A15+1</f>
        <v>2</v>
      </c>
      <c r="B16" s="447" t="s">
        <v>630</v>
      </c>
      <c r="C16" s="804" t="s">
        <v>392</v>
      </c>
      <c r="D16" s="781">
        <v>37502.46</v>
      </c>
      <c r="E16" s="448"/>
      <c r="F16" s="446"/>
    </row>
    <row r="17" spans="1:6">
      <c r="A17" s="446">
        <f t="shared" ref="A17:A77" si="1">A16+1</f>
        <v>3</v>
      </c>
      <c r="B17" s="447" t="s">
        <v>630</v>
      </c>
      <c r="C17" s="783" t="s">
        <v>1252</v>
      </c>
      <c r="D17" s="781">
        <v>3307</v>
      </c>
      <c r="E17" s="184"/>
      <c r="F17" s="446">
        <f t="shared" si="0"/>
        <v>3307</v>
      </c>
    </row>
    <row r="18" spans="1:6">
      <c r="A18" s="446">
        <f t="shared" si="1"/>
        <v>4</v>
      </c>
      <c r="B18" s="447" t="s">
        <v>630</v>
      </c>
      <c r="C18" s="783" t="s">
        <v>1620</v>
      </c>
      <c r="D18" s="781">
        <v>7500</v>
      </c>
      <c r="E18" s="184"/>
      <c r="F18" s="446">
        <f t="shared" si="0"/>
        <v>7500</v>
      </c>
    </row>
    <row r="19" spans="1:6">
      <c r="A19" s="446">
        <f t="shared" si="1"/>
        <v>5</v>
      </c>
      <c r="B19" s="447" t="s">
        <v>630</v>
      </c>
      <c r="C19" s="783" t="s">
        <v>1253</v>
      </c>
      <c r="D19" s="781">
        <v>125</v>
      </c>
      <c r="E19" s="184"/>
      <c r="F19" s="446">
        <f t="shared" si="0"/>
        <v>125</v>
      </c>
    </row>
    <row r="20" spans="1:6">
      <c r="A20" s="446">
        <f t="shared" si="1"/>
        <v>6</v>
      </c>
      <c r="B20" s="447" t="s">
        <v>630</v>
      </c>
      <c r="C20" s="783" t="s">
        <v>1621</v>
      </c>
      <c r="D20" s="781">
        <v>100</v>
      </c>
      <c r="E20" s="184"/>
      <c r="F20" s="446">
        <f t="shared" si="0"/>
        <v>100</v>
      </c>
    </row>
    <row r="21" spans="1:6">
      <c r="A21" s="446">
        <f t="shared" si="1"/>
        <v>7</v>
      </c>
      <c r="B21" s="447" t="s">
        <v>630</v>
      </c>
      <c r="C21" s="783" t="s">
        <v>1254</v>
      </c>
      <c r="D21" s="781">
        <v>500</v>
      </c>
      <c r="E21" s="184"/>
      <c r="F21" s="446">
        <f t="shared" si="0"/>
        <v>500</v>
      </c>
    </row>
    <row r="22" spans="1:6">
      <c r="A22" s="446">
        <f t="shared" si="1"/>
        <v>8</v>
      </c>
      <c r="B22" s="447" t="s">
        <v>630</v>
      </c>
      <c r="C22" s="783" t="s">
        <v>1622</v>
      </c>
      <c r="D22" s="781">
        <v>100</v>
      </c>
      <c r="E22" s="184"/>
      <c r="F22" s="446">
        <f t="shared" si="0"/>
        <v>100</v>
      </c>
    </row>
    <row r="23" spans="1:6">
      <c r="A23" s="446">
        <f t="shared" si="1"/>
        <v>9</v>
      </c>
      <c r="B23" s="447" t="s">
        <v>630</v>
      </c>
      <c r="C23" s="779" t="s">
        <v>1255</v>
      </c>
      <c r="D23" s="781">
        <v>150</v>
      </c>
      <c r="E23" s="184"/>
      <c r="F23" s="446">
        <f t="shared" si="0"/>
        <v>150</v>
      </c>
    </row>
    <row r="24" spans="1:6">
      <c r="A24" s="446">
        <f t="shared" si="1"/>
        <v>10</v>
      </c>
      <c r="B24" s="447" t="s">
        <v>630</v>
      </c>
      <c r="C24" s="783" t="s">
        <v>1422</v>
      </c>
      <c r="D24" s="781">
        <v>1348.08</v>
      </c>
      <c r="E24" s="184"/>
      <c r="F24" s="446">
        <f t="shared" si="0"/>
        <v>1348.08</v>
      </c>
    </row>
    <row r="25" spans="1:6">
      <c r="A25" s="446">
        <f t="shared" si="1"/>
        <v>11</v>
      </c>
      <c r="B25" s="447" t="s">
        <v>630</v>
      </c>
      <c r="C25" s="783" t="s">
        <v>1256</v>
      </c>
      <c r="D25" s="781">
        <v>250</v>
      </c>
      <c r="E25" s="184"/>
      <c r="F25" s="446">
        <f t="shared" si="0"/>
        <v>250</v>
      </c>
    </row>
    <row r="26" spans="1:6">
      <c r="A26" s="446">
        <f t="shared" si="1"/>
        <v>12</v>
      </c>
      <c r="B26" s="447" t="s">
        <v>630</v>
      </c>
      <c r="C26" s="783" t="s">
        <v>1257</v>
      </c>
      <c r="D26" s="781">
        <v>370</v>
      </c>
      <c r="E26" s="184"/>
      <c r="F26" s="446">
        <f t="shared" si="0"/>
        <v>370</v>
      </c>
    </row>
    <row r="27" spans="1:6">
      <c r="A27" s="446">
        <f t="shared" si="1"/>
        <v>13</v>
      </c>
      <c r="B27" s="447" t="s">
        <v>630</v>
      </c>
      <c r="C27" s="783" t="s">
        <v>1623</v>
      </c>
      <c r="D27" s="781">
        <v>800</v>
      </c>
      <c r="E27" s="184"/>
      <c r="F27" s="446">
        <f t="shared" si="0"/>
        <v>800</v>
      </c>
    </row>
    <row r="28" spans="1:6">
      <c r="A28" s="446">
        <f t="shared" si="1"/>
        <v>14</v>
      </c>
      <c r="B28" s="447" t="s">
        <v>630</v>
      </c>
      <c r="C28" s="783" t="s">
        <v>1624</v>
      </c>
      <c r="D28" s="781">
        <v>300</v>
      </c>
      <c r="E28" s="184"/>
      <c r="F28" s="446">
        <f t="shared" si="0"/>
        <v>300</v>
      </c>
    </row>
    <row r="29" spans="1:6">
      <c r="A29" s="446">
        <f t="shared" si="1"/>
        <v>15</v>
      </c>
      <c r="B29" s="447" t="s">
        <v>630</v>
      </c>
      <c r="C29" s="783" t="s">
        <v>1258</v>
      </c>
      <c r="D29" s="781">
        <v>3825</v>
      </c>
      <c r="E29" s="184"/>
      <c r="F29" s="446">
        <f t="shared" si="0"/>
        <v>3825</v>
      </c>
    </row>
    <row r="30" spans="1:6">
      <c r="A30" s="446">
        <f t="shared" si="1"/>
        <v>16</v>
      </c>
      <c r="B30" s="447" t="s">
        <v>630</v>
      </c>
      <c r="C30" s="783" t="s">
        <v>1259</v>
      </c>
      <c r="D30" s="781">
        <v>100</v>
      </c>
      <c r="E30" s="184"/>
      <c r="F30" s="446">
        <f t="shared" si="0"/>
        <v>100</v>
      </c>
    </row>
    <row r="31" spans="1:6">
      <c r="A31" s="446">
        <f t="shared" si="1"/>
        <v>17</v>
      </c>
      <c r="B31" s="447" t="s">
        <v>630</v>
      </c>
      <c r="C31" s="783" t="s">
        <v>1260</v>
      </c>
      <c r="D31" s="781">
        <v>175</v>
      </c>
      <c r="E31" s="184"/>
      <c r="F31" s="446">
        <f t="shared" si="0"/>
        <v>175</v>
      </c>
    </row>
    <row r="32" spans="1:6">
      <c r="A32" s="446">
        <f t="shared" si="1"/>
        <v>18</v>
      </c>
      <c r="B32" s="447" t="s">
        <v>630</v>
      </c>
      <c r="C32" s="783" t="s">
        <v>1261</v>
      </c>
      <c r="D32" s="781">
        <v>760</v>
      </c>
      <c r="E32" s="184"/>
      <c r="F32" s="446">
        <f t="shared" si="0"/>
        <v>760</v>
      </c>
    </row>
    <row r="33" spans="1:6">
      <c r="A33" s="446">
        <f t="shared" si="1"/>
        <v>19</v>
      </c>
      <c r="B33" s="447" t="s">
        <v>630</v>
      </c>
      <c r="C33" s="783" t="s">
        <v>1423</v>
      </c>
      <c r="D33" s="781">
        <v>10000</v>
      </c>
      <c r="E33" s="184"/>
      <c r="F33" s="446">
        <f t="shared" si="0"/>
        <v>10000</v>
      </c>
    </row>
    <row r="34" spans="1:6">
      <c r="A34" s="446">
        <f t="shared" si="1"/>
        <v>20</v>
      </c>
      <c r="B34" s="447" t="s">
        <v>630</v>
      </c>
      <c r="C34" s="783" t="s">
        <v>1625</v>
      </c>
      <c r="D34" s="781">
        <v>256</v>
      </c>
      <c r="E34" s="184"/>
      <c r="F34" s="446">
        <f t="shared" si="0"/>
        <v>256</v>
      </c>
    </row>
    <row r="35" spans="1:6">
      <c r="A35" s="446">
        <f t="shared" si="1"/>
        <v>21</v>
      </c>
      <c r="B35" s="447" t="s">
        <v>630</v>
      </c>
      <c r="C35" s="783" t="s">
        <v>1626</v>
      </c>
      <c r="D35" s="781">
        <v>200</v>
      </c>
      <c r="E35" s="184"/>
      <c r="F35" s="446">
        <f t="shared" si="0"/>
        <v>200</v>
      </c>
    </row>
    <row r="36" spans="1:6">
      <c r="A36" s="446">
        <f t="shared" si="1"/>
        <v>22</v>
      </c>
      <c r="B36" s="447" t="s">
        <v>630</v>
      </c>
      <c r="C36" s="782" t="s">
        <v>1262</v>
      </c>
      <c r="D36" s="781">
        <v>200</v>
      </c>
      <c r="E36" s="184"/>
      <c r="F36" s="446">
        <f t="shared" si="0"/>
        <v>200</v>
      </c>
    </row>
    <row r="37" spans="1:6">
      <c r="A37" s="446">
        <f t="shared" si="1"/>
        <v>23</v>
      </c>
      <c r="B37" s="447" t="s">
        <v>630</v>
      </c>
      <c r="C37" s="782" t="s">
        <v>1627</v>
      </c>
      <c r="D37" s="781">
        <v>420</v>
      </c>
      <c r="E37" s="184"/>
      <c r="F37" s="446">
        <f t="shared" si="0"/>
        <v>420</v>
      </c>
    </row>
    <row r="38" spans="1:6">
      <c r="A38" s="446">
        <f t="shared" si="1"/>
        <v>24</v>
      </c>
      <c r="B38" s="447" t="s">
        <v>630</v>
      </c>
      <c r="C38" s="782" t="s">
        <v>1628</v>
      </c>
      <c r="D38" s="781">
        <v>335</v>
      </c>
      <c r="E38" s="448"/>
      <c r="F38" s="446">
        <f t="shared" ref="F38:F59" si="2">D38</f>
        <v>335</v>
      </c>
    </row>
    <row r="39" spans="1:6">
      <c r="A39" s="446">
        <f t="shared" si="1"/>
        <v>25</v>
      </c>
      <c r="B39" s="447" t="s">
        <v>630</v>
      </c>
      <c r="C39" s="782" t="s">
        <v>1629</v>
      </c>
      <c r="D39" s="781">
        <v>1200</v>
      </c>
      <c r="F39" s="446">
        <f t="shared" si="2"/>
        <v>1200</v>
      </c>
    </row>
    <row r="40" spans="1:6">
      <c r="A40" s="446">
        <f t="shared" si="1"/>
        <v>26</v>
      </c>
      <c r="B40" s="447" t="s">
        <v>630</v>
      </c>
      <c r="C40" s="782" t="s">
        <v>1630</v>
      </c>
      <c r="D40" s="781">
        <v>305</v>
      </c>
      <c r="F40" s="446">
        <f t="shared" si="2"/>
        <v>305</v>
      </c>
    </row>
    <row r="41" spans="1:6">
      <c r="A41" s="446">
        <f t="shared" si="1"/>
        <v>27</v>
      </c>
      <c r="B41" s="447" t="s">
        <v>630</v>
      </c>
      <c r="C41" s="782" t="s">
        <v>1263</v>
      </c>
      <c r="D41" s="781">
        <v>295</v>
      </c>
      <c r="F41" s="446">
        <f t="shared" si="2"/>
        <v>295</v>
      </c>
    </row>
    <row r="42" spans="1:6">
      <c r="A42" s="446">
        <f t="shared" si="1"/>
        <v>28</v>
      </c>
      <c r="B42" s="447" t="s">
        <v>630</v>
      </c>
      <c r="C42" s="782" t="s">
        <v>1631</v>
      </c>
      <c r="D42" s="781">
        <v>150</v>
      </c>
      <c r="E42" s="440" t="s">
        <v>327</v>
      </c>
      <c r="F42" s="446">
        <f t="shared" si="2"/>
        <v>150</v>
      </c>
    </row>
    <row r="43" spans="1:6">
      <c r="A43" s="446">
        <f t="shared" si="1"/>
        <v>29</v>
      </c>
      <c r="B43" s="447" t="s">
        <v>630</v>
      </c>
      <c r="C43" s="782" t="s">
        <v>1632</v>
      </c>
      <c r="D43" s="781">
        <v>415</v>
      </c>
      <c r="F43" s="446">
        <f t="shared" si="2"/>
        <v>415</v>
      </c>
    </row>
    <row r="44" spans="1:6">
      <c r="A44" s="446">
        <f t="shared" si="1"/>
        <v>30</v>
      </c>
      <c r="B44" s="447" t="s">
        <v>630</v>
      </c>
      <c r="C44" s="782" t="s">
        <v>1633</v>
      </c>
      <c r="D44" s="781">
        <v>5000</v>
      </c>
      <c r="F44" s="446">
        <f t="shared" si="2"/>
        <v>5000</v>
      </c>
    </row>
    <row r="45" spans="1:6">
      <c r="A45" s="446">
        <f t="shared" si="1"/>
        <v>31</v>
      </c>
      <c r="B45" s="447" t="s">
        <v>630</v>
      </c>
      <c r="C45" s="782" t="s">
        <v>1634</v>
      </c>
      <c r="D45" s="781">
        <v>25</v>
      </c>
      <c r="F45" s="446">
        <f t="shared" si="2"/>
        <v>25</v>
      </c>
    </row>
    <row r="46" spans="1:6">
      <c r="A46" s="446">
        <f t="shared" si="1"/>
        <v>32</v>
      </c>
      <c r="B46" s="447" t="s">
        <v>630</v>
      </c>
      <c r="C46" s="782" t="s">
        <v>1635</v>
      </c>
      <c r="D46" s="781">
        <v>15490</v>
      </c>
      <c r="F46" s="446">
        <f t="shared" si="2"/>
        <v>15490</v>
      </c>
    </row>
    <row r="47" spans="1:6">
      <c r="A47" s="446">
        <f t="shared" si="1"/>
        <v>33</v>
      </c>
      <c r="B47" s="447" t="s">
        <v>630</v>
      </c>
      <c r="C47" s="782" t="s">
        <v>1636</v>
      </c>
      <c r="D47" s="781">
        <v>200</v>
      </c>
      <c r="E47" s="440" t="s">
        <v>327</v>
      </c>
      <c r="F47" s="446">
        <f t="shared" si="2"/>
        <v>200</v>
      </c>
    </row>
    <row r="48" spans="1:6">
      <c r="A48" s="446">
        <f t="shared" si="1"/>
        <v>34</v>
      </c>
      <c r="B48" s="447" t="s">
        <v>630</v>
      </c>
      <c r="C48" s="782" t="s">
        <v>1264</v>
      </c>
      <c r="D48" s="781">
        <v>10720.45</v>
      </c>
      <c r="F48" s="446">
        <f t="shared" si="2"/>
        <v>10720.45</v>
      </c>
    </row>
    <row r="49" spans="1:6">
      <c r="A49" s="446">
        <f t="shared" si="1"/>
        <v>35</v>
      </c>
      <c r="B49" s="447" t="s">
        <v>630</v>
      </c>
      <c r="C49" s="782" t="s">
        <v>1424</v>
      </c>
      <c r="D49" s="781">
        <v>1000</v>
      </c>
      <c r="F49" s="446">
        <f t="shared" si="2"/>
        <v>1000</v>
      </c>
    </row>
    <row r="50" spans="1:6">
      <c r="A50" s="446">
        <f t="shared" si="1"/>
        <v>36</v>
      </c>
      <c r="B50" s="447" t="s">
        <v>630</v>
      </c>
      <c r="C50" s="782" t="s">
        <v>1425</v>
      </c>
      <c r="D50" s="781">
        <v>133</v>
      </c>
      <c r="F50" s="446">
        <f t="shared" si="2"/>
        <v>133</v>
      </c>
    </row>
    <row r="51" spans="1:6">
      <c r="A51" s="446">
        <f t="shared" si="1"/>
        <v>37</v>
      </c>
      <c r="B51" s="447" t="s">
        <v>630</v>
      </c>
      <c r="C51" s="782" t="s">
        <v>1265</v>
      </c>
      <c r="D51" s="781">
        <v>255</v>
      </c>
      <c r="F51" s="446">
        <f t="shared" si="2"/>
        <v>255</v>
      </c>
    </row>
    <row r="52" spans="1:6">
      <c r="A52" s="446">
        <f t="shared" si="1"/>
        <v>38</v>
      </c>
      <c r="B52" s="447" t="s">
        <v>630</v>
      </c>
      <c r="C52" s="782" t="s">
        <v>1266</v>
      </c>
      <c r="D52" s="781">
        <v>125</v>
      </c>
      <c r="F52" s="446">
        <f t="shared" si="2"/>
        <v>125</v>
      </c>
    </row>
    <row r="53" spans="1:6">
      <c r="A53" s="446">
        <f t="shared" si="1"/>
        <v>39</v>
      </c>
      <c r="B53" s="447" t="s">
        <v>630</v>
      </c>
      <c r="C53" s="782" t="s">
        <v>1426</v>
      </c>
      <c r="D53" s="781">
        <v>30</v>
      </c>
      <c r="F53" s="446">
        <f t="shared" si="2"/>
        <v>30</v>
      </c>
    </row>
    <row r="54" spans="1:6">
      <c r="A54" s="446">
        <f t="shared" si="1"/>
        <v>40</v>
      </c>
      <c r="B54" s="447" t="s">
        <v>630</v>
      </c>
      <c r="C54" s="782" t="s">
        <v>1267</v>
      </c>
      <c r="D54" s="781">
        <v>140</v>
      </c>
      <c r="F54" s="446">
        <f t="shared" si="2"/>
        <v>140</v>
      </c>
    </row>
    <row r="55" spans="1:6">
      <c r="A55" s="446">
        <f t="shared" si="1"/>
        <v>41</v>
      </c>
      <c r="B55" s="447" t="s">
        <v>630</v>
      </c>
      <c r="C55" s="784" t="s">
        <v>1637</v>
      </c>
      <c r="D55" s="781">
        <v>750</v>
      </c>
      <c r="F55" s="446">
        <f t="shared" si="2"/>
        <v>750</v>
      </c>
    </row>
    <row r="56" spans="1:6">
      <c r="A56" s="446">
        <f t="shared" si="1"/>
        <v>42</v>
      </c>
      <c r="B56" s="447" t="s">
        <v>630</v>
      </c>
      <c r="C56" s="782" t="s">
        <v>1638</v>
      </c>
      <c r="D56" s="781">
        <v>350</v>
      </c>
      <c r="F56" s="446">
        <f t="shared" si="2"/>
        <v>350</v>
      </c>
    </row>
    <row r="57" spans="1:6">
      <c r="A57" s="446">
        <f t="shared" si="1"/>
        <v>43</v>
      </c>
      <c r="B57" s="447" t="s">
        <v>630</v>
      </c>
      <c r="C57" s="785" t="s">
        <v>1427</v>
      </c>
      <c r="D57" s="781">
        <v>1000</v>
      </c>
      <c r="F57" s="446">
        <f t="shared" si="2"/>
        <v>1000</v>
      </c>
    </row>
    <row r="58" spans="1:6">
      <c r="A58" s="446">
        <f t="shared" si="1"/>
        <v>44</v>
      </c>
      <c r="B58" s="447" t="s">
        <v>630</v>
      </c>
      <c r="C58" s="784" t="s">
        <v>1428</v>
      </c>
      <c r="D58" s="781">
        <v>400</v>
      </c>
      <c r="F58" s="446">
        <f t="shared" si="2"/>
        <v>400</v>
      </c>
    </row>
    <row r="59" spans="1:6">
      <c r="A59" s="446">
        <f t="shared" si="1"/>
        <v>45</v>
      </c>
      <c r="B59" s="447" t="s">
        <v>630</v>
      </c>
      <c r="C59" s="785" t="s">
        <v>1639</v>
      </c>
      <c r="D59" s="781">
        <v>500</v>
      </c>
      <c r="F59" s="446">
        <f t="shared" si="2"/>
        <v>500</v>
      </c>
    </row>
    <row r="60" spans="1:6">
      <c r="A60" s="446">
        <f t="shared" si="1"/>
        <v>46</v>
      </c>
      <c r="B60" s="447" t="s">
        <v>630</v>
      </c>
      <c r="C60" s="785" t="s">
        <v>1640</v>
      </c>
      <c r="D60" s="781">
        <v>1525</v>
      </c>
      <c r="E60" s="448"/>
      <c r="F60" s="446">
        <f t="shared" ref="F60:F77" si="3">D60</f>
        <v>1525</v>
      </c>
    </row>
    <row r="61" spans="1:6">
      <c r="A61" s="446">
        <f t="shared" si="1"/>
        <v>47</v>
      </c>
      <c r="B61" s="447" t="s">
        <v>630</v>
      </c>
      <c r="C61" s="782" t="s">
        <v>1268</v>
      </c>
      <c r="D61" s="781">
        <v>500</v>
      </c>
      <c r="F61" s="446">
        <f t="shared" si="3"/>
        <v>500</v>
      </c>
    </row>
    <row r="62" spans="1:6">
      <c r="A62" s="446">
        <f t="shared" si="1"/>
        <v>48</v>
      </c>
      <c r="B62" s="447" t="s">
        <v>630</v>
      </c>
      <c r="C62" s="782" t="s">
        <v>1641</v>
      </c>
      <c r="D62" s="781">
        <v>130</v>
      </c>
      <c r="F62" s="446">
        <f t="shared" si="3"/>
        <v>130</v>
      </c>
    </row>
    <row r="63" spans="1:6">
      <c r="A63" s="446">
        <f t="shared" si="1"/>
        <v>49</v>
      </c>
      <c r="B63" s="451" t="s">
        <v>630</v>
      </c>
      <c r="C63" s="779" t="s">
        <v>1269</v>
      </c>
      <c r="D63" s="781">
        <v>300</v>
      </c>
      <c r="F63" s="446">
        <f t="shared" si="3"/>
        <v>300</v>
      </c>
    </row>
    <row r="64" spans="1:6">
      <c r="A64" s="446">
        <f t="shared" si="1"/>
        <v>50</v>
      </c>
      <c r="B64" s="447" t="s">
        <v>630</v>
      </c>
      <c r="C64" s="785" t="s">
        <v>1270</v>
      </c>
      <c r="D64" s="781">
        <v>250</v>
      </c>
      <c r="F64" s="446">
        <f t="shared" si="3"/>
        <v>250</v>
      </c>
    </row>
    <row r="65" spans="1:6">
      <c r="A65" s="446">
        <f t="shared" si="1"/>
        <v>51</v>
      </c>
      <c r="B65" s="447" t="s">
        <v>630</v>
      </c>
      <c r="C65" s="782" t="s">
        <v>1642</v>
      </c>
      <c r="D65" s="781">
        <v>100</v>
      </c>
      <c r="F65" s="446">
        <f t="shared" si="3"/>
        <v>100</v>
      </c>
    </row>
    <row r="66" spans="1:6">
      <c r="A66" s="446">
        <f t="shared" si="1"/>
        <v>52</v>
      </c>
      <c r="B66" s="447" t="s">
        <v>630</v>
      </c>
      <c r="C66" s="782" t="s">
        <v>1271</v>
      </c>
      <c r="D66" s="781">
        <v>975</v>
      </c>
      <c r="F66" s="446">
        <f t="shared" si="3"/>
        <v>975</v>
      </c>
    </row>
    <row r="67" spans="1:6">
      <c r="A67" s="446">
        <f t="shared" si="1"/>
        <v>53</v>
      </c>
      <c r="B67" s="447" t="s">
        <v>630</v>
      </c>
      <c r="C67" s="782" t="s">
        <v>1643</v>
      </c>
      <c r="D67" s="781">
        <v>163.19999999999999</v>
      </c>
      <c r="F67" s="446">
        <f t="shared" si="3"/>
        <v>163.19999999999999</v>
      </c>
    </row>
    <row r="68" spans="1:6">
      <c r="A68" s="446">
        <f t="shared" si="1"/>
        <v>54</v>
      </c>
      <c r="B68" s="447" t="s">
        <v>630</v>
      </c>
      <c r="C68" s="782" t="s">
        <v>1644</v>
      </c>
      <c r="D68" s="781">
        <v>500</v>
      </c>
      <c r="F68" s="446">
        <f t="shared" si="3"/>
        <v>500</v>
      </c>
    </row>
    <row r="69" spans="1:6">
      <c r="A69" s="446">
        <f t="shared" si="1"/>
        <v>55</v>
      </c>
      <c r="B69" s="447" t="s">
        <v>630</v>
      </c>
      <c r="C69" s="782" t="s">
        <v>1645</v>
      </c>
      <c r="D69" s="781">
        <v>60</v>
      </c>
      <c r="F69" s="446">
        <f t="shared" si="3"/>
        <v>60</v>
      </c>
    </row>
    <row r="70" spans="1:6">
      <c r="A70" s="446">
        <f t="shared" si="1"/>
        <v>56</v>
      </c>
      <c r="B70" s="447" t="s">
        <v>630</v>
      </c>
      <c r="C70" s="782" t="s">
        <v>1272</v>
      </c>
      <c r="D70" s="781">
        <v>2999.4</v>
      </c>
      <c r="F70" s="446">
        <f t="shared" si="3"/>
        <v>2999.4</v>
      </c>
    </row>
    <row r="71" spans="1:6">
      <c r="A71" s="446">
        <f t="shared" si="1"/>
        <v>57</v>
      </c>
      <c r="B71" s="447" t="s">
        <v>630</v>
      </c>
      <c r="C71" s="782" t="s">
        <v>1273</v>
      </c>
      <c r="D71" s="781">
        <v>390</v>
      </c>
      <c r="F71" s="446">
        <f t="shared" si="3"/>
        <v>390</v>
      </c>
    </row>
    <row r="72" spans="1:6">
      <c r="A72" s="446">
        <f t="shared" si="1"/>
        <v>58</v>
      </c>
      <c r="B72" s="447" t="s">
        <v>630</v>
      </c>
      <c r="C72" s="782" t="s">
        <v>1646</v>
      </c>
      <c r="D72" s="781">
        <v>6000</v>
      </c>
      <c r="F72" s="446">
        <f t="shared" si="3"/>
        <v>6000</v>
      </c>
    </row>
    <row r="73" spans="1:6">
      <c r="A73" s="446">
        <f t="shared" si="1"/>
        <v>59</v>
      </c>
      <c r="B73" s="447" t="s">
        <v>630</v>
      </c>
      <c r="C73" s="782" t="s">
        <v>1647</v>
      </c>
      <c r="D73" s="781">
        <v>0</v>
      </c>
      <c r="F73" s="446">
        <f t="shared" si="3"/>
        <v>0</v>
      </c>
    </row>
    <row r="74" spans="1:6">
      <c r="A74" s="446">
        <f t="shared" si="1"/>
        <v>60</v>
      </c>
      <c r="B74" s="447" t="s">
        <v>630</v>
      </c>
      <c r="C74" s="779" t="s">
        <v>1648</v>
      </c>
      <c r="D74" s="781">
        <v>125</v>
      </c>
      <c r="F74" s="446">
        <f t="shared" si="3"/>
        <v>125</v>
      </c>
    </row>
    <row r="75" spans="1:6">
      <c r="A75" s="446">
        <f t="shared" si="1"/>
        <v>61</v>
      </c>
      <c r="B75" s="447" t="s">
        <v>630</v>
      </c>
      <c r="C75" s="782" t="s">
        <v>1274</v>
      </c>
      <c r="D75" s="781">
        <v>250</v>
      </c>
      <c r="F75" s="446">
        <f t="shared" si="3"/>
        <v>250</v>
      </c>
    </row>
    <row r="76" spans="1:6">
      <c r="A76" s="446">
        <f t="shared" si="1"/>
        <v>62</v>
      </c>
      <c r="B76" s="447" t="s">
        <v>630</v>
      </c>
      <c r="C76" s="782" t="s">
        <v>1649</v>
      </c>
      <c r="D76" s="781">
        <v>470</v>
      </c>
      <c r="E76" s="457"/>
      <c r="F76" s="446">
        <f t="shared" si="3"/>
        <v>470</v>
      </c>
    </row>
    <row r="77" spans="1:6">
      <c r="A77" s="446">
        <f t="shared" si="1"/>
        <v>63</v>
      </c>
      <c r="B77" s="447" t="s">
        <v>630</v>
      </c>
      <c r="C77" s="782" t="s">
        <v>1650</v>
      </c>
      <c r="D77" s="781">
        <v>50</v>
      </c>
      <c r="E77" s="457"/>
      <c r="F77" s="446">
        <f t="shared" si="3"/>
        <v>50</v>
      </c>
    </row>
    <row r="78" spans="1:6">
      <c r="A78" s="446"/>
      <c r="B78" s="447"/>
    </row>
    <row r="79" spans="1:6" ht="15.75">
      <c r="C79" s="453" t="s">
        <v>811</v>
      </c>
      <c r="D79" s="449">
        <f>SUM(D15:D78)</f>
        <v>121894.59</v>
      </c>
      <c r="F79" s="449">
        <f>SUM(F15:F78)</f>
        <v>84392.12999999999</v>
      </c>
    </row>
    <row r="81" spans="1:6" ht="15.75">
      <c r="C81" s="456" t="s">
        <v>1398</v>
      </c>
    </row>
    <row r="82" spans="1:6" ht="15.75">
      <c r="C82" s="455"/>
    </row>
    <row r="83" spans="1:6">
      <c r="A83" s="446">
        <v>1</v>
      </c>
      <c r="B83" s="447" t="s">
        <v>630</v>
      </c>
      <c r="C83" s="783" t="str">
        <f>C15</f>
        <v>JOURNAL ENTRY</v>
      </c>
      <c r="D83" s="781">
        <v>0</v>
      </c>
      <c r="E83" s="448" t="s">
        <v>1068</v>
      </c>
      <c r="F83" s="446">
        <f t="shared" ref="F83:F104" si="4">D83</f>
        <v>0</v>
      </c>
    </row>
    <row r="84" spans="1:6">
      <c r="A84" s="446">
        <f t="shared" ref="A84:A99" si="5">A83+1</f>
        <v>2</v>
      </c>
      <c r="B84" s="447" t="s">
        <v>630</v>
      </c>
      <c r="C84" s="804" t="s">
        <v>392</v>
      </c>
      <c r="D84" s="783">
        <v>37502.46</v>
      </c>
      <c r="F84" s="446">
        <f t="shared" si="4"/>
        <v>37502.46</v>
      </c>
    </row>
    <row r="85" spans="1:6">
      <c r="A85" s="446">
        <f t="shared" si="5"/>
        <v>3</v>
      </c>
      <c r="B85" s="447" t="s">
        <v>630</v>
      </c>
      <c r="C85" s="783" t="s">
        <v>1252</v>
      </c>
      <c r="D85" s="783">
        <v>3307</v>
      </c>
      <c r="F85" s="446">
        <f t="shared" si="4"/>
        <v>3307</v>
      </c>
    </row>
    <row r="86" spans="1:6">
      <c r="A86" s="446">
        <f t="shared" si="5"/>
        <v>4</v>
      </c>
      <c r="B86" s="447" t="s">
        <v>630</v>
      </c>
      <c r="C86" s="783" t="s">
        <v>1620</v>
      </c>
      <c r="D86" s="783">
        <v>7500</v>
      </c>
      <c r="F86" s="446">
        <f t="shared" si="4"/>
        <v>7500</v>
      </c>
    </row>
    <row r="87" spans="1:6">
      <c r="A87" s="446">
        <f t="shared" si="5"/>
        <v>5</v>
      </c>
      <c r="B87" s="447" t="s">
        <v>630</v>
      </c>
      <c r="C87" s="783" t="s">
        <v>1253</v>
      </c>
      <c r="D87" s="783">
        <v>125</v>
      </c>
      <c r="F87" s="446">
        <f t="shared" si="4"/>
        <v>125</v>
      </c>
    </row>
    <row r="88" spans="1:6">
      <c r="A88" s="446">
        <f t="shared" si="5"/>
        <v>6</v>
      </c>
      <c r="B88" s="447" t="s">
        <v>630</v>
      </c>
      <c r="C88" s="783" t="s">
        <v>1621</v>
      </c>
      <c r="D88" s="783">
        <v>100</v>
      </c>
      <c r="F88" s="446">
        <f t="shared" si="4"/>
        <v>100</v>
      </c>
    </row>
    <row r="89" spans="1:6">
      <c r="A89" s="446">
        <f t="shared" si="5"/>
        <v>7</v>
      </c>
      <c r="B89" s="447" t="s">
        <v>630</v>
      </c>
      <c r="C89" s="783" t="s">
        <v>1254</v>
      </c>
      <c r="D89" s="783">
        <v>500</v>
      </c>
      <c r="F89" s="446">
        <f t="shared" si="4"/>
        <v>500</v>
      </c>
    </row>
    <row r="90" spans="1:6">
      <c r="A90" s="446">
        <f t="shared" si="5"/>
        <v>8</v>
      </c>
      <c r="B90" s="447" t="s">
        <v>630</v>
      </c>
      <c r="C90" s="783" t="s">
        <v>1622</v>
      </c>
      <c r="D90" s="783">
        <v>100</v>
      </c>
      <c r="F90" s="446">
        <f t="shared" si="4"/>
        <v>100</v>
      </c>
    </row>
    <row r="91" spans="1:6">
      <c r="A91" s="446">
        <f t="shared" si="5"/>
        <v>9</v>
      </c>
      <c r="B91" s="447" t="s">
        <v>630</v>
      </c>
      <c r="C91" s="779" t="s">
        <v>1255</v>
      </c>
      <c r="D91" s="783">
        <v>150</v>
      </c>
      <c r="F91" s="446">
        <f t="shared" si="4"/>
        <v>150</v>
      </c>
    </row>
    <row r="92" spans="1:6">
      <c r="A92" s="446">
        <f t="shared" si="5"/>
        <v>10</v>
      </c>
      <c r="B92" s="447" t="s">
        <v>630</v>
      </c>
      <c r="C92" s="783" t="s">
        <v>1422</v>
      </c>
      <c r="D92" s="783">
        <v>1348.08</v>
      </c>
      <c r="F92" s="446">
        <f t="shared" si="4"/>
        <v>1348.08</v>
      </c>
    </row>
    <row r="93" spans="1:6">
      <c r="A93" s="446">
        <f t="shared" si="5"/>
        <v>11</v>
      </c>
      <c r="B93" s="447" t="s">
        <v>630</v>
      </c>
      <c r="C93" s="783" t="s">
        <v>1256</v>
      </c>
      <c r="D93" s="783">
        <v>250</v>
      </c>
      <c r="F93" s="446">
        <f t="shared" si="4"/>
        <v>250</v>
      </c>
    </row>
    <row r="94" spans="1:6">
      <c r="A94" s="446">
        <f t="shared" si="5"/>
        <v>12</v>
      </c>
      <c r="B94" s="447" t="s">
        <v>630</v>
      </c>
      <c r="C94" s="783" t="s">
        <v>1257</v>
      </c>
      <c r="D94" s="783">
        <v>370</v>
      </c>
      <c r="F94" s="446">
        <f t="shared" si="4"/>
        <v>370</v>
      </c>
    </row>
    <row r="95" spans="1:6">
      <c r="A95" s="446">
        <f t="shared" si="5"/>
        <v>13</v>
      </c>
      <c r="B95" s="447" t="s">
        <v>630</v>
      </c>
      <c r="C95" s="783" t="s">
        <v>1623</v>
      </c>
      <c r="D95" s="783">
        <v>800</v>
      </c>
      <c r="F95" s="446">
        <f t="shared" si="4"/>
        <v>800</v>
      </c>
    </row>
    <row r="96" spans="1:6">
      <c r="A96" s="446">
        <f t="shared" si="5"/>
        <v>14</v>
      </c>
      <c r="B96" s="447" t="s">
        <v>630</v>
      </c>
      <c r="C96" s="783" t="s">
        <v>1624</v>
      </c>
      <c r="D96" s="783">
        <v>300</v>
      </c>
      <c r="F96" s="446">
        <f t="shared" si="4"/>
        <v>300</v>
      </c>
    </row>
    <row r="97" spans="1:6">
      <c r="A97" s="446">
        <f t="shared" si="5"/>
        <v>15</v>
      </c>
      <c r="B97" s="447" t="s">
        <v>630</v>
      </c>
      <c r="C97" s="783" t="s">
        <v>1258</v>
      </c>
      <c r="D97" s="783">
        <v>3825</v>
      </c>
      <c r="F97" s="446">
        <f t="shared" si="4"/>
        <v>3825</v>
      </c>
    </row>
    <row r="98" spans="1:6">
      <c r="A98" s="446">
        <f t="shared" si="5"/>
        <v>16</v>
      </c>
      <c r="B98" s="447" t="s">
        <v>630</v>
      </c>
      <c r="C98" s="783" t="s">
        <v>1259</v>
      </c>
      <c r="D98" s="783">
        <v>100</v>
      </c>
      <c r="F98" s="446">
        <f t="shared" si="4"/>
        <v>100</v>
      </c>
    </row>
    <row r="99" spans="1:6">
      <c r="A99" s="446">
        <f t="shared" si="5"/>
        <v>17</v>
      </c>
      <c r="B99" s="447" t="s">
        <v>630</v>
      </c>
      <c r="C99" s="783" t="s">
        <v>1260</v>
      </c>
      <c r="D99" s="783">
        <v>175</v>
      </c>
      <c r="F99" s="446">
        <f t="shared" si="4"/>
        <v>175</v>
      </c>
    </row>
    <row r="100" spans="1:6">
      <c r="A100" s="446">
        <v>18</v>
      </c>
      <c r="B100" s="447" t="s">
        <v>630</v>
      </c>
      <c r="C100" s="783" t="s">
        <v>1261</v>
      </c>
      <c r="D100" s="783">
        <v>760</v>
      </c>
      <c r="F100" s="446">
        <f t="shared" si="4"/>
        <v>760</v>
      </c>
    </row>
    <row r="101" spans="1:6">
      <c r="A101" s="446">
        <f>A100+1</f>
        <v>19</v>
      </c>
      <c r="B101" s="447" t="s">
        <v>630</v>
      </c>
      <c r="C101" s="783" t="s">
        <v>1423</v>
      </c>
      <c r="D101" s="783">
        <v>10000</v>
      </c>
      <c r="F101" s="446">
        <f t="shared" si="4"/>
        <v>10000</v>
      </c>
    </row>
    <row r="102" spans="1:6">
      <c r="A102" s="446">
        <f>A101+1</f>
        <v>20</v>
      </c>
      <c r="B102" s="447" t="s">
        <v>630</v>
      </c>
      <c r="C102" s="783" t="s">
        <v>1625</v>
      </c>
      <c r="D102" s="783">
        <v>256</v>
      </c>
      <c r="F102" s="446">
        <f t="shared" si="4"/>
        <v>256</v>
      </c>
    </row>
    <row r="103" spans="1:6">
      <c r="A103" s="446">
        <f>A102+1</f>
        <v>21</v>
      </c>
      <c r="B103" s="447" t="s">
        <v>630</v>
      </c>
      <c r="C103" s="783" t="s">
        <v>1626</v>
      </c>
      <c r="D103" s="783">
        <v>200</v>
      </c>
      <c r="F103" s="446">
        <f t="shared" si="4"/>
        <v>200</v>
      </c>
    </row>
    <row r="104" spans="1:6">
      <c r="A104" s="446">
        <f>A103+1</f>
        <v>22</v>
      </c>
      <c r="B104" s="447" t="s">
        <v>630</v>
      </c>
      <c r="C104" s="782" t="s">
        <v>1262</v>
      </c>
      <c r="D104" s="783">
        <v>200</v>
      </c>
      <c r="F104" s="446">
        <f t="shared" si="4"/>
        <v>200</v>
      </c>
    </row>
    <row r="105" spans="1:6">
      <c r="A105" s="446">
        <v>23</v>
      </c>
      <c r="B105" s="447" t="s">
        <v>630</v>
      </c>
      <c r="C105" s="782" t="s">
        <v>1627</v>
      </c>
      <c r="D105" s="783">
        <v>420</v>
      </c>
      <c r="E105" s="448"/>
      <c r="F105" s="446">
        <f t="shared" ref="F105:F126" si="6">D105</f>
        <v>420</v>
      </c>
    </row>
    <row r="106" spans="1:6">
      <c r="A106" s="446">
        <f t="shared" ref="A106:A126" si="7">A105+1</f>
        <v>24</v>
      </c>
      <c r="B106" s="447" t="s">
        <v>630</v>
      </c>
      <c r="C106" s="782" t="s">
        <v>1628</v>
      </c>
      <c r="D106" s="783">
        <v>335</v>
      </c>
      <c r="F106" s="446">
        <f t="shared" si="6"/>
        <v>335</v>
      </c>
    </row>
    <row r="107" spans="1:6">
      <c r="A107" s="446">
        <f t="shared" si="7"/>
        <v>25</v>
      </c>
      <c r="B107" s="447" t="s">
        <v>630</v>
      </c>
      <c r="C107" s="782" t="s">
        <v>1629</v>
      </c>
      <c r="D107" s="783">
        <v>1200</v>
      </c>
      <c r="F107" s="446">
        <f t="shared" si="6"/>
        <v>1200</v>
      </c>
    </row>
    <row r="108" spans="1:6">
      <c r="A108" s="446">
        <f t="shared" si="7"/>
        <v>26</v>
      </c>
      <c r="B108" s="447" t="s">
        <v>630</v>
      </c>
      <c r="C108" s="782" t="s">
        <v>1630</v>
      </c>
      <c r="D108" s="783">
        <v>305</v>
      </c>
      <c r="F108" s="446">
        <f t="shared" si="6"/>
        <v>305</v>
      </c>
    </row>
    <row r="109" spans="1:6">
      <c r="A109" s="446">
        <f t="shared" si="7"/>
        <v>27</v>
      </c>
      <c r="B109" s="447" t="s">
        <v>630</v>
      </c>
      <c r="C109" s="782" t="s">
        <v>1263</v>
      </c>
      <c r="D109" s="783">
        <v>295</v>
      </c>
      <c r="E109" s="440" t="s">
        <v>327</v>
      </c>
      <c r="F109" s="446">
        <f t="shared" si="6"/>
        <v>295</v>
      </c>
    </row>
    <row r="110" spans="1:6">
      <c r="A110" s="446">
        <f t="shared" si="7"/>
        <v>28</v>
      </c>
      <c r="B110" s="447" t="s">
        <v>630</v>
      </c>
      <c r="C110" s="782" t="s">
        <v>1631</v>
      </c>
      <c r="D110" s="783">
        <v>150</v>
      </c>
      <c r="F110" s="446">
        <f t="shared" si="6"/>
        <v>150</v>
      </c>
    </row>
    <row r="111" spans="1:6">
      <c r="A111" s="446">
        <f t="shared" si="7"/>
        <v>29</v>
      </c>
      <c r="B111" s="447" t="s">
        <v>630</v>
      </c>
      <c r="C111" s="782" t="s">
        <v>1632</v>
      </c>
      <c r="D111" s="783">
        <v>415</v>
      </c>
      <c r="F111" s="446">
        <f t="shared" si="6"/>
        <v>415</v>
      </c>
    </row>
    <row r="112" spans="1:6">
      <c r="A112" s="446">
        <f t="shared" si="7"/>
        <v>30</v>
      </c>
      <c r="B112" s="447" t="s">
        <v>630</v>
      </c>
      <c r="C112" s="782" t="s">
        <v>1633</v>
      </c>
      <c r="D112" s="783">
        <v>5000</v>
      </c>
      <c r="F112" s="446">
        <f t="shared" si="6"/>
        <v>5000</v>
      </c>
    </row>
    <row r="113" spans="1:6">
      <c r="A113" s="446">
        <f t="shared" si="7"/>
        <v>31</v>
      </c>
      <c r="B113" s="447" t="s">
        <v>630</v>
      </c>
      <c r="C113" s="782" t="s">
        <v>1634</v>
      </c>
      <c r="D113" s="783">
        <v>25</v>
      </c>
      <c r="F113" s="446">
        <f t="shared" si="6"/>
        <v>25</v>
      </c>
    </row>
    <row r="114" spans="1:6">
      <c r="A114" s="446">
        <f t="shared" si="7"/>
        <v>32</v>
      </c>
      <c r="B114" s="447" t="s">
        <v>630</v>
      </c>
      <c r="C114" s="782" t="s">
        <v>1635</v>
      </c>
      <c r="D114" s="783">
        <v>15490</v>
      </c>
      <c r="E114" s="440" t="s">
        <v>327</v>
      </c>
      <c r="F114" s="446">
        <f t="shared" si="6"/>
        <v>15490</v>
      </c>
    </row>
    <row r="115" spans="1:6">
      <c r="A115" s="446">
        <f t="shared" si="7"/>
        <v>33</v>
      </c>
      <c r="B115" s="447" t="s">
        <v>630</v>
      </c>
      <c r="C115" s="782" t="s">
        <v>1636</v>
      </c>
      <c r="D115" s="783">
        <v>200</v>
      </c>
      <c r="F115" s="446">
        <f t="shared" si="6"/>
        <v>200</v>
      </c>
    </row>
    <row r="116" spans="1:6">
      <c r="A116" s="446">
        <f t="shared" si="7"/>
        <v>34</v>
      </c>
      <c r="B116" s="447" t="s">
        <v>630</v>
      </c>
      <c r="C116" s="782" t="s">
        <v>1264</v>
      </c>
      <c r="D116" s="783">
        <v>10720.45</v>
      </c>
      <c r="F116" s="446">
        <f t="shared" si="6"/>
        <v>10720.45</v>
      </c>
    </row>
    <row r="117" spans="1:6">
      <c r="A117" s="446">
        <f t="shared" si="7"/>
        <v>35</v>
      </c>
      <c r="B117" s="447" t="s">
        <v>630</v>
      </c>
      <c r="C117" s="782" t="s">
        <v>1424</v>
      </c>
      <c r="D117" s="783">
        <v>1000</v>
      </c>
      <c r="F117" s="446">
        <f t="shared" si="6"/>
        <v>1000</v>
      </c>
    </row>
    <row r="118" spans="1:6">
      <c r="A118" s="446">
        <f t="shared" si="7"/>
        <v>36</v>
      </c>
      <c r="B118" s="447" t="s">
        <v>630</v>
      </c>
      <c r="C118" s="782" t="s">
        <v>1425</v>
      </c>
      <c r="D118" s="783">
        <v>133</v>
      </c>
      <c r="F118" s="446">
        <f t="shared" si="6"/>
        <v>133</v>
      </c>
    </row>
    <row r="119" spans="1:6">
      <c r="A119" s="446">
        <f t="shared" si="7"/>
        <v>37</v>
      </c>
      <c r="B119" s="447" t="s">
        <v>630</v>
      </c>
      <c r="C119" s="782" t="s">
        <v>1265</v>
      </c>
      <c r="D119" s="783">
        <v>255</v>
      </c>
      <c r="F119" s="446">
        <f t="shared" si="6"/>
        <v>255</v>
      </c>
    </row>
    <row r="120" spans="1:6">
      <c r="A120" s="446">
        <f t="shared" si="7"/>
        <v>38</v>
      </c>
      <c r="B120" s="447" t="s">
        <v>630</v>
      </c>
      <c r="C120" s="782" t="s">
        <v>1266</v>
      </c>
      <c r="D120" s="783">
        <v>125</v>
      </c>
      <c r="F120" s="446">
        <f t="shared" si="6"/>
        <v>125</v>
      </c>
    </row>
    <row r="121" spans="1:6">
      <c r="A121" s="446">
        <f t="shared" si="7"/>
        <v>39</v>
      </c>
      <c r="B121" s="447" t="s">
        <v>630</v>
      </c>
      <c r="C121" s="782" t="s">
        <v>1426</v>
      </c>
      <c r="D121" s="783">
        <v>30</v>
      </c>
      <c r="F121" s="446">
        <f t="shared" si="6"/>
        <v>30</v>
      </c>
    </row>
    <row r="122" spans="1:6">
      <c r="A122" s="446">
        <f t="shared" si="7"/>
        <v>40</v>
      </c>
      <c r="B122" s="447" t="s">
        <v>630</v>
      </c>
      <c r="C122" s="782" t="s">
        <v>1267</v>
      </c>
      <c r="D122" s="783">
        <v>140</v>
      </c>
      <c r="F122" s="446">
        <f t="shared" si="6"/>
        <v>140</v>
      </c>
    </row>
    <row r="123" spans="1:6">
      <c r="A123" s="446">
        <f t="shared" si="7"/>
        <v>41</v>
      </c>
      <c r="B123" s="447" t="s">
        <v>630</v>
      </c>
      <c r="C123" s="784" t="s">
        <v>1637</v>
      </c>
      <c r="D123" s="783">
        <v>750</v>
      </c>
      <c r="F123" s="446">
        <f t="shared" si="6"/>
        <v>750</v>
      </c>
    </row>
    <row r="124" spans="1:6">
      <c r="A124" s="446">
        <f t="shared" si="7"/>
        <v>42</v>
      </c>
      <c r="B124" s="447" t="s">
        <v>630</v>
      </c>
      <c r="C124" s="782" t="s">
        <v>1638</v>
      </c>
      <c r="D124" s="783">
        <v>350</v>
      </c>
      <c r="F124" s="446">
        <f t="shared" si="6"/>
        <v>350</v>
      </c>
    </row>
    <row r="125" spans="1:6">
      <c r="A125" s="446">
        <f t="shared" si="7"/>
        <v>43</v>
      </c>
      <c r="B125" s="447" t="s">
        <v>630</v>
      </c>
      <c r="C125" s="785" t="s">
        <v>1427</v>
      </c>
      <c r="D125" s="783">
        <v>1000</v>
      </c>
      <c r="F125" s="446">
        <f t="shared" si="6"/>
        <v>1000</v>
      </c>
    </row>
    <row r="126" spans="1:6">
      <c r="A126" s="446">
        <f t="shared" si="7"/>
        <v>44</v>
      </c>
      <c r="B126" s="447" t="s">
        <v>630</v>
      </c>
      <c r="C126" s="784" t="s">
        <v>1428</v>
      </c>
      <c r="D126" s="783">
        <v>400</v>
      </c>
      <c r="F126" s="446">
        <f t="shared" si="6"/>
        <v>400</v>
      </c>
    </row>
    <row r="127" spans="1:6">
      <c r="A127" s="446">
        <f>A126+1</f>
        <v>45</v>
      </c>
      <c r="B127" s="447" t="s">
        <v>630</v>
      </c>
      <c r="C127" s="785" t="s">
        <v>1639</v>
      </c>
      <c r="D127" s="783">
        <v>500</v>
      </c>
      <c r="E127" s="448"/>
      <c r="F127" s="446">
        <f t="shared" ref="F127:F145" si="8">D127</f>
        <v>500</v>
      </c>
    </row>
    <row r="128" spans="1:6">
      <c r="A128" s="446">
        <f t="shared" ref="A128:A145" si="9">A127+1</f>
        <v>46</v>
      </c>
      <c r="B128" s="447" t="s">
        <v>630</v>
      </c>
      <c r="C128" s="785" t="s">
        <v>1640</v>
      </c>
      <c r="D128" s="783">
        <v>1525</v>
      </c>
      <c r="F128" s="446">
        <f t="shared" si="8"/>
        <v>1525</v>
      </c>
    </row>
    <row r="129" spans="1:6">
      <c r="A129" s="446">
        <f t="shared" si="9"/>
        <v>47</v>
      </c>
      <c r="B129" s="447" t="s">
        <v>630</v>
      </c>
      <c r="C129" s="782" t="s">
        <v>1268</v>
      </c>
      <c r="D129" s="783">
        <v>500</v>
      </c>
      <c r="F129" s="446">
        <f t="shared" si="8"/>
        <v>500</v>
      </c>
    </row>
    <row r="130" spans="1:6">
      <c r="A130" s="446">
        <f t="shared" si="9"/>
        <v>48</v>
      </c>
      <c r="B130" s="447" t="s">
        <v>630</v>
      </c>
      <c r="C130" s="782" t="s">
        <v>1641</v>
      </c>
      <c r="D130" s="783">
        <v>130</v>
      </c>
      <c r="F130" s="446">
        <f t="shared" si="8"/>
        <v>130</v>
      </c>
    </row>
    <row r="131" spans="1:6">
      <c r="A131" s="446">
        <f t="shared" si="9"/>
        <v>49</v>
      </c>
      <c r="B131" s="447" t="s">
        <v>630</v>
      </c>
      <c r="C131" s="779" t="s">
        <v>1269</v>
      </c>
      <c r="D131" s="783">
        <v>300</v>
      </c>
      <c r="F131" s="446">
        <f t="shared" si="8"/>
        <v>300</v>
      </c>
    </row>
    <row r="132" spans="1:6">
      <c r="A132" s="446">
        <f t="shared" si="9"/>
        <v>50</v>
      </c>
      <c r="B132" s="447" t="s">
        <v>630</v>
      </c>
      <c r="C132" s="785" t="s">
        <v>1270</v>
      </c>
      <c r="D132" s="783">
        <v>250</v>
      </c>
      <c r="F132" s="446">
        <f t="shared" si="8"/>
        <v>250</v>
      </c>
    </row>
    <row r="133" spans="1:6">
      <c r="A133" s="446">
        <f t="shared" si="9"/>
        <v>51</v>
      </c>
      <c r="B133" s="447" t="s">
        <v>630</v>
      </c>
      <c r="C133" s="782" t="s">
        <v>1642</v>
      </c>
      <c r="D133" s="783">
        <v>100</v>
      </c>
      <c r="F133" s="446">
        <f t="shared" si="8"/>
        <v>100</v>
      </c>
    </row>
    <row r="134" spans="1:6">
      <c r="A134" s="446">
        <f t="shared" si="9"/>
        <v>52</v>
      </c>
      <c r="B134" s="447" t="s">
        <v>630</v>
      </c>
      <c r="C134" s="782" t="s">
        <v>1271</v>
      </c>
      <c r="D134" s="783">
        <v>975</v>
      </c>
      <c r="F134" s="446">
        <f t="shared" si="8"/>
        <v>975</v>
      </c>
    </row>
    <row r="135" spans="1:6">
      <c r="A135" s="446">
        <f t="shared" si="9"/>
        <v>53</v>
      </c>
      <c r="B135" s="447" t="s">
        <v>630</v>
      </c>
      <c r="C135" s="782" t="s">
        <v>1643</v>
      </c>
      <c r="D135" s="783">
        <v>163.19999999999999</v>
      </c>
      <c r="F135" s="446">
        <f t="shared" si="8"/>
        <v>163.19999999999999</v>
      </c>
    </row>
    <row r="136" spans="1:6">
      <c r="A136" s="446">
        <f t="shared" si="9"/>
        <v>54</v>
      </c>
      <c r="B136" s="447" t="s">
        <v>630</v>
      </c>
      <c r="C136" s="782" t="s">
        <v>1644</v>
      </c>
      <c r="D136" s="783">
        <v>500</v>
      </c>
      <c r="F136" s="446">
        <f t="shared" si="8"/>
        <v>500</v>
      </c>
    </row>
    <row r="137" spans="1:6">
      <c r="A137" s="446">
        <f t="shared" si="9"/>
        <v>55</v>
      </c>
      <c r="B137" s="447" t="s">
        <v>630</v>
      </c>
      <c r="C137" s="782" t="s">
        <v>1645</v>
      </c>
      <c r="D137" s="783">
        <v>60</v>
      </c>
      <c r="F137" s="446">
        <f t="shared" si="8"/>
        <v>60</v>
      </c>
    </row>
    <row r="138" spans="1:6">
      <c r="A138" s="446">
        <f t="shared" si="9"/>
        <v>56</v>
      </c>
      <c r="B138" s="447" t="s">
        <v>630</v>
      </c>
      <c r="C138" s="782" t="s">
        <v>1272</v>
      </c>
      <c r="D138" s="783">
        <v>2999.4</v>
      </c>
      <c r="F138" s="446">
        <f t="shared" si="8"/>
        <v>2999.4</v>
      </c>
    </row>
    <row r="139" spans="1:6">
      <c r="A139" s="446">
        <f t="shared" si="9"/>
        <v>57</v>
      </c>
      <c r="B139" s="447" t="s">
        <v>630</v>
      </c>
      <c r="C139" s="782" t="s">
        <v>1273</v>
      </c>
      <c r="D139" s="783">
        <v>390</v>
      </c>
      <c r="F139" s="446">
        <f t="shared" si="8"/>
        <v>390</v>
      </c>
    </row>
    <row r="140" spans="1:6">
      <c r="A140" s="446">
        <f t="shared" si="9"/>
        <v>58</v>
      </c>
      <c r="B140" s="447" t="s">
        <v>630</v>
      </c>
      <c r="C140" s="782" t="s">
        <v>1646</v>
      </c>
      <c r="D140" s="783">
        <v>6000</v>
      </c>
      <c r="F140" s="446">
        <f t="shared" si="8"/>
        <v>6000</v>
      </c>
    </row>
    <row r="141" spans="1:6">
      <c r="A141" s="446">
        <f t="shared" si="9"/>
        <v>59</v>
      </c>
      <c r="B141" s="447" t="s">
        <v>630</v>
      </c>
      <c r="C141" s="782" t="s">
        <v>1647</v>
      </c>
      <c r="D141" s="783">
        <v>0</v>
      </c>
      <c r="F141" s="446">
        <f t="shared" si="8"/>
        <v>0</v>
      </c>
    </row>
    <row r="142" spans="1:6">
      <c r="A142" s="446">
        <f t="shared" si="9"/>
        <v>60</v>
      </c>
      <c r="B142" s="447" t="s">
        <v>630</v>
      </c>
      <c r="C142" s="779" t="s">
        <v>1648</v>
      </c>
      <c r="D142" s="783">
        <v>125</v>
      </c>
      <c r="F142" s="446">
        <f t="shared" si="8"/>
        <v>125</v>
      </c>
    </row>
    <row r="143" spans="1:6">
      <c r="A143" s="446">
        <f t="shared" si="9"/>
        <v>61</v>
      </c>
      <c r="B143" s="447" t="s">
        <v>630</v>
      </c>
      <c r="C143" s="782" t="s">
        <v>1274</v>
      </c>
      <c r="D143" s="783">
        <v>250</v>
      </c>
      <c r="F143" s="446">
        <f t="shared" si="8"/>
        <v>250</v>
      </c>
    </row>
    <row r="144" spans="1:6">
      <c r="A144" s="446">
        <f t="shared" si="9"/>
        <v>62</v>
      </c>
      <c r="B144" s="447" t="s">
        <v>630</v>
      </c>
      <c r="C144" s="782" t="s">
        <v>1649</v>
      </c>
      <c r="D144" s="783">
        <v>470</v>
      </c>
      <c r="E144" s="46"/>
      <c r="F144" s="446">
        <f t="shared" si="8"/>
        <v>470</v>
      </c>
    </row>
    <row r="145" spans="1:8">
      <c r="A145" s="446">
        <f t="shared" si="9"/>
        <v>63</v>
      </c>
      <c r="B145" s="447" t="s">
        <v>630</v>
      </c>
      <c r="C145" s="782" t="s">
        <v>1650</v>
      </c>
      <c r="D145" s="783">
        <v>50</v>
      </c>
      <c r="E145" s="457"/>
      <c r="F145" s="446">
        <f t="shared" si="8"/>
        <v>50</v>
      </c>
    </row>
    <row r="146" spans="1:8">
      <c r="A146" s="446"/>
      <c r="B146" s="447"/>
      <c r="C146" s="441"/>
      <c r="D146" s="446"/>
      <c r="E146" s="452"/>
      <c r="F146" s="446"/>
    </row>
    <row r="147" spans="1:8" ht="15.75">
      <c r="C147" s="453" t="s">
        <v>1329</v>
      </c>
      <c r="D147" s="449">
        <f>SUM(D83:D146)</f>
        <v>121894.59</v>
      </c>
      <c r="F147" s="449">
        <f>SUM(F83:F146)</f>
        <v>121894.59</v>
      </c>
    </row>
    <row r="149" spans="1:8">
      <c r="A149" s="450"/>
      <c r="B149" s="450"/>
      <c r="C149" s="450"/>
      <c r="D149" s="450"/>
      <c r="E149" s="450"/>
      <c r="F149" s="450"/>
      <c r="G149" s="450"/>
      <c r="H149" s="450"/>
    </row>
    <row r="150" spans="1:8">
      <c r="A150" s="450"/>
      <c r="B150" s="450"/>
      <c r="C150" s="450"/>
      <c r="D150" s="450"/>
      <c r="E150" s="450"/>
      <c r="F150" s="450"/>
      <c r="G150" s="450"/>
      <c r="H150" s="450"/>
    </row>
    <row r="151" spans="1:8">
      <c r="A151" s="450"/>
      <c r="B151" s="450"/>
      <c r="C151" t="s">
        <v>523</v>
      </c>
      <c r="D151" s="450"/>
      <c r="E151" s="450"/>
      <c r="F151" s="450"/>
      <c r="G151" s="450"/>
      <c r="H151" s="450"/>
    </row>
    <row r="152" spans="1:8">
      <c r="A152" s="450"/>
      <c r="B152" s="450"/>
      <c r="C152" s="80" t="s">
        <v>1511</v>
      </c>
      <c r="D152" s="450"/>
      <c r="E152" s="450"/>
      <c r="F152" s="450"/>
      <c r="G152" s="450"/>
      <c r="H152" s="450"/>
    </row>
    <row r="153" spans="1:8">
      <c r="A153" s="450"/>
      <c r="B153" s="450"/>
      <c r="C153" s="450"/>
      <c r="D153" s="450"/>
      <c r="E153" s="450"/>
      <c r="F153" s="450"/>
      <c r="G153" s="450"/>
      <c r="H153" s="450"/>
    </row>
    <row r="154" spans="1:8">
      <c r="A154" s="450"/>
      <c r="B154" s="450"/>
      <c r="C154" s="450"/>
      <c r="D154" s="450"/>
      <c r="E154" s="450"/>
      <c r="F154" s="450"/>
      <c r="G154" s="450"/>
      <c r="H154" s="450"/>
    </row>
    <row r="155" spans="1:8">
      <c r="A155" s="450"/>
      <c r="B155" s="450"/>
      <c r="C155" s="450"/>
      <c r="D155" s="450"/>
      <c r="E155" s="450"/>
      <c r="F155" s="450"/>
      <c r="G155" s="450"/>
      <c r="H155" s="450"/>
    </row>
    <row r="156" spans="1:8">
      <c r="A156" s="450"/>
      <c r="B156" s="450"/>
      <c r="C156" s="450"/>
      <c r="D156" s="450"/>
      <c r="E156" s="450"/>
      <c r="F156" s="450"/>
      <c r="G156" s="450"/>
      <c r="H156" s="450"/>
    </row>
    <row r="157" spans="1:8">
      <c r="A157" s="450"/>
      <c r="B157" s="450"/>
      <c r="C157" s="450"/>
      <c r="D157" s="450"/>
      <c r="E157" s="450"/>
      <c r="F157" s="450"/>
      <c r="G157" s="450"/>
      <c r="H157" s="450"/>
    </row>
    <row r="158" spans="1:8">
      <c r="A158" s="450"/>
      <c r="B158" s="450"/>
      <c r="C158" s="450"/>
      <c r="D158" s="450"/>
      <c r="E158" s="450"/>
      <c r="F158" s="450"/>
      <c r="G158" s="450"/>
      <c r="H158" s="450"/>
    </row>
    <row r="159" spans="1:8">
      <c r="A159" s="450"/>
      <c r="B159" s="450"/>
      <c r="C159" s="450"/>
      <c r="D159" s="450"/>
      <c r="E159" s="450"/>
      <c r="F159" s="450"/>
      <c r="G159" s="450"/>
      <c r="H159" s="450"/>
    </row>
    <row r="160" spans="1:8">
      <c r="A160" s="450"/>
      <c r="B160" s="450"/>
      <c r="C160" s="450"/>
      <c r="D160" s="450"/>
      <c r="E160" s="450"/>
      <c r="F160" s="450"/>
      <c r="G160" s="450"/>
      <c r="H160" s="45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79" max="6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M84"/>
  <sheetViews>
    <sheetView view="pageBreakPreview" zoomScale="70" zoomScaleNormal="90" zoomScaleSheetLayoutView="70" workbookViewId="0">
      <selection activeCell="F45" sqref="F45"/>
    </sheetView>
  </sheetViews>
  <sheetFormatPr defaultRowHeight="15"/>
  <cols>
    <col min="2" max="2" width="11.44140625" customWidth="1"/>
    <col min="3" max="3" width="43.109375" customWidth="1"/>
    <col min="4" max="4" width="9.5546875" bestFit="1" customWidth="1"/>
    <col min="5" max="5" width="12.77734375" customWidth="1"/>
    <col min="6" max="6" width="15.77734375" customWidth="1"/>
  </cols>
  <sheetData>
    <row r="1" spans="1:13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92"/>
    </row>
    <row r="2" spans="1:13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92"/>
    </row>
    <row r="3" spans="1:13" ht="15.75">
      <c r="A3" s="1180" t="s">
        <v>1397</v>
      </c>
      <c r="B3" s="1180"/>
      <c r="C3" s="1180"/>
      <c r="D3" s="1180"/>
      <c r="E3" s="1180"/>
      <c r="F3" s="1180"/>
      <c r="G3" s="92"/>
    </row>
    <row r="4" spans="1:13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92"/>
    </row>
    <row r="5" spans="1:13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92"/>
    </row>
    <row r="6" spans="1:13" ht="15.75">
      <c r="A6" s="12"/>
      <c r="B6" s="12"/>
      <c r="C6" s="92"/>
      <c r="D6" s="92"/>
      <c r="F6" s="92"/>
      <c r="G6" s="92"/>
    </row>
    <row r="7" spans="1:13" ht="15.75">
      <c r="A7" s="66" t="s">
        <v>810</v>
      </c>
      <c r="B7" s="12"/>
      <c r="C7" s="12"/>
      <c r="D7" s="92"/>
      <c r="F7" s="377" t="s">
        <v>1436</v>
      </c>
      <c r="G7" s="92"/>
    </row>
    <row r="8" spans="1:13" ht="15.75">
      <c r="A8" s="66" t="s">
        <v>1132</v>
      </c>
      <c r="B8" s="12"/>
      <c r="C8" s="12"/>
      <c r="D8" s="92"/>
      <c r="F8" s="562" t="s">
        <v>144</v>
      </c>
      <c r="G8" s="92"/>
    </row>
    <row r="9" spans="1:13" ht="15.75">
      <c r="A9" s="66" t="s">
        <v>431</v>
      </c>
      <c r="B9" s="12"/>
      <c r="C9" s="12"/>
      <c r="D9" s="92"/>
      <c r="F9" s="563" t="str">
        <f>F.1!F9</f>
        <v>Witness: Waller</v>
      </c>
      <c r="G9" s="92"/>
    </row>
    <row r="10" spans="1:13">
      <c r="A10" s="120" t="s">
        <v>94</v>
      </c>
      <c r="B10" s="119"/>
      <c r="C10" s="119"/>
      <c r="D10" s="120" t="s">
        <v>97</v>
      </c>
      <c r="E10" s="119"/>
      <c r="F10" s="119"/>
      <c r="G10" s="92"/>
    </row>
    <row r="11" spans="1:13">
      <c r="A11" s="101" t="s">
        <v>100</v>
      </c>
      <c r="B11" s="101" t="s">
        <v>176</v>
      </c>
      <c r="C11" s="101" t="s">
        <v>91</v>
      </c>
      <c r="D11" s="101" t="s">
        <v>599</v>
      </c>
      <c r="E11" s="91" t="s">
        <v>178</v>
      </c>
      <c r="F11" s="101" t="s">
        <v>600</v>
      </c>
      <c r="G11" s="92"/>
    </row>
    <row r="12" spans="1:13">
      <c r="A12" s="92"/>
      <c r="B12" s="92"/>
      <c r="C12" s="92"/>
      <c r="D12" s="92"/>
      <c r="E12" s="92"/>
      <c r="F12" s="92"/>
      <c r="G12" s="92"/>
    </row>
    <row r="13" spans="1:13" ht="15.75">
      <c r="A13" s="92"/>
      <c r="B13" s="92"/>
      <c r="C13" s="456" t="s">
        <v>812</v>
      </c>
      <c r="D13" s="92"/>
      <c r="E13" s="92"/>
      <c r="F13" s="92"/>
      <c r="G13" s="92"/>
    </row>
    <row r="14" spans="1:13">
      <c r="A14" s="92"/>
      <c r="B14" s="92"/>
      <c r="C14" s="92"/>
      <c r="D14" s="92"/>
      <c r="E14" s="92"/>
      <c r="F14" s="92"/>
      <c r="G14" s="92"/>
    </row>
    <row r="15" spans="1:13">
      <c r="A15" s="104">
        <v>1</v>
      </c>
      <c r="B15" s="447" t="s">
        <v>630</v>
      </c>
      <c r="C15" s="779" t="s">
        <v>1041</v>
      </c>
      <c r="D15" s="780">
        <v>23111.41</v>
      </c>
      <c r="E15" s="447" t="s">
        <v>1068</v>
      </c>
      <c r="F15" s="470">
        <f>D15</f>
        <v>23111.41</v>
      </c>
      <c r="G15" s="80"/>
      <c r="H15" s="80"/>
      <c r="I15" s="80"/>
      <c r="J15" s="80"/>
      <c r="K15" s="80"/>
      <c r="L15" s="80"/>
      <c r="M15" s="80"/>
    </row>
    <row r="16" spans="1:13">
      <c r="A16" s="104">
        <f t="shared" ref="A16:A23" si="0">A15+1</f>
        <v>2</v>
      </c>
      <c r="B16" s="447" t="s">
        <v>630</v>
      </c>
      <c r="C16" s="779" t="s">
        <v>1042</v>
      </c>
      <c r="D16" s="780">
        <v>0</v>
      </c>
      <c r="E16" s="438"/>
      <c r="F16" s="446">
        <f t="shared" ref="F16:F24" si="1">D16</f>
        <v>0</v>
      </c>
      <c r="G16" s="80"/>
    </row>
    <row r="17" spans="1:13">
      <c r="A17" s="104">
        <f t="shared" si="0"/>
        <v>3</v>
      </c>
      <c r="B17" s="447" t="s">
        <v>630</v>
      </c>
      <c r="C17" s="779" t="s">
        <v>440</v>
      </c>
      <c r="D17" s="780">
        <v>3000</v>
      </c>
      <c r="E17" s="438"/>
      <c r="F17" s="446">
        <f t="shared" si="1"/>
        <v>3000</v>
      </c>
      <c r="G17" s="80"/>
    </row>
    <row r="18" spans="1:13">
      <c r="A18" s="104">
        <f t="shared" si="0"/>
        <v>4</v>
      </c>
      <c r="B18" s="447" t="s">
        <v>630</v>
      </c>
      <c r="C18" s="779" t="s">
        <v>966</v>
      </c>
      <c r="D18" s="780">
        <v>8850</v>
      </c>
      <c r="E18" s="438"/>
      <c r="F18" s="446">
        <f t="shared" si="1"/>
        <v>8850</v>
      </c>
      <c r="G18" s="80"/>
      <c r="H18" s="80"/>
      <c r="I18" s="80"/>
      <c r="J18" s="80"/>
      <c r="K18" s="80"/>
      <c r="L18" s="80"/>
      <c r="M18" s="80"/>
    </row>
    <row r="19" spans="1:13">
      <c r="A19" s="104">
        <f t="shared" si="0"/>
        <v>5</v>
      </c>
      <c r="B19" s="447" t="s">
        <v>630</v>
      </c>
      <c r="C19" s="779" t="s">
        <v>967</v>
      </c>
      <c r="D19" s="780">
        <v>11175</v>
      </c>
      <c r="E19" s="438"/>
      <c r="F19" s="446">
        <f t="shared" si="1"/>
        <v>11175</v>
      </c>
      <c r="G19" s="80"/>
      <c r="H19" s="80"/>
      <c r="I19" s="80"/>
      <c r="J19" s="80"/>
      <c r="K19" s="80"/>
      <c r="L19" s="80"/>
      <c r="M19" s="80"/>
    </row>
    <row r="20" spans="1:13">
      <c r="A20" s="104">
        <f t="shared" si="0"/>
        <v>6</v>
      </c>
      <c r="B20" s="447" t="s">
        <v>630</v>
      </c>
      <c r="C20" s="779" t="s">
        <v>1043</v>
      </c>
      <c r="D20" s="780">
        <v>70955</v>
      </c>
      <c r="E20" s="438"/>
      <c r="F20" s="446">
        <f t="shared" si="1"/>
        <v>70955</v>
      </c>
      <c r="G20" s="80"/>
      <c r="H20" s="80"/>
      <c r="I20" s="80"/>
      <c r="J20" s="80"/>
      <c r="K20" s="80"/>
      <c r="L20" s="80"/>
      <c r="M20" s="80"/>
    </row>
    <row r="21" spans="1:13">
      <c r="A21" s="104">
        <f t="shared" si="0"/>
        <v>7</v>
      </c>
      <c r="B21" s="447" t="s">
        <v>630</v>
      </c>
      <c r="C21" s="782" t="s">
        <v>815</v>
      </c>
      <c r="D21" s="780">
        <v>0</v>
      </c>
      <c r="E21" s="438"/>
      <c r="F21" s="446">
        <f t="shared" si="1"/>
        <v>0</v>
      </c>
      <c r="G21" s="80"/>
      <c r="H21" s="80"/>
      <c r="I21" s="80"/>
      <c r="J21" s="80"/>
      <c r="K21" s="80"/>
      <c r="L21" s="80"/>
      <c r="M21" s="80"/>
    </row>
    <row r="22" spans="1:13">
      <c r="A22" s="104">
        <f t="shared" si="0"/>
        <v>8</v>
      </c>
      <c r="B22" s="447" t="s">
        <v>630</v>
      </c>
      <c r="C22" s="782" t="s">
        <v>527</v>
      </c>
      <c r="D22" s="780">
        <v>500</v>
      </c>
      <c r="E22" s="438"/>
      <c r="F22" s="446">
        <f t="shared" si="1"/>
        <v>500</v>
      </c>
      <c r="G22" s="80"/>
      <c r="H22" s="80"/>
      <c r="I22" s="80"/>
      <c r="J22" s="80"/>
      <c r="K22" s="80"/>
      <c r="L22" s="80"/>
      <c r="M22" s="80"/>
    </row>
    <row r="23" spans="1:13">
      <c r="A23" s="104">
        <f t="shared" si="0"/>
        <v>9</v>
      </c>
      <c r="B23" s="447" t="s">
        <v>630</v>
      </c>
      <c r="C23" s="782" t="s">
        <v>1275</v>
      </c>
      <c r="D23" s="780">
        <v>178005</v>
      </c>
      <c r="E23" s="438"/>
      <c r="F23" s="446">
        <f t="shared" si="1"/>
        <v>178005</v>
      </c>
      <c r="G23" s="80"/>
      <c r="H23" s="80"/>
      <c r="I23" s="80"/>
      <c r="J23" s="80"/>
      <c r="K23" s="80"/>
      <c r="L23" s="80"/>
      <c r="M23" s="80"/>
    </row>
    <row r="24" spans="1:13">
      <c r="A24" s="92"/>
      <c r="B24" s="438"/>
      <c r="C24" s="447" t="s">
        <v>97</v>
      </c>
      <c r="D24" s="561">
        <f>SUM(D15:D23,0)</f>
        <v>295596.41000000003</v>
      </c>
      <c r="E24" s="438"/>
      <c r="F24" s="561">
        <f t="shared" si="1"/>
        <v>295596.41000000003</v>
      </c>
      <c r="G24" s="92"/>
      <c r="H24" s="80"/>
      <c r="I24" s="80"/>
      <c r="J24" s="80"/>
      <c r="K24" s="80"/>
      <c r="L24" s="80"/>
      <c r="M24" s="80"/>
    </row>
    <row r="25" spans="1:13">
      <c r="A25" s="92"/>
      <c r="B25" s="92"/>
      <c r="C25" s="92"/>
      <c r="D25" s="92"/>
      <c r="E25" s="92"/>
      <c r="F25" s="92"/>
      <c r="G25" s="92"/>
      <c r="H25" s="80"/>
      <c r="I25" s="80"/>
      <c r="J25" s="80"/>
      <c r="K25" s="80"/>
      <c r="L25" s="80"/>
      <c r="M25" s="80"/>
    </row>
    <row r="26" spans="1:13" ht="15.75">
      <c r="A26" s="92"/>
      <c r="B26" s="438"/>
      <c r="C26" s="456" t="s">
        <v>1398</v>
      </c>
      <c r="D26" s="465"/>
      <c r="E26" s="438"/>
      <c r="F26" s="465"/>
      <c r="G26" s="92"/>
      <c r="H26" s="80"/>
      <c r="I26" s="80"/>
      <c r="J26" s="80"/>
      <c r="K26" s="80"/>
      <c r="L26" s="80"/>
      <c r="M26" s="80"/>
    </row>
    <row r="27" spans="1:13">
      <c r="A27" s="92"/>
      <c r="B27" s="438"/>
      <c r="C27" s="447"/>
      <c r="D27" s="465"/>
      <c r="E27" s="438"/>
      <c r="F27" s="465"/>
      <c r="G27" s="92"/>
      <c r="H27" s="80"/>
      <c r="I27" s="80"/>
      <c r="J27" s="80"/>
      <c r="K27" s="80"/>
      <c r="L27" s="80"/>
      <c r="M27" s="80"/>
    </row>
    <row r="28" spans="1:13">
      <c r="A28" s="104">
        <v>1</v>
      </c>
      <c r="B28" s="447" t="s">
        <v>630</v>
      </c>
      <c r="C28" s="779" t="s">
        <v>1041</v>
      </c>
      <c r="D28" s="780">
        <v>23111.41</v>
      </c>
      <c r="E28" s="447" t="s">
        <v>1068</v>
      </c>
      <c r="F28" s="470">
        <f t="shared" ref="F28:F37" si="2">D28</f>
        <v>23111.41</v>
      </c>
      <c r="G28" s="92"/>
      <c r="H28" s="80"/>
      <c r="I28" s="80"/>
      <c r="J28" s="80"/>
      <c r="K28" s="80"/>
      <c r="L28" s="80"/>
      <c r="M28" s="80"/>
    </row>
    <row r="29" spans="1:13">
      <c r="A29" s="104">
        <f t="shared" ref="A29:A36" si="3">A28+1</f>
        <v>2</v>
      </c>
      <c r="B29" s="447" t="s">
        <v>630</v>
      </c>
      <c r="C29" s="779" t="s">
        <v>1042</v>
      </c>
      <c r="D29" s="780">
        <v>0</v>
      </c>
      <c r="E29" s="438"/>
      <c r="F29" s="446">
        <f t="shared" si="2"/>
        <v>0</v>
      </c>
      <c r="G29" s="92"/>
      <c r="H29" s="80"/>
      <c r="I29" s="80"/>
      <c r="J29" s="80"/>
      <c r="K29" s="80"/>
      <c r="L29" s="80"/>
      <c r="M29" s="80"/>
    </row>
    <row r="30" spans="1:13">
      <c r="A30" s="104">
        <f t="shared" si="3"/>
        <v>3</v>
      </c>
      <c r="B30" s="447" t="s">
        <v>630</v>
      </c>
      <c r="C30" s="779" t="s">
        <v>440</v>
      </c>
      <c r="D30" s="780">
        <v>3000</v>
      </c>
      <c r="E30" s="438"/>
      <c r="F30" s="446">
        <f t="shared" si="2"/>
        <v>3000</v>
      </c>
      <c r="G30" s="92"/>
      <c r="H30" s="80"/>
      <c r="I30" s="80"/>
      <c r="J30" s="80"/>
      <c r="K30" s="80"/>
      <c r="L30" s="80"/>
      <c r="M30" s="80"/>
    </row>
    <row r="31" spans="1:13">
      <c r="A31" s="104">
        <f t="shared" si="3"/>
        <v>4</v>
      </c>
      <c r="B31" s="447" t="s">
        <v>630</v>
      </c>
      <c r="C31" s="779" t="s">
        <v>966</v>
      </c>
      <c r="D31" s="780">
        <v>8850</v>
      </c>
      <c r="E31" s="438"/>
      <c r="F31" s="446">
        <f t="shared" si="2"/>
        <v>8850</v>
      </c>
      <c r="G31" s="92"/>
      <c r="H31" s="80"/>
      <c r="I31" s="80"/>
      <c r="J31" s="80"/>
      <c r="K31" s="80"/>
      <c r="L31" s="80"/>
      <c r="M31" s="80"/>
    </row>
    <row r="32" spans="1:13">
      <c r="A32" s="104">
        <f t="shared" si="3"/>
        <v>5</v>
      </c>
      <c r="B32" s="447" t="s">
        <v>630</v>
      </c>
      <c r="C32" s="779" t="s">
        <v>967</v>
      </c>
      <c r="D32" s="780">
        <v>11175</v>
      </c>
      <c r="E32" s="438"/>
      <c r="F32" s="446">
        <f t="shared" si="2"/>
        <v>11175</v>
      </c>
      <c r="G32" s="92"/>
      <c r="H32" s="80"/>
      <c r="I32" s="80"/>
      <c r="J32" s="80"/>
      <c r="K32" s="80"/>
      <c r="L32" s="80"/>
      <c r="M32" s="80"/>
    </row>
    <row r="33" spans="1:13">
      <c r="A33" s="104">
        <f t="shared" si="3"/>
        <v>6</v>
      </c>
      <c r="B33" s="447" t="s">
        <v>630</v>
      </c>
      <c r="C33" s="779" t="s">
        <v>1043</v>
      </c>
      <c r="D33" s="780">
        <v>70955</v>
      </c>
      <c r="E33" s="438"/>
      <c r="F33" s="446">
        <f t="shared" si="2"/>
        <v>70955</v>
      </c>
      <c r="G33" s="92"/>
      <c r="H33" s="80"/>
      <c r="I33" s="80"/>
      <c r="J33" s="80"/>
      <c r="K33" s="80"/>
      <c r="L33" s="80"/>
      <c r="M33" s="80"/>
    </row>
    <row r="34" spans="1:13">
      <c r="A34" s="104">
        <f t="shared" si="3"/>
        <v>7</v>
      </c>
      <c r="B34" s="447" t="s">
        <v>630</v>
      </c>
      <c r="C34" s="782" t="s">
        <v>815</v>
      </c>
      <c r="D34" s="780">
        <v>0</v>
      </c>
      <c r="E34" s="438"/>
      <c r="F34" s="446">
        <f t="shared" si="2"/>
        <v>0</v>
      </c>
      <c r="G34" s="92"/>
      <c r="H34" s="80"/>
      <c r="I34" s="80"/>
      <c r="J34" s="80"/>
      <c r="K34" s="80"/>
      <c r="L34" s="80"/>
      <c r="M34" s="80"/>
    </row>
    <row r="35" spans="1:13">
      <c r="A35" s="104">
        <f t="shared" si="3"/>
        <v>8</v>
      </c>
      <c r="B35" s="447" t="s">
        <v>630</v>
      </c>
      <c r="C35" s="782" t="s">
        <v>527</v>
      </c>
      <c r="D35" s="780">
        <v>500</v>
      </c>
      <c r="E35" s="438"/>
      <c r="F35" s="446">
        <f t="shared" si="2"/>
        <v>500</v>
      </c>
      <c r="G35" s="92"/>
      <c r="H35" s="80"/>
      <c r="I35" s="80"/>
      <c r="J35" s="80"/>
      <c r="K35" s="80"/>
      <c r="L35" s="80"/>
      <c r="M35" s="80"/>
    </row>
    <row r="36" spans="1:13">
      <c r="A36" s="104">
        <f t="shared" si="3"/>
        <v>9</v>
      </c>
      <c r="B36" s="447" t="s">
        <v>630</v>
      </c>
      <c r="C36" s="782" t="s">
        <v>1275</v>
      </c>
      <c r="D36" s="780">
        <v>178005</v>
      </c>
      <c r="E36" s="438"/>
      <c r="F36" s="446">
        <f t="shared" si="2"/>
        <v>178005</v>
      </c>
      <c r="G36" s="92"/>
      <c r="H36" s="80"/>
      <c r="I36" s="80"/>
      <c r="J36" s="80"/>
      <c r="K36" s="80"/>
      <c r="L36" s="80"/>
      <c r="M36" s="80"/>
    </row>
    <row r="37" spans="1:13">
      <c r="A37" s="92"/>
      <c r="B37" s="438"/>
      <c r="C37" s="447" t="s">
        <v>97</v>
      </c>
      <c r="D37" s="561">
        <f>SUM(D28:D36,0)</f>
        <v>295596.41000000003</v>
      </c>
      <c r="E37" s="438"/>
      <c r="F37" s="561">
        <f t="shared" si="2"/>
        <v>295596.41000000003</v>
      </c>
      <c r="G37" s="92"/>
      <c r="H37" s="80"/>
      <c r="I37" s="80"/>
      <c r="J37" s="80"/>
      <c r="K37" s="80"/>
      <c r="L37" s="80"/>
      <c r="M37" s="80"/>
    </row>
    <row r="38" spans="1:13">
      <c r="A38" s="92"/>
      <c r="B38" s="92"/>
      <c r="C38" s="92"/>
      <c r="D38" s="92"/>
      <c r="E38" s="92"/>
      <c r="F38" s="92"/>
      <c r="G38" s="92"/>
      <c r="H38" s="80"/>
      <c r="I38" s="80"/>
      <c r="J38" s="80"/>
      <c r="K38" s="80"/>
      <c r="L38" s="80"/>
      <c r="M38" s="80"/>
    </row>
    <row r="39" spans="1:13" ht="15.75">
      <c r="A39" s="12"/>
      <c r="B39" s="92"/>
      <c r="C39" s="92"/>
      <c r="D39" s="92"/>
      <c r="E39" s="92"/>
      <c r="F39" s="92"/>
      <c r="G39" s="92"/>
      <c r="H39" s="80"/>
      <c r="I39" s="80"/>
      <c r="J39" s="80"/>
      <c r="K39" s="80"/>
      <c r="L39" s="80"/>
      <c r="M39" s="80"/>
    </row>
    <row r="40" spans="1:13">
      <c r="B40" s="96" t="s">
        <v>413</v>
      </c>
      <c r="G40" s="92"/>
      <c r="H40" s="80"/>
      <c r="I40" s="80"/>
      <c r="J40" s="80"/>
      <c r="K40" s="80"/>
      <c r="L40" s="80"/>
      <c r="M40" s="80"/>
    </row>
    <row r="41" spans="1:13">
      <c r="A41" s="92"/>
      <c r="B41" s="92"/>
      <c r="C41" s="92"/>
      <c r="D41" s="92"/>
      <c r="E41" s="92"/>
      <c r="F41" s="92"/>
      <c r="G41" s="92"/>
      <c r="H41" s="80"/>
      <c r="I41" s="80"/>
      <c r="J41" s="80"/>
      <c r="K41" s="80"/>
      <c r="L41" s="80"/>
      <c r="M41" s="80"/>
    </row>
    <row r="42" spans="1:13">
      <c r="H42" s="80"/>
      <c r="I42" s="80"/>
      <c r="J42" s="80"/>
      <c r="K42" s="80"/>
      <c r="L42" s="80"/>
      <c r="M42" s="80"/>
    </row>
    <row r="43" spans="1:13">
      <c r="B43" t="s">
        <v>523</v>
      </c>
      <c r="H43" s="80"/>
      <c r="I43" s="80"/>
      <c r="J43" s="80"/>
      <c r="K43" s="80"/>
      <c r="L43" s="80"/>
      <c r="M43" s="80"/>
    </row>
    <row r="44" spans="1:13">
      <c r="B44" t="s">
        <v>1510</v>
      </c>
      <c r="H44" s="80"/>
      <c r="I44" s="80"/>
      <c r="J44" s="80"/>
      <c r="K44" s="80"/>
      <c r="L44" s="80"/>
      <c r="M44" s="80"/>
    </row>
    <row r="45" spans="1:13">
      <c r="H45" s="80"/>
      <c r="I45" s="80"/>
      <c r="J45" s="80"/>
      <c r="K45" s="80"/>
      <c r="L45" s="80"/>
      <c r="M45" s="80"/>
    </row>
    <row r="46" spans="1:13">
      <c r="H46" s="80"/>
      <c r="I46" s="80"/>
      <c r="J46" s="80"/>
      <c r="K46" s="80"/>
      <c r="L46" s="80"/>
      <c r="M46" s="80"/>
    </row>
    <row r="47" spans="1:13">
      <c r="H47" s="80"/>
      <c r="I47" s="80"/>
      <c r="J47" s="80"/>
      <c r="K47" s="80"/>
      <c r="L47" s="80"/>
      <c r="M47" s="80"/>
    </row>
    <row r="48" spans="1:13">
      <c r="H48" s="80"/>
      <c r="I48" s="80"/>
      <c r="J48" s="80"/>
      <c r="K48" s="80"/>
      <c r="L48" s="80"/>
      <c r="M48" s="80"/>
    </row>
    <row r="49" spans="8:13">
      <c r="H49" s="80"/>
      <c r="I49" s="80"/>
      <c r="J49" s="80"/>
      <c r="K49" s="80"/>
      <c r="L49" s="80"/>
      <c r="M49" s="80"/>
    </row>
    <row r="50" spans="8:13">
      <c r="H50" s="80"/>
      <c r="I50" s="80"/>
      <c r="J50" s="80"/>
      <c r="K50" s="80"/>
      <c r="L50" s="80"/>
      <c r="M50" s="80"/>
    </row>
    <row r="51" spans="8:13">
      <c r="H51" s="80"/>
      <c r="I51" s="80"/>
      <c r="J51" s="80"/>
      <c r="K51" s="80"/>
      <c r="L51" s="80"/>
      <c r="M51" s="80"/>
    </row>
    <row r="52" spans="8:13">
      <c r="H52" s="80"/>
      <c r="I52" s="80"/>
      <c r="J52" s="80"/>
      <c r="K52" s="80"/>
      <c r="L52" s="80"/>
      <c r="M52" s="80"/>
    </row>
    <row r="53" spans="8:13">
      <c r="H53" s="80"/>
      <c r="I53" s="80"/>
      <c r="J53" s="80"/>
      <c r="K53" s="80"/>
      <c r="L53" s="80"/>
      <c r="M53" s="80"/>
    </row>
    <row r="54" spans="8:13">
      <c r="H54" s="80"/>
      <c r="I54" s="80"/>
      <c r="J54" s="80"/>
      <c r="K54" s="80"/>
      <c r="L54" s="80"/>
      <c r="M54" s="80"/>
    </row>
    <row r="55" spans="8:13">
      <c r="H55" s="80"/>
      <c r="I55" s="80"/>
      <c r="J55" s="80"/>
      <c r="K55" s="80"/>
      <c r="L55" s="80"/>
      <c r="M55" s="80"/>
    </row>
    <row r="56" spans="8:13">
      <c r="H56" s="80"/>
      <c r="I56" s="80"/>
      <c r="J56" s="80"/>
      <c r="K56" s="80"/>
      <c r="L56" s="80"/>
      <c r="M56" s="80"/>
    </row>
    <row r="57" spans="8:13">
      <c r="H57" s="80"/>
      <c r="I57" s="80"/>
      <c r="J57" s="80"/>
      <c r="K57" s="80"/>
      <c r="L57" s="80"/>
      <c r="M57" s="80"/>
    </row>
    <row r="58" spans="8:13">
      <c r="H58" s="80"/>
      <c r="I58" s="80"/>
      <c r="J58" s="80"/>
      <c r="K58" s="80"/>
      <c r="L58" s="80"/>
      <c r="M58" s="80"/>
    </row>
    <row r="59" spans="8:13">
      <c r="H59" s="80"/>
      <c r="I59" s="80"/>
      <c r="J59" s="80"/>
      <c r="K59" s="80"/>
      <c r="L59" s="80"/>
      <c r="M59" s="80"/>
    </row>
    <row r="60" spans="8:13">
      <c r="H60" s="80"/>
      <c r="I60" s="80"/>
      <c r="J60" s="80"/>
      <c r="K60" s="80"/>
      <c r="L60" s="80"/>
      <c r="M60" s="80"/>
    </row>
    <row r="61" spans="8:13">
      <c r="H61" s="80"/>
      <c r="I61" s="80"/>
      <c r="J61" s="80"/>
      <c r="K61" s="80"/>
      <c r="L61" s="80"/>
      <c r="M61" s="80"/>
    </row>
    <row r="62" spans="8:13">
      <c r="H62" s="80"/>
      <c r="I62" s="80"/>
      <c r="J62" s="80"/>
      <c r="K62" s="80"/>
      <c r="L62" s="80"/>
      <c r="M62" s="80"/>
    </row>
    <row r="63" spans="8:13">
      <c r="H63" s="80"/>
      <c r="I63" s="80"/>
      <c r="J63" s="80"/>
      <c r="K63" s="80"/>
      <c r="L63" s="80"/>
      <c r="M63" s="80"/>
    </row>
    <row r="64" spans="8:13">
      <c r="H64" s="80"/>
      <c r="I64" s="80"/>
      <c r="J64" s="80"/>
      <c r="K64" s="80"/>
      <c r="L64" s="80"/>
      <c r="M64" s="80"/>
    </row>
    <row r="65" spans="8:13">
      <c r="H65" s="80"/>
      <c r="I65" s="80"/>
      <c r="J65" s="80"/>
      <c r="K65" s="80"/>
      <c r="L65" s="80"/>
      <c r="M65" s="80"/>
    </row>
    <row r="66" spans="8:13">
      <c r="H66" s="80"/>
      <c r="I66" s="80"/>
      <c r="J66" s="80"/>
      <c r="K66" s="80"/>
      <c r="L66" s="80"/>
      <c r="M66" s="80"/>
    </row>
    <row r="67" spans="8:13">
      <c r="H67" s="80"/>
      <c r="I67" s="80"/>
      <c r="J67" s="80"/>
      <c r="K67" s="80"/>
      <c r="L67" s="80"/>
      <c r="M67" s="80"/>
    </row>
    <row r="68" spans="8:13">
      <c r="H68" s="80"/>
      <c r="I68" s="80"/>
      <c r="J68" s="80"/>
      <c r="K68" s="80"/>
      <c r="L68" s="80"/>
      <c r="M68" s="80"/>
    </row>
    <row r="69" spans="8:13">
      <c r="H69" s="80"/>
      <c r="I69" s="80"/>
      <c r="J69" s="80"/>
      <c r="K69" s="80"/>
      <c r="L69" s="80"/>
      <c r="M69" s="80"/>
    </row>
    <row r="70" spans="8:13">
      <c r="H70" s="80"/>
      <c r="I70" s="80"/>
      <c r="J70" s="80"/>
      <c r="K70" s="80"/>
      <c r="L70" s="80"/>
      <c r="M70" s="80"/>
    </row>
    <row r="71" spans="8:13">
      <c r="H71" s="80"/>
      <c r="I71" s="80"/>
      <c r="J71" s="80"/>
      <c r="K71" s="80"/>
      <c r="L71" s="80"/>
      <c r="M71" s="80"/>
    </row>
    <row r="72" spans="8:13">
      <c r="H72" s="80"/>
      <c r="I72" s="80"/>
      <c r="J72" s="80"/>
      <c r="K72" s="80"/>
      <c r="L72" s="80"/>
      <c r="M72" s="80"/>
    </row>
    <row r="73" spans="8:13">
      <c r="H73" s="80"/>
      <c r="I73" s="80"/>
      <c r="J73" s="80"/>
      <c r="K73" s="80"/>
      <c r="L73" s="80"/>
      <c r="M73" s="80"/>
    </row>
    <row r="74" spans="8:13">
      <c r="H74" s="80"/>
      <c r="I74" s="80"/>
      <c r="J74" s="80"/>
      <c r="K74" s="80"/>
      <c r="L74" s="80"/>
      <c r="M74" s="80"/>
    </row>
    <row r="75" spans="8:13">
      <c r="H75" s="80"/>
      <c r="I75" s="80"/>
      <c r="J75" s="80"/>
      <c r="K75" s="80"/>
      <c r="L75" s="80"/>
      <c r="M75" s="80"/>
    </row>
    <row r="76" spans="8:13">
      <c r="H76" s="80"/>
      <c r="I76" s="80"/>
      <c r="J76" s="80"/>
      <c r="K76" s="80"/>
      <c r="L76" s="80"/>
      <c r="M76" s="80"/>
    </row>
    <row r="77" spans="8:13">
      <c r="H77" s="80"/>
      <c r="I77" s="80"/>
      <c r="J77" s="80"/>
      <c r="K77" s="80"/>
      <c r="L77" s="80"/>
      <c r="M77" s="80"/>
    </row>
    <row r="78" spans="8:13">
      <c r="H78" s="80"/>
      <c r="I78" s="80"/>
      <c r="J78" s="80"/>
      <c r="K78" s="80"/>
      <c r="L78" s="80"/>
      <c r="M78" s="80"/>
    </row>
    <row r="79" spans="8:13">
      <c r="H79" s="80"/>
      <c r="I79" s="80"/>
      <c r="J79" s="80"/>
      <c r="K79" s="80"/>
      <c r="L79" s="80"/>
      <c r="M79" s="80"/>
    </row>
    <row r="80" spans="8:13">
      <c r="H80" s="80"/>
      <c r="I80" s="80"/>
      <c r="J80" s="80"/>
      <c r="K80" s="80"/>
      <c r="L80" s="80"/>
      <c r="M80" s="80"/>
    </row>
    <row r="81" spans="8:13">
      <c r="H81" s="80"/>
      <c r="I81" s="80"/>
      <c r="J81" s="80"/>
      <c r="K81" s="80"/>
      <c r="L81" s="80"/>
      <c r="M81" s="80"/>
    </row>
    <row r="82" spans="8:13">
      <c r="H82" s="80"/>
      <c r="I82" s="80"/>
      <c r="J82" s="80"/>
      <c r="K82" s="80"/>
      <c r="L82" s="80"/>
      <c r="M82" s="80"/>
    </row>
    <row r="83" spans="8:13">
      <c r="H83" s="80"/>
      <c r="I83" s="80"/>
      <c r="J83" s="80"/>
      <c r="K83" s="80"/>
      <c r="L83" s="80"/>
      <c r="M83" s="80"/>
    </row>
    <row r="84" spans="8:13">
      <c r="H84" s="80"/>
      <c r="I84" s="80"/>
      <c r="J84" s="80"/>
      <c r="K84" s="80"/>
      <c r="L84" s="80"/>
      <c r="M84" s="80"/>
    </row>
  </sheetData>
  <mergeCells count="5">
    <mergeCell ref="A5:F5"/>
    <mergeCell ref="A1:F1"/>
    <mergeCell ref="A2:F2"/>
    <mergeCell ref="A3:F3"/>
    <mergeCell ref="A4:F4"/>
  </mergeCells>
  <phoneticPr fontId="22" type="noConversion"/>
  <printOptions horizontalCentered="1"/>
  <pageMargins left="1" right="1" top="1" bottom="1" header="1" footer="0.5"/>
  <pageSetup scale="74" orientation="landscape" verticalDpi="300" r:id="rId1"/>
  <headerFooter alignWithMargins="0"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35"/>
  <sheetViews>
    <sheetView view="pageBreakPreview" topLeftCell="A4" zoomScale="60" zoomScaleNormal="90" workbookViewId="0">
      <selection activeCell="F45" sqref="F45"/>
    </sheetView>
  </sheetViews>
  <sheetFormatPr defaultRowHeight="15"/>
  <cols>
    <col min="1" max="1" width="5.5546875" customWidth="1"/>
    <col min="2" max="2" width="9.66406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4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4" ht="15.75">
      <c r="A3" s="1160" t="s">
        <v>784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4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4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4" ht="15.75">
      <c r="A6" s="92"/>
      <c r="B6" s="12"/>
      <c r="C6" s="92"/>
      <c r="D6" s="92"/>
      <c r="E6" s="92"/>
      <c r="F6" s="92"/>
      <c r="G6" s="92"/>
      <c r="H6" s="92"/>
      <c r="I6" s="92"/>
      <c r="J6" s="92"/>
    </row>
    <row r="7" spans="1:14" ht="15.75">
      <c r="A7" s="92"/>
      <c r="B7" s="12"/>
      <c r="C7" s="12"/>
      <c r="D7" s="92"/>
      <c r="E7" s="92"/>
      <c r="F7" s="92"/>
      <c r="G7" s="92"/>
      <c r="H7" s="92"/>
      <c r="J7" s="92"/>
    </row>
    <row r="8" spans="1:14" ht="15.75">
      <c r="A8" s="66" t="s">
        <v>485</v>
      </c>
      <c r="B8" s="12"/>
      <c r="C8" s="92"/>
      <c r="D8" s="92"/>
      <c r="E8" s="92"/>
      <c r="F8" s="92"/>
      <c r="G8" s="92"/>
      <c r="H8" s="92"/>
      <c r="J8" s="377" t="s">
        <v>1436</v>
      </c>
    </row>
    <row r="9" spans="1:14" ht="15.75">
      <c r="A9" s="66" t="s">
        <v>1132</v>
      </c>
      <c r="B9" s="12"/>
      <c r="C9" s="92"/>
      <c r="D9" s="92"/>
      <c r="E9" s="92"/>
      <c r="F9" s="92"/>
      <c r="G9" s="92"/>
      <c r="H9" s="92"/>
      <c r="J9" s="562" t="s">
        <v>486</v>
      </c>
    </row>
    <row r="10" spans="1:14" ht="15.75">
      <c r="A10" s="66" t="s">
        <v>431</v>
      </c>
      <c r="B10" s="12"/>
      <c r="C10" s="92"/>
      <c r="D10" s="92"/>
      <c r="E10" s="92"/>
      <c r="F10" s="92"/>
      <c r="G10" s="92"/>
      <c r="H10" s="92"/>
      <c r="I10" s="57"/>
      <c r="J10" s="563" t="str">
        <f>F.1!F9</f>
        <v>Witness: Waller</v>
      </c>
    </row>
    <row r="11" spans="1:14" ht="15.75">
      <c r="A11" s="119"/>
      <c r="B11" s="119"/>
      <c r="C11" s="119"/>
      <c r="D11" s="566"/>
      <c r="E11" s="567" t="s">
        <v>328</v>
      </c>
      <c r="F11" s="568"/>
      <c r="G11" s="119"/>
      <c r="H11" s="566"/>
      <c r="I11" s="567" t="s">
        <v>329</v>
      </c>
      <c r="J11" s="568"/>
    </row>
    <row r="12" spans="1:14">
      <c r="A12" s="90" t="s">
        <v>94</v>
      </c>
      <c r="B12" s="92"/>
      <c r="C12" s="100" t="s">
        <v>487</v>
      </c>
      <c r="D12" s="100" t="s">
        <v>97</v>
      </c>
      <c r="E12" s="92"/>
      <c r="F12" s="92"/>
      <c r="G12" s="92"/>
      <c r="H12" s="100" t="s">
        <v>97</v>
      </c>
      <c r="I12" s="92"/>
      <c r="J12" s="92"/>
    </row>
    <row r="13" spans="1:14">
      <c r="A13" s="91" t="s">
        <v>100</v>
      </c>
      <c r="B13" s="101" t="s">
        <v>176</v>
      </c>
      <c r="C13" s="101" t="s">
        <v>295</v>
      </c>
      <c r="D13" s="101" t="s">
        <v>599</v>
      </c>
      <c r="E13" s="101" t="s">
        <v>178</v>
      </c>
      <c r="F13" s="101" t="s">
        <v>600</v>
      </c>
      <c r="G13" s="97"/>
      <c r="H13" s="101" t="s">
        <v>599</v>
      </c>
      <c r="I13" s="101" t="s">
        <v>178</v>
      </c>
      <c r="J13" s="91" t="s">
        <v>600</v>
      </c>
    </row>
    <row r="14" spans="1:14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4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80"/>
      <c r="L15" s="80"/>
      <c r="M15" s="80"/>
      <c r="N15" s="80"/>
    </row>
    <row r="16" spans="1:14">
      <c r="A16" s="90">
        <v>1</v>
      </c>
      <c r="B16" s="90" t="s">
        <v>630</v>
      </c>
      <c r="C16" s="786" t="s">
        <v>74</v>
      </c>
      <c r="D16" s="787">
        <v>0</v>
      </c>
      <c r="E16" s="2" t="s">
        <v>1068</v>
      </c>
      <c r="F16" s="564">
        <f>D16</f>
        <v>0</v>
      </c>
      <c r="G16" s="92"/>
      <c r="H16" s="564">
        <f>D16</f>
        <v>0</v>
      </c>
      <c r="I16" s="117" t="s">
        <v>1068</v>
      </c>
      <c r="J16" s="564">
        <f>H16</f>
        <v>0</v>
      </c>
      <c r="K16" s="80"/>
      <c r="L16" s="80"/>
      <c r="M16" s="80"/>
      <c r="N16" s="80"/>
    </row>
    <row r="17" spans="1:14">
      <c r="A17" s="92"/>
      <c r="B17" s="92"/>
      <c r="C17" s="92" t="s">
        <v>75</v>
      </c>
      <c r="D17" s="92"/>
      <c r="E17" s="92"/>
      <c r="F17" s="92"/>
      <c r="G17" s="92"/>
      <c r="H17" s="92"/>
      <c r="I17" s="92"/>
      <c r="J17" s="92"/>
      <c r="K17" s="80"/>
      <c r="L17" s="80"/>
      <c r="M17" s="80"/>
      <c r="N17" s="80"/>
    </row>
    <row r="18" spans="1:14">
      <c r="A18" s="122">
        <v>2</v>
      </c>
      <c r="B18" s="90" t="s">
        <v>630</v>
      </c>
      <c r="C18" s="786" t="s">
        <v>76</v>
      </c>
      <c r="D18" s="788">
        <v>0</v>
      </c>
      <c r="E18" s="92"/>
      <c r="F18" s="104">
        <f>D18</f>
        <v>0</v>
      </c>
      <c r="G18" s="92"/>
      <c r="H18" s="104">
        <v>0</v>
      </c>
      <c r="I18" s="92"/>
      <c r="J18" s="104">
        <f>H18</f>
        <v>0</v>
      </c>
      <c r="K18" s="80"/>
      <c r="L18" s="80"/>
      <c r="M18" s="80"/>
      <c r="N18" s="80"/>
    </row>
    <row r="19" spans="1:14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80"/>
      <c r="L19" s="80"/>
      <c r="M19" s="80"/>
      <c r="N19" s="80"/>
    </row>
    <row r="20" spans="1:14" ht="15.75" thickBot="1">
      <c r="A20" s="123">
        <v>3</v>
      </c>
      <c r="B20" s="92"/>
      <c r="C20" s="90" t="s">
        <v>401</v>
      </c>
      <c r="D20" s="565">
        <f>SUM(D16:D18)</f>
        <v>0</v>
      </c>
      <c r="E20" s="92"/>
      <c r="F20" s="565">
        <f>SUM(F16:F18)</f>
        <v>0</v>
      </c>
      <c r="G20" s="92"/>
      <c r="H20" s="565">
        <f>SUM(H16:H18)</f>
        <v>0</v>
      </c>
      <c r="I20" s="92"/>
      <c r="J20" s="565">
        <f>SUM(J16:J18)</f>
        <v>0</v>
      </c>
      <c r="K20" s="80"/>
      <c r="L20" s="80"/>
      <c r="M20" s="80"/>
      <c r="N20" s="80"/>
    </row>
    <row r="21" spans="1:14" ht="15.75" thickTop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4">
      <c r="A22" s="90" t="s">
        <v>327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4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4">
      <c r="A24" s="66" t="s">
        <v>1240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4">
      <c r="A25" s="66" t="s">
        <v>1561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4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4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30" spans="1:14">
      <c r="B30" t="s">
        <v>523</v>
      </c>
    </row>
    <row r="31" spans="1:14">
      <c r="B31" t="s">
        <v>1512</v>
      </c>
    </row>
    <row r="35" spans="2:2">
      <c r="B35" s="594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8" right="0.62" top="1" bottom="0.5" header="0.5" footer="0.5"/>
  <pageSetup scale="96" orientation="landscape" verticalDpi="300" r:id="rId1"/>
  <headerFooter alignWithMargins="0">
    <oddFooter>&amp;RSchedule &amp;A
Page &amp;P of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40"/>
  <sheetViews>
    <sheetView view="pageBreakPreview" zoomScale="70" zoomScaleNormal="90" zoomScaleSheetLayoutView="70" workbookViewId="0">
      <selection activeCell="F45" sqref="F45"/>
    </sheetView>
  </sheetViews>
  <sheetFormatPr defaultRowHeight="15"/>
  <cols>
    <col min="1" max="1" width="4.44140625" style="80" customWidth="1"/>
    <col min="2" max="2" width="10.6640625" style="80" customWidth="1"/>
    <col min="3" max="3" width="35.77734375" style="80" customWidth="1"/>
    <col min="4" max="6" width="12" style="80" bestFit="1" customWidth="1"/>
    <col min="7" max="7" width="4.5546875" style="80" customWidth="1"/>
    <col min="8" max="8" width="11" style="80" bestFit="1" customWidth="1"/>
    <col min="9" max="9" width="11.6640625" style="80" customWidth="1"/>
    <col min="10" max="10" width="12" style="80" bestFit="1" customWidth="1"/>
    <col min="11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  <c r="J1" s="1160"/>
    </row>
    <row r="2" spans="1:12" ht="15.75">
      <c r="A2" s="1160" t="str">
        <f>'Table of Contents'!A2:C2</f>
        <v>Kentucky Jurisdiction Case No. 2017-00349</v>
      </c>
      <c r="B2" s="1160"/>
      <c r="C2" s="1160"/>
      <c r="D2" s="1160"/>
      <c r="E2" s="1160"/>
      <c r="F2" s="1160"/>
      <c r="G2" s="1160"/>
      <c r="H2" s="1160"/>
      <c r="I2" s="1160"/>
      <c r="J2" s="1160"/>
    </row>
    <row r="3" spans="1:12" ht="15.75">
      <c r="A3" s="1160" t="s">
        <v>616</v>
      </c>
      <c r="B3" s="1160"/>
      <c r="C3" s="1160"/>
      <c r="D3" s="1160"/>
      <c r="E3" s="1160"/>
      <c r="F3" s="1160"/>
      <c r="G3" s="1160"/>
      <c r="H3" s="1160"/>
      <c r="I3" s="1160"/>
      <c r="J3" s="1160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160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160"/>
    </row>
    <row r="6" spans="1:12" ht="15.75">
      <c r="A6" s="103"/>
      <c r="B6" s="930"/>
      <c r="C6" s="103"/>
      <c r="D6" s="103"/>
      <c r="E6" s="103"/>
      <c r="F6" s="103"/>
      <c r="G6" s="103"/>
      <c r="H6" s="103"/>
      <c r="I6" s="103"/>
      <c r="J6" s="103"/>
    </row>
    <row r="7" spans="1:12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2" ht="15.75">
      <c r="A8" s="697" t="s">
        <v>488</v>
      </c>
      <c r="B8" s="930"/>
      <c r="C8" s="103"/>
      <c r="D8" s="103"/>
      <c r="E8" s="103"/>
      <c r="F8" s="103"/>
      <c r="G8" s="103"/>
      <c r="H8" s="103"/>
      <c r="J8" s="170" t="s">
        <v>1436</v>
      </c>
    </row>
    <row r="9" spans="1:12" ht="15.75">
      <c r="A9" s="697" t="s">
        <v>1135</v>
      </c>
      <c r="B9" s="930"/>
      <c r="C9" s="103"/>
      <c r="D9" s="103"/>
      <c r="E9" s="103"/>
      <c r="F9" s="103"/>
      <c r="G9" s="103"/>
      <c r="H9" s="103"/>
      <c r="J9" s="931" t="s">
        <v>489</v>
      </c>
    </row>
    <row r="10" spans="1:12" ht="15.75">
      <c r="A10" s="697" t="s">
        <v>369</v>
      </c>
      <c r="B10" s="930"/>
      <c r="C10" s="103"/>
      <c r="D10" s="103"/>
      <c r="E10" s="103"/>
      <c r="F10" s="103"/>
      <c r="G10" s="103"/>
      <c r="H10" s="103"/>
      <c r="I10" s="932"/>
      <c r="J10" s="933" t="str">
        <f>F.1!$F$9</f>
        <v>Witness: Waller</v>
      </c>
    </row>
    <row r="11" spans="1:12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2">
      <c r="A12" s="121" t="s">
        <v>94</v>
      </c>
      <c r="B12" s="103"/>
      <c r="C12" s="121"/>
      <c r="D12" s="121" t="s">
        <v>97</v>
      </c>
      <c r="E12" s="856" t="s">
        <v>11</v>
      </c>
      <c r="F12" s="767" t="s">
        <v>12</v>
      </c>
      <c r="G12" s="103"/>
      <c r="H12" s="121" t="s">
        <v>97</v>
      </c>
      <c r="I12" s="856" t="s">
        <v>11</v>
      </c>
      <c r="J12" s="767" t="s">
        <v>12</v>
      </c>
    </row>
    <row r="13" spans="1:12">
      <c r="A13" s="651" t="s">
        <v>100</v>
      </c>
      <c r="B13" s="651" t="s">
        <v>176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938" t="s">
        <v>98</v>
      </c>
      <c r="J13" s="651" t="s">
        <v>105</v>
      </c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430">
        <v>1</v>
      </c>
      <c r="C15" s="940" t="s">
        <v>194</v>
      </c>
      <c r="D15" s="693"/>
      <c r="E15" s="430"/>
      <c r="F15" s="402"/>
      <c r="G15" s="807"/>
      <c r="H15" s="941"/>
      <c r="I15" s="430"/>
      <c r="J15" s="402"/>
    </row>
    <row r="16" spans="1:12">
      <c r="A16" s="942">
        <v>2</v>
      </c>
      <c r="B16" s="842" t="s">
        <v>630</v>
      </c>
      <c r="C16" s="943" t="s">
        <v>941</v>
      </c>
      <c r="D16" s="329">
        <v>0</v>
      </c>
      <c r="E16" s="618">
        <v>1</v>
      </c>
      <c r="F16" s="329">
        <f>D16*E16</f>
        <v>0</v>
      </c>
      <c r="G16" s="807"/>
      <c r="H16" s="329">
        <v>0</v>
      </c>
      <c r="I16" s="618">
        <f>E16</f>
        <v>1</v>
      </c>
      <c r="J16" s="329">
        <f>H16*I16</f>
        <v>0</v>
      </c>
      <c r="L16" s="944"/>
    </row>
    <row r="17" spans="1:12">
      <c r="A17" s="430">
        <v>3</v>
      </c>
      <c r="B17" s="842"/>
      <c r="C17" s="943"/>
      <c r="D17" s="421"/>
      <c r="E17" s="945"/>
      <c r="F17" s="421"/>
      <c r="G17" s="807"/>
      <c r="H17" s="421"/>
      <c r="I17" s="618"/>
      <c r="J17" s="421"/>
    </row>
    <row r="18" spans="1:12">
      <c r="A18" s="942">
        <v>4</v>
      </c>
      <c r="B18" s="842"/>
      <c r="C18" s="406" t="s">
        <v>97</v>
      </c>
      <c r="D18" s="329">
        <f>SUM(D16:D17)</f>
        <v>0</v>
      </c>
      <c r="E18" s="807"/>
      <c r="F18" s="329">
        <f>SUM(F16:F17)</f>
        <v>0</v>
      </c>
      <c r="G18" s="807"/>
      <c r="H18" s="329">
        <f>SUM(H16:H17)</f>
        <v>0</v>
      </c>
      <c r="I18" s="618"/>
      <c r="J18" s="329">
        <f>SUM(J16:J17)</f>
        <v>0</v>
      </c>
    </row>
    <row r="19" spans="1:12">
      <c r="A19" s="430">
        <v>5</v>
      </c>
      <c r="B19" s="807"/>
      <c r="C19" s="807"/>
      <c r="D19" s="382"/>
      <c r="E19" s="807"/>
      <c r="F19" s="382"/>
      <c r="G19" s="807"/>
      <c r="H19" s="382"/>
      <c r="I19" s="618"/>
      <c r="J19" s="382"/>
    </row>
    <row r="20" spans="1:12" ht="15.75">
      <c r="A20" s="942">
        <v>6</v>
      </c>
      <c r="C20" s="940" t="s">
        <v>79</v>
      </c>
      <c r="D20" s="946"/>
      <c r="E20" s="947"/>
      <c r="F20" s="948"/>
      <c r="G20" s="949"/>
      <c r="H20" s="946"/>
      <c r="I20" s="618"/>
      <c r="J20" s="948"/>
    </row>
    <row r="21" spans="1:12">
      <c r="A21" s="430">
        <v>7</v>
      </c>
      <c r="B21" s="842" t="s">
        <v>630</v>
      </c>
      <c r="C21" s="943" t="s">
        <v>941</v>
      </c>
      <c r="D21" s="329">
        <v>61361.547505051341</v>
      </c>
      <c r="E21" s="950">
        <f>Allocation!$I$17</f>
        <v>0.49440000000000001</v>
      </c>
      <c r="F21" s="329">
        <f>D21*E21</f>
        <v>30337.149086497382</v>
      </c>
      <c r="G21" s="807"/>
      <c r="H21" s="329">
        <v>54292.455972123556</v>
      </c>
      <c r="I21" s="950">
        <f>Allocation!$E$17</f>
        <v>0.49440000000000001</v>
      </c>
      <c r="J21" s="329">
        <f>H21*I21</f>
        <v>26842.190232617886</v>
      </c>
      <c r="L21" s="693"/>
    </row>
    <row r="22" spans="1:12">
      <c r="A22" s="942">
        <v>8</v>
      </c>
      <c r="B22" s="842"/>
      <c r="C22" s="943"/>
      <c r="D22" s="421"/>
      <c r="E22" s="325"/>
      <c r="F22" s="421"/>
      <c r="G22" s="103"/>
      <c r="H22" s="421"/>
      <c r="I22" s="950"/>
      <c r="J22" s="421"/>
    </row>
    <row r="23" spans="1:12">
      <c r="A23" s="430">
        <v>9</v>
      </c>
      <c r="B23" s="842"/>
      <c r="C23" s="406" t="s">
        <v>97</v>
      </c>
      <c r="D23" s="329">
        <f>SUM(D21:D22)</f>
        <v>61361.547505051341</v>
      </c>
      <c r="E23" s="103"/>
      <c r="F23" s="329">
        <f>SUM(F21:F22)</f>
        <v>30337.149086497382</v>
      </c>
      <c r="G23" s="103"/>
      <c r="H23" s="329">
        <f>SUM(H21:H22)</f>
        <v>54292.455972123556</v>
      </c>
      <c r="I23" s="950"/>
      <c r="J23" s="329">
        <f>SUM(J21:J22)</f>
        <v>26842.190232617886</v>
      </c>
    </row>
    <row r="24" spans="1:12">
      <c r="A24" s="942">
        <v>10</v>
      </c>
      <c r="B24" s="103"/>
      <c r="C24" s="103"/>
      <c r="D24" s="514"/>
      <c r="E24" s="103"/>
      <c r="F24" s="103"/>
      <c r="G24" s="103"/>
      <c r="H24" s="514"/>
      <c r="I24" s="950"/>
      <c r="J24" s="103"/>
    </row>
    <row r="25" spans="1:12" ht="15.75">
      <c r="A25" s="430">
        <v>11</v>
      </c>
      <c r="C25" s="940" t="s">
        <v>77</v>
      </c>
      <c r="D25" s="514"/>
      <c r="E25" s="103"/>
      <c r="F25" s="103"/>
      <c r="G25" s="103"/>
      <c r="H25" s="514"/>
      <c r="I25" s="950"/>
      <c r="J25" s="103"/>
    </row>
    <row r="26" spans="1:12">
      <c r="A26" s="942">
        <v>12</v>
      </c>
      <c r="B26" s="842" t="s">
        <v>630</v>
      </c>
      <c r="C26" s="943" t="s">
        <v>941</v>
      </c>
      <c r="D26" s="329">
        <v>61517.13539985237</v>
      </c>
      <c r="E26" s="950">
        <f>Allocation!$I$14</f>
        <v>4.8896160000000001E-2</v>
      </c>
      <c r="F26" s="329">
        <f>D26*E26</f>
        <v>3007.9516952528456</v>
      </c>
      <c r="H26" s="329">
        <v>58384.934759809359</v>
      </c>
      <c r="I26" s="950">
        <f>Allocation!$E$14</f>
        <v>4.8896160000000001E-2</v>
      </c>
      <c r="J26" s="329">
        <f>H26*I26</f>
        <v>2854.7991116051999</v>
      </c>
      <c r="L26" s="693"/>
    </row>
    <row r="27" spans="1:12">
      <c r="A27" s="430">
        <v>13</v>
      </c>
      <c r="B27" s="842"/>
      <c r="C27" s="943"/>
      <c r="D27" s="421"/>
      <c r="E27" s="325"/>
      <c r="F27" s="421"/>
      <c r="H27" s="421"/>
      <c r="I27" s="950"/>
      <c r="J27" s="421"/>
    </row>
    <row r="28" spans="1:12">
      <c r="A28" s="942">
        <v>14</v>
      </c>
      <c r="B28" s="842"/>
      <c r="C28" s="406" t="s">
        <v>97</v>
      </c>
      <c r="D28" s="329">
        <f>SUM(D26:D27)</f>
        <v>61517.13539985237</v>
      </c>
      <c r="E28" s="325"/>
      <c r="F28" s="329">
        <f>SUM(F26:F27)</f>
        <v>3007.9516952528456</v>
      </c>
      <c r="H28" s="329">
        <f>SUM(H26:H27)</f>
        <v>58384.934759809359</v>
      </c>
      <c r="I28" s="950"/>
      <c r="J28" s="329">
        <f>SUM(J26:J27)</f>
        <v>2854.7991116051999</v>
      </c>
    </row>
    <row r="29" spans="1:12">
      <c r="A29" s="430">
        <v>15</v>
      </c>
      <c r="D29" s="514"/>
      <c r="E29" s="325"/>
      <c r="H29" s="514"/>
      <c r="I29" s="950"/>
    </row>
    <row r="30" spans="1:12" ht="15.75">
      <c r="A30" s="942">
        <v>16</v>
      </c>
      <c r="C30" s="940" t="s">
        <v>78</v>
      </c>
      <c r="D30" s="514"/>
      <c r="E30" s="325"/>
      <c r="H30" s="514"/>
      <c r="I30" s="950"/>
    </row>
    <row r="31" spans="1:12">
      <c r="A31" s="430">
        <v>17</v>
      </c>
      <c r="B31" s="842" t="s">
        <v>630</v>
      </c>
      <c r="C31" s="943" t="s">
        <v>941</v>
      </c>
      <c r="D31" s="329">
        <v>29539.508937621013</v>
      </c>
      <c r="E31" s="950">
        <f>Allocation!$I$15</f>
        <v>5.67090596975168E-2</v>
      </c>
      <c r="F31" s="329">
        <f>D31*E31</f>
        <v>1675.1577757788812</v>
      </c>
      <c r="H31" s="329">
        <v>30343.188657937746</v>
      </c>
      <c r="I31" s="950">
        <f>Allocation!$E$15</f>
        <v>5.67090596975168E-2</v>
      </c>
      <c r="J31" s="329">
        <f>H31*I31</f>
        <v>1720.7336970160063</v>
      </c>
      <c r="L31" s="693"/>
    </row>
    <row r="32" spans="1:12">
      <c r="A32" s="942">
        <v>18</v>
      </c>
      <c r="B32" s="842"/>
      <c r="C32" s="943"/>
      <c r="D32" s="421"/>
      <c r="E32" s="325"/>
      <c r="F32" s="421"/>
      <c r="H32" s="421"/>
      <c r="I32" s="950"/>
      <c r="J32" s="421"/>
    </row>
    <row r="33" spans="1:10">
      <c r="A33" s="430">
        <v>19</v>
      </c>
      <c r="B33" s="842"/>
      <c r="C33" s="406" t="s">
        <v>97</v>
      </c>
      <c r="D33" s="329">
        <f>SUM(D31:D32)</f>
        <v>29539.508937621013</v>
      </c>
      <c r="F33" s="329">
        <f>SUM(F31:F32)</f>
        <v>1675.1577757788812</v>
      </c>
      <c r="H33" s="329">
        <f>SUM(H31:H32)</f>
        <v>30343.188657937746</v>
      </c>
      <c r="J33" s="329">
        <f>SUM(J31:J32)</f>
        <v>1720.7336970160063</v>
      </c>
    </row>
    <row r="34" spans="1:10">
      <c r="A34" s="942">
        <v>20</v>
      </c>
      <c r="D34" s="514"/>
    </row>
    <row r="35" spans="1:10" ht="16.5" thickBot="1">
      <c r="A35" s="430">
        <v>21</v>
      </c>
      <c r="C35" s="951" t="s">
        <v>942</v>
      </c>
      <c r="D35" s="513">
        <f>D33+D28+D23+D18</f>
        <v>152418.19184252471</v>
      </c>
      <c r="F35" s="513">
        <f>F33+F28+F23+F18</f>
        <v>35020.258557529109</v>
      </c>
      <c r="H35" s="513">
        <f>H33+H28+H23+H18</f>
        <v>143020.57938987066</v>
      </c>
      <c r="J35" s="513">
        <f>J33+J28+J23+J18</f>
        <v>31417.723041239093</v>
      </c>
    </row>
    <row r="36" spans="1:10" ht="16.5" thickTop="1">
      <c r="A36" s="430"/>
      <c r="C36" s="951"/>
      <c r="D36" s="323"/>
      <c r="F36" s="323"/>
      <c r="H36" s="323"/>
      <c r="J36" s="323"/>
    </row>
    <row r="37" spans="1:10" ht="15.75">
      <c r="C37" s="951"/>
    </row>
    <row r="39" spans="1:10">
      <c r="B39" s="80" t="s">
        <v>523</v>
      </c>
    </row>
    <row r="40" spans="1:10">
      <c r="B40" s="80" t="s">
        <v>1666</v>
      </c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75" top="1" bottom="1" header="0.5" footer="0.5"/>
  <pageSetup scale="80" orientation="landscape" verticalDpi="300" r:id="rId1"/>
  <headerFooter alignWithMargins="0">
    <oddFooter>&amp;RSchedule &amp;A
Page &amp;P of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N79"/>
  <sheetViews>
    <sheetView view="pageBreakPreview" zoomScale="70" zoomScaleNormal="90" zoomScaleSheetLayoutView="70" workbookViewId="0">
      <pane ySplit="13" topLeftCell="A26" activePane="bottomLeft" state="frozen"/>
      <selection activeCell="F45" sqref="F45"/>
      <selection pane="bottomLeft" activeCell="D60" sqref="D60"/>
    </sheetView>
  </sheetViews>
  <sheetFormatPr defaultRowHeight="15"/>
  <cols>
    <col min="1" max="1" width="4.109375" style="80" customWidth="1"/>
    <col min="2" max="2" width="8.88671875" style="80"/>
    <col min="3" max="3" width="50.6640625" style="80" customWidth="1"/>
    <col min="4" max="4" width="9.5546875" style="80" bestFit="1" customWidth="1"/>
    <col min="5" max="5" width="11.33203125" style="80" bestFit="1" customWidth="1"/>
    <col min="6" max="6" width="9.5546875" style="80" bestFit="1" customWidth="1"/>
    <col min="7" max="7" width="3.109375" style="80" customWidth="1"/>
    <col min="8" max="8" width="9.5546875" style="80" customWidth="1"/>
    <col min="9" max="9" width="11.21875" style="80" customWidth="1"/>
    <col min="10" max="10" width="9.5546875" style="80" customWidth="1"/>
    <col min="11" max="16384" width="8.88671875" style="80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</row>
    <row r="3" spans="1:10" ht="15.75">
      <c r="A3" s="1180" t="s">
        <v>1066</v>
      </c>
      <c r="B3" s="1180"/>
      <c r="C3" s="1180"/>
      <c r="D3" s="1180"/>
      <c r="E3" s="1180"/>
      <c r="F3" s="1180"/>
      <c r="G3" s="1180"/>
      <c r="H3" s="1180"/>
      <c r="I3" s="1180"/>
      <c r="J3" s="1180"/>
    </row>
    <row r="4" spans="1:10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180"/>
    </row>
    <row r="5" spans="1:10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180"/>
    </row>
    <row r="6" spans="1:10" ht="15.75">
      <c r="A6" s="103"/>
      <c r="B6" s="930"/>
      <c r="C6" s="103"/>
      <c r="D6" s="1111"/>
      <c r="E6" s="103"/>
      <c r="F6" s="103"/>
      <c r="G6" s="103"/>
      <c r="H6" s="103"/>
      <c r="I6" s="103"/>
      <c r="J6" s="103"/>
    </row>
    <row r="7" spans="1:10" ht="15.75">
      <c r="A7" s="103"/>
      <c r="B7" s="930"/>
      <c r="C7" s="930"/>
      <c r="D7" s="103"/>
      <c r="E7" s="103"/>
      <c r="F7" s="103"/>
      <c r="G7" s="103"/>
      <c r="H7" s="103"/>
      <c r="J7" s="103"/>
    </row>
    <row r="8" spans="1:10" ht="15.75">
      <c r="A8" s="697" t="s">
        <v>137</v>
      </c>
      <c r="B8" s="930"/>
      <c r="C8" s="103"/>
      <c r="D8" s="103"/>
      <c r="E8" s="103"/>
      <c r="F8" s="103"/>
      <c r="G8" s="103"/>
      <c r="H8" s="103"/>
      <c r="J8" s="170" t="s">
        <v>1436</v>
      </c>
    </row>
    <row r="9" spans="1:10" ht="15.75">
      <c r="A9" s="697" t="s">
        <v>1134</v>
      </c>
      <c r="B9" s="930"/>
      <c r="C9" s="103"/>
      <c r="D9" s="103"/>
      <c r="E9" s="103"/>
      <c r="F9" s="103"/>
      <c r="G9" s="103"/>
      <c r="H9" s="103"/>
      <c r="J9" s="931" t="s">
        <v>138</v>
      </c>
    </row>
    <row r="10" spans="1:10" ht="15.75">
      <c r="A10" s="697" t="s">
        <v>369</v>
      </c>
      <c r="B10" s="930"/>
      <c r="C10" s="103"/>
      <c r="D10" s="103"/>
      <c r="E10" s="103"/>
      <c r="F10" s="103"/>
      <c r="G10" s="103"/>
      <c r="H10" s="103"/>
      <c r="J10" s="933" t="str">
        <f>F.1!$F$9</f>
        <v>Witness: Waller</v>
      </c>
    </row>
    <row r="11" spans="1:10" ht="15.75">
      <c r="A11" s="934"/>
      <c r="B11" s="934"/>
      <c r="C11" s="934"/>
      <c r="D11" s="935"/>
      <c r="E11" s="936" t="s">
        <v>328</v>
      </c>
      <c r="F11" s="937"/>
      <c r="G11" s="934"/>
      <c r="H11" s="935"/>
      <c r="I11" s="936" t="s">
        <v>329</v>
      </c>
      <c r="J11" s="937"/>
    </row>
    <row r="12" spans="1:10">
      <c r="A12" s="121" t="s">
        <v>94</v>
      </c>
      <c r="B12" s="121" t="s">
        <v>342</v>
      </c>
      <c r="C12" s="103"/>
      <c r="D12" s="121" t="s">
        <v>97</v>
      </c>
      <c r="E12" s="862" t="s">
        <v>11</v>
      </c>
      <c r="F12" s="965" t="s">
        <v>12</v>
      </c>
      <c r="G12" s="103"/>
      <c r="H12" s="121" t="s">
        <v>97</v>
      </c>
      <c r="I12" s="965" t="str">
        <f>E12</f>
        <v xml:space="preserve">Kentucky </v>
      </c>
      <c r="J12" s="965" t="s">
        <v>989</v>
      </c>
    </row>
    <row r="13" spans="1:10">
      <c r="A13" s="651" t="s">
        <v>100</v>
      </c>
      <c r="B13" s="651" t="s">
        <v>139</v>
      </c>
      <c r="C13" s="651" t="s">
        <v>482</v>
      </c>
      <c r="D13" s="651" t="s">
        <v>599</v>
      </c>
      <c r="E13" s="938" t="s">
        <v>98</v>
      </c>
      <c r="F13" s="651" t="s">
        <v>105</v>
      </c>
      <c r="G13" s="939"/>
      <c r="H13" s="651" t="s">
        <v>599</v>
      </c>
      <c r="I13" s="651" t="str">
        <f>E13</f>
        <v>Jurisdictional</v>
      </c>
      <c r="J13" s="651" t="s">
        <v>105</v>
      </c>
    </row>
    <row r="14" spans="1:10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15.75">
      <c r="A15" s="586">
        <v>1</v>
      </c>
      <c r="B15" s="103"/>
      <c r="C15" s="1112" t="s">
        <v>574</v>
      </c>
      <c r="D15" s="103"/>
      <c r="E15" s="103"/>
      <c r="F15" s="103"/>
      <c r="G15" s="103"/>
      <c r="H15" s="103"/>
      <c r="I15" s="103"/>
      <c r="J15" s="103"/>
    </row>
    <row r="16" spans="1:10">
      <c r="A16" s="586">
        <v>2</v>
      </c>
      <c r="B16" s="103"/>
      <c r="D16" s="103"/>
      <c r="E16" s="1113"/>
      <c r="F16" s="103"/>
      <c r="G16" s="103"/>
      <c r="H16" s="103"/>
      <c r="I16" s="1113"/>
      <c r="J16" s="103"/>
    </row>
    <row r="17" spans="1:14" ht="15.75">
      <c r="A17" s="586">
        <v>3</v>
      </c>
      <c r="B17" s="103"/>
      <c r="C17" s="940" t="s">
        <v>194</v>
      </c>
      <c r="D17" s="103"/>
      <c r="E17" s="1113"/>
      <c r="F17" s="103"/>
      <c r="G17" s="103"/>
      <c r="H17" s="103"/>
      <c r="I17" s="1113"/>
      <c r="J17" s="103"/>
    </row>
    <row r="18" spans="1:14">
      <c r="A18" s="586">
        <v>4</v>
      </c>
      <c r="B18" s="121">
        <v>907</v>
      </c>
      <c r="C18" s="1114" t="s">
        <v>985</v>
      </c>
      <c r="D18" s="574">
        <v>0</v>
      </c>
      <c r="E18" s="1115">
        <v>1</v>
      </c>
      <c r="F18" s="574">
        <f>D18*E18</f>
        <v>0</v>
      </c>
      <c r="G18" s="103"/>
      <c r="H18" s="574">
        <v>0</v>
      </c>
      <c r="I18" s="1115">
        <f>E18</f>
        <v>1</v>
      </c>
      <c r="J18" s="574">
        <f>H18*I18</f>
        <v>0</v>
      </c>
    </row>
    <row r="19" spans="1:14">
      <c r="A19" s="586">
        <v>5</v>
      </c>
      <c r="B19" s="121">
        <v>908</v>
      </c>
      <c r="C19" s="1114" t="s">
        <v>484</v>
      </c>
      <c r="D19" s="630">
        <v>0</v>
      </c>
      <c r="E19" s="337">
        <f>$E$18</f>
        <v>1</v>
      </c>
      <c r="F19" s="630">
        <f>D19*E19</f>
        <v>0</v>
      </c>
      <c r="G19" s="103"/>
      <c r="H19" s="630">
        <v>0</v>
      </c>
      <c r="I19" s="1115">
        <f>E19</f>
        <v>1</v>
      </c>
      <c r="J19" s="630">
        <f>H19*I19</f>
        <v>0</v>
      </c>
    </row>
    <row r="20" spans="1:14">
      <c r="A20" s="586">
        <v>6</v>
      </c>
      <c r="B20" s="121">
        <v>909</v>
      </c>
      <c r="C20" s="1114" t="s">
        <v>986</v>
      </c>
      <c r="D20" s="630">
        <f>'C.2.2 B 09'!P93</f>
        <v>134412.29365729415</v>
      </c>
      <c r="E20" s="337">
        <f>$E$18</f>
        <v>1</v>
      </c>
      <c r="F20" s="630">
        <f>D20*E20</f>
        <v>134412.29365729415</v>
      </c>
      <c r="G20" s="103"/>
      <c r="H20" s="630">
        <f>'C.2.2-F 09'!P93</f>
        <v>133613.60616766004</v>
      </c>
      <c r="I20" s="1115">
        <f>E20</f>
        <v>1</v>
      </c>
      <c r="J20" s="630">
        <f>H20*I20</f>
        <v>133613.60616766004</v>
      </c>
    </row>
    <row r="21" spans="1:14">
      <c r="A21" s="586">
        <v>7</v>
      </c>
      <c r="B21" s="1116">
        <v>910</v>
      </c>
      <c r="C21" s="1114" t="s">
        <v>987</v>
      </c>
      <c r="D21" s="631">
        <v>0</v>
      </c>
      <c r="E21" s="337">
        <f>$E$18</f>
        <v>1</v>
      </c>
      <c r="F21" s="631">
        <f>D21*E21</f>
        <v>0</v>
      </c>
      <c r="G21" s="103"/>
      <c r="H21" s="631">
        <v>0</v>
      </c>
      <c r="I21" s="1115">
        <f>E21</f>
        <v>1</v>
      </c>
      <c r="J21" s="631">
        <f>H21*I21</f>
        <v>0</v>
      </c>
    </row>
    <row r="22" spans="1:14">
      <c r="A22" s="586">
        <v>8</v>
      </c>
      <c r="B22" s="965"/>
      <c r="C22" s="1117" t="s">
        <v>97</v>
      </c>
      <c r="D22" s="361">
        <f>SUM(D18:D21)</f>
        <v>134412.29365729415</v>
      </c>
      <c r="E22" s="1113"/>
      <c r="F22" s="361">
        <f>SUM(F18:F21)</f>
        <v>134412.29365729415</v>
      </c>
      <c r="G22" s="103"/>
      <c r="H22" s="361">
        <f>SUM(H18:H21)</f>
        <v>133613.60616766004</v>
      </c>
      <c r="I22" s="1113"/>
      <c r="J22" s="361">
        <f>SUM(J18:J21)</f>
        <v>133613.60616766004</v>
      </c>
    </row>
    <row r="23" spans="1:14">
      <c r="A23" s="586">
        <v>9</v>
      </c>
      <c r="B23" s="965"/>
      <c r="C23" s="1117"/>
      <c r="D23" s="619"/>
      <c r="E23" s="1113"/>
      <c r="F23" s="619"/>
      <c r="G23" s="103"/>
      <c r="H23" s="619"/>
      <c r="I23" s="1113"/>
      <c r="J23" s="619"/>
    </row>
    <row r="24" spans="1:14" ht="15.75">
      <c r="A24" s="586">
        <v>10</v>
      </c>
      <c r="B24" s="965"/>
      <c r="C24" s="940" t="s">
        <v>79</v>
      </c>
      <c r="D24" s="619"/>
      <c r="E24" s="1113"/>
      <c r="F24" s="619"/>
      <c r="G24" s="103"/>
      <c r="H24" s="619"/>
      <c r="I24" s="1113"/>
      <c r="J24" s="619"/>
    </row>
    <row r="25" spans="1:14">
      <c r="A25" s="586">
        <v>11</v>
      </c>
      <c r="B25" s="121">
        <v>907</v>
      </c>
      <c r="C25" s="1114" t="s">
        <v>985</v>
      </c>
      <c r="D25" s="574">
        <v>0</v>
      </c>
      <c r="E25" s="1118">
        <f>Allocation!$I$17</f>
        <v>0.49440000000000001</v>
      </c>
      <c r="F25" s="361">
        <f>D25*E25</f>
        <v>0</v>
      </c>
      <c r="G25" s="103"/>
      <c r="H25" s="574">
        <v>0</v>
      </c>
      <c r="I25" s="1118">
        <f>Allocation!$E$17</f>
        <v>0.49440000000000001</v>
      </c>
      <c r="J25" s="361">
        <f>H25*I25</f>
        <v>0</v>
      </c>
    </row>
    <row r="26" spans="1:14">
      <c r="A26" s="586">
        <v>12</v>
      </c>
      <c r="B26" s="121">
        <v>908</v>
      </c>
      <c r="C26" s="1114" t="s">
        <v>484</v>
      </c>
      <c r="D26" s="630">
        <v>0</v>
      </c>
      <c r="E26" s="325">
        <f>$E$25</f>
        <v>0.49440000000000001</v>
      </c>
      <c r="F26" s="619">
        <f>D26*E26</f>
        <v>0</v>
      </c>
      <c r="H26" s="630">
        <v>0</v>
      </c>
      <c r="I26" s="1118">
        <f>I25</f>
        <v>0.49440000000000001</v>
      </c>
      <c r="J26" s="619">
        <f>H26*I26</f>
        <v>0</v>
      </c>
      <c r="N26" s="894"/>
    </row>
    <row r="27" spans="1:14">
      <c r="A27" s="586">
        <v>13</v>
      </c>
      <c r="B27" s="121">
        <v>909</v>
      </c>
      <c r="C27" s="1114" t="s">
        <v>986</v>
      </c>
      <c r="D27" s="630">
        <v>0</v>
      </c>
      <c r="E27" s="325">
        <f>$E$25</f>
        <v>0.49440000000000001</v>
      </c>
      <c r="F27" s="619">
        <f>D27*E27</f>
        <v>0</v>
      </c>
      <c r="H27" s="630">
        <v>0</v>
      </c>
      <c r="I27" s="1118">
        <f>I25</f>
        <v>0.49440000000000001</v>
      </c>
      <c r="J27" s="619">
        <f>H27*I27</f>
        <v>0</v>
      </c>
    </row>
    <row r="28" spans="1:14">
      <c r="A28" s="586">
        <v>14</v>
      </c>
      <c r="B28" s="1116">
        <v>910</v>
      </c>
      <c r="C28" s="1114" t="s">
        <v>987</v>
      </c>
      <c r="D28" s="631">
        <f>'C.2.2 B 91'!P38</f>
        <v>1294.6239273160379</v>
      </c>
      <c r="E28" s="325">
        <f>$E$25</f>
        <v>0.49440000000000001</v>
      </c>
      <c r="F28" s="1057">
        <f>D28*E28</f>
        <v>640.06206966504919</v>
      </c>
      <c r="H28" s="631">
        <f>'C.2.2-F 91'!P36</f>
        <v>1397.7575417448802</v>
      </c>
      <c r="I28" s="1118">
        <f>I25</f>
        <v>0.49440000000000001</v>
      </c>
      <c r="J28" s="1057">
        <f>H28*I28</f>
        <v>691.05132863866879</v>
      </c>
    </row>
    <row r="29" spans="1:14">
      <c r="A29" s="586">
        <v>15</v>
      </c>
      <c r="B29" s="862"/>
      <c r="C29" s="1117" t="s">
        <v>97</v>
      </c>
      <c r="D29" s="361">
        <f>SUM(D25:D28)</f>
        <v>1294.6239273160379</v>
      </c>
      <c r="E29" s="1113"/>
      <c r="F29" s="361">
        <f>SUM(F25:F28)</f>
        <v>640.06206966504919</v>
      </c>
      <c r="G29" s="103"/>
      <c r="H29" s="361">
        <f>SUM(H25:H28)</f>
        <v>1397.7575417448802</v>
      </c>
      <c r="I29" s="1113"/>
      <c r="J29" s="361">
        <f>SUM(J25:J28)</f>
        <v>691.05132863866879</v>
      </c>
    </row>
    <row r="30" spans="1:14">
      <c r="A30" s="586">
        <v>16</v>
      </c>
      <c r="B30" s="862"/>
      <c r="C30" s="1117"/>
      <c r="D30" s="619"/>
      <c r="E30" s="1113"/>
      <c r="F30" s="619"/>
      <c r="G30" s="103"/>
      <c r="H30" s="619"/>
      <c r="I30" s="1113"/>
      <c r="J30" s="619"/>
    </row>
    <row r="31" spans="1:14" ht="15.75">
      <c r="A31" s="586">
        <v>17</v>
      </c>
      <c r="B31" s="965"/>
      <c r="C31" s="940" t="s">
        <v>77</v>
      </c>
      <c r="D31" s="619"/>
      <c r="F31" s="619"/>
      <c r="H31" s="619"/>
      <c r="I31" s="1118"/>
      <c r="J31" s="619"/>
    </row>
    <row r="32" spans="1:14">
      <c r="A32" s="586">
        <v>18</v>
      </c>
      <c r="B32" s="121">
        <v>907</v>
      </c>
      <c r="C32" s="1114" t="s">
        <v>985</v>
      </c>
      <c r="D32" s="574">
        <v>0</v>
      </c>
      <c r="E32" s="325">
        <f>Allocation!$I$14</f>
        <v>4.8896160000000001E-2</v>
      </c>
      <c r="F32" s="361">
        <f>D32*E32</f>
        <v>0</v>
      </c>
      <c r="H32" s="574">
        <v>0</v>
      </c>
      <c r="I32" s="325">
        <f>Allocation!$E$14</f>
        <v>4.8896160000000001E-2</v>
      </c>
      <c r="J32" s="361">
        <f>H32*I32</f>
        <v>0</v>
      </c>
    </row>
    <row r="33" spans="1:10">
      <c r="A33" s="586">
        <v>19</v>
      </c>
      <c r="B33" s="121">
        <v>908</v>
      </c>
      <c r="C33" s="1114" t="s">
        <v>484</v>
      </c>
      <c r="D33" s="630">
        <v>0</v>
      </c>
      <c r="E33" s="325">
        <f>$E$32</f>
        <v>4.8896160000000001E-2</v>
      </c>
      <c r="F33" s="619">
        <f>D33*E33</f>
        <v>0</v>
      </c>
      <c r="H33" s="630">
        <v>0</v>
      </c>
      <c r="I33" s="1118">
        <f>I32</f>
        <v>4.8896160000000001E-2</v>
      </c>
      <c r="J33" s="619">
        <f>H33*I33</f>
        <v>0</v>
      </c>
    </row>
    <row r="34" spans="1:10">
      <c r="A34" s="586">
        <v>20</v>
      </c>
      <c r="B34" s="121">
        <v>909</v>
      </c>
      <c r="C34" s="1114" t="s">
        <v>986</v>
      </c>
      <c r="D34" s="630">
        <v>0</v>
      </c>
      <c r="E34" s="325">
        <f>$E$32</f>
        <v>4.8896160000000001E-2</v>
      </c>
      <c r="F34" s="619">
        <f>D34*E34</f>
        <v>0</v>
      </c>
      <c r="H34" s="630">
        <v>0</v>
      </c>
      <c r="I34" s="1118">
        <f>I32</f>
        <v>4.8896160000000001E-2</v>
      </c>
      <c r="J34" s="619">
        <f>H34*I34</f>
        <v>0</v>
      </c>
    </row>
    <row r="35" spans="1:10">
      <c r="A35" s="586">
        <v>21</v>
      </c>
      <c r="B35" s="1116">
        <v>910</v>
      </c>
      <c r="C35" s="1114" t="s">
        <v>987</v>
      </c>
      <c r="D35" s="631">
        <f>'C.2.2 B 02'!P25</f>
        <v>47978.388933279522</v>
      </c>
      <c r="E35" s="325">
        <f>$E$32</f>
        <v>4.8896160000000001E-2</v>
      </c>
      <c r="F35" s="1057">
        <f>D35*E35</f>
        <v>2345.9589818238651</v>
      </c>
      <c r="G35" s="103"/>
      <c r="H35" s="631">
        <f>'C.2.2-F 02'!P23:P23</f>
        <v>26162.177131694138</v>
      </c>
      <c r="I35" s="1118">
        <f>I32</f>
        <v>4.8896160000000001E-2</v>
      </c>
      <c r="J35" s="1057">
        <f>H35*I35</f>
        <v>1279.2299989796577</v>
      </c>
    </row>
    <row r="36" spans="1:10">
      <c r="A36" s="586">
        <v>22</v>
      </c>
      <c r="B36" s="121"/>
      <c r="C36" s="1117" t="s">
        <v>97</v>
      </c>
      <c r="D36" s="361">
        <f>SUM(D32:D35)</f>
        <v>47978.388933279522</v>
      </c>
      <c r="E36" s="1113"/>
      <c r="F36" s="361">
        <f>SUM(F32:F35)</f>
        <v>2345.9589818238651</v>
      </c>
      <c r="G36" s="103"/>
      <c r="H36" s="361">
        <f>SUM(H32:H35)</f>
        <v>26162.177131694138</v>
      </c>
      <c r="I36" s="1113"/>
      <c r="J36" s="361">
        <f>SUM(J32:J35)</f>
        <v>1279.2299989796577</v>
      </c>
    </row>
    <row r="37" spans="1:10">
      <c r="A37" s="586">
        <v>23</v>
      </c>
      <c r="B37" s="121"/>
      <c r="C37" s="1117"/>
      <c r="D37" s="619"/>
      <c r="E37" s="1113"/>
      <c r="F37" s="619"/>
      <c r="G37" s="103"/>
      <c r="H37" s="619"/>
      <c r="I37" s="1113"/>
      <c r="J37" s="619"/>
    </row>
    <row r="38" spans="1:10" ht="15.75">
      <c r="A38" s="586">
        <v>24</v>
      </c>
      <c r="B38" s="965"/>
      <c r="C38" s="940" t="s">
        <v>78</v>
      </c>
      <c r="D38" s="619"/>
      <c r="E38" s="103"/>
      <c r="F38" s="619"/>
      <c r="G38" s="103"/>
      <c r="H38" s="619"/>
      <c r="I38" s="1118"/>
      <c r="J38" s="619"/>
    </row>
    <row r="39" spans="1:10">
      <c r="A39" s="586">
        <v>25</v>
      </c>
      <c r="B39" s="121">
        <v>907</v>
      </c>
      <c r="C39" s="1114" t="s">
        <v>985</v>
      </c>
      <c r="D39" s="574">
        <v>0</v>
      </c>
      <c r="E39" s="325">
        <f>Allocation!$I$15</f>
        <v>5.67090596975168E-2</v>
      </c>
      <c r="F39" s="361">
        <f>D39*E39</f>
        <v>0</v>
      </c>
      <c r="G39" s="103"/>
      <c r="H39" s="574">
        <v>0</v>
      </c>
      <c r="I39" s="325">
        <f>Allocation!$E$15</f>
        <v>5.67090596975168E-2</v>
      </c>
      <c r="J39" s="361">
        <f>H39*I39</f>
        <v>0</v>
      </c>
    </row>
    <row r="40" spans="1:10">
      <c r="A40" s="586">
        <v>26</v>
      </c>
      <c r="B40" s="121">
        <v>908</v>
      </c>
      <c r="C40" s="1114" t="s">
        <v>484</v>
      </c>
      <c r="D40" s="630">
        <v>0</v>
      </c>
      <c r="E40" s="325">
        <f>$E$39</f>
        <v>5.67090596975168E-2</v>
      </c>
      <c r="F40" s="619">
        <f>D40*E40</f>
        <v>0</v>
      </c>
      <c r="G40" s="103"/>
      <c r="H40" s="630">
        <v>0</v>
      </c>
      <c r="I40" s="1118">
        <f>I39</f>
        <v>5.67090596975168E-2</v>
      </c>
      <c r="J40" s="619">
        <f>H40*I40</f>
        <v>0</v>
      </c>
    </row>
    <row r="41" spans="1:10">
      <c r="A41" s="586">
        <v>27</v>
      </c>
      <c r="B41" s="121">
        <v>909</v>
      </c>
      <c r="C41" s="1114" t="s">
        <v>986</v>
      </c>
      <c r="D41" s="630">
        <v>0</v>
      </c>
      <c r="E41" s="325">
        <f>$E$39</f>
        <v>5.67090596975168E-2</v>
      </c>
      <c r="F41" s="619">
        <f>D41*E41</f>
        <v>0</v>
      </c>
      <c r="G41" s="103"/>
      <c r="H41" s="630">
        <v>0</v>
      </c>
      <c r="I41" s="1118">
        <f>I39</f>
        <v>5.67090596975168E-2</v>
      </c>
      <c r="J41" s="619">
        <f>H41*I41</f>
        <v>0</v>
      </c>
    </row>
    <row r="42" spans="1:10">
      <c r="A42" s="586">
        <v>28</v>
      </c>
      <c r="B42" s="1116">
        <v>910</v>
      </c>
      <c r="C42" s="1114" t="s">
        <v>987</v>
      </c>
      <c r="D42" s="630">
        <v>0</v>
      </c>
      <c r="E42" s="325">
        <f>$E$39</f>
        <v>5.67090596975168E-2</v>
      </c>
      <c r="F42" s="1057">
        <f>D42*E42</f>
        <v>0</v>
      </c>
      <c r="G42" s="103"/>
      <c r="H42" s="630">
        <v>0</v>
      </c>
      <c r="I42" s="1118">
        <f>I39</f>
        <v>5.67090596975168E-2</v>
      </c>
      <c r="J42" s="1057">
        <f>H42*I42</f>
        <v>0</v>
      </c>
    </row>
    <row r="43" spans="1:10">
      <c r="A43" s="586">
        <v>29</v>
      </c>
      <c r="B43" s="121"/>
      <c r="C43" s="1117" t="s">
        <v>97</v>
      </c>
      <c r="D43" s="361">
        <f>SUM(D39:D42)</f>
        <v>0</v>
      </c>
      <c r="E43" s="1113"/>
      <c r="F43" s="361">
        <f>SUM(F39:F42)</f>
        <v>0</v>
      </c>
      <c r="G43" s="103"/>
      <c r="H43" s="361">
        <f>SUM(H39:H42)</f>
        <v>0</v>
      </c>
      <c r="I43" s="1113"/>
      <c r="J43" s="361">
        <f>SUM(J39:J42)</f>
        <v>0</v>
      </c>
    </row>
    <row r="44" spans="1:10">
      <c r="A44" s="586">
        <v>30</v>
      </c>
      <c r="B44" s="121"/>
      <c r="C44" s="1117"/>
      <c r="D44" s="619"/>
      <c r="E44" s="1113"/>
      <c r="F44" s="619"/>
      <c r="G44" s="103"/>
      <c r="H44" s="619"/>
      <c r="I44" s="1113"/>
      <c r="J44" s="619"/>
    </row>
    <row r="45" spans="1:10" ht="15.75">
      <c r="A45" s="586">
        <v>31</v>
      </c>
      <c r="B45" s="121"/>
      <c r="C45" s="1112" t="s">
        <v>499</v>
      </c>
      <c r="D45" s="619"/>
      <c r="E45" s="1113"/>
      <c r="F45" s="619"/>
      <c r="G45" s="103"/>
      <c r="H45" s="619"/>
      <c r="I45" s="1113"/>
      <c r="J45" s="619"/>
    </row>
    <row r="46" spans="1:10">
      <c r="A46" s="586">
        <v>32</v>
      </c>
      <c r="B46" s="965"/>
      <c r="D46" s="619"/>
      <c r="E46" s="103"/>
      <c r="F46" s="619" t="s">
        <v>327</v>
      </c>
      <c r="G46" s="103"/>
      <c r="H46" s="619"/>
      <c r="I46" s="103"/>
      <c r="J46" s="619" t="s">
        <v>327</v>
      </c>
    </row>
    <row r="47" spans="1:10" ht="15.75">
      <c r="A47" s="586">
        <v>33</v>
      </c>
      <c r="B47" s="965"/>
      <c r="C47" s="940" t="s">
        <v>194</v>
      </c>
      <c r="D47" s="619"/>
      <c r="E47" s="103"/>
      <c r="F47" s="619"/>
      <c r="G47" s="103"/>
      <c r="H47" s="619"/>
      <c r="I47" s="103"/>
      <c r="J47" s="619"/>
    </row>
    <row r="48" spans="1:10">
      <c r="A48" s="586">
        <v>34</v>
      </c>
      <c r="B48" s="121">
        <v>911</v>
      </c>
      <c r="C48" s="1114" t="s">
        <v>483</v>
      </c>
      <c r="D48" s="574">
        <f>'C.2.2 B 09'!P95</f>
        <v>255129.29012212393</v>
      </c>
      <c r="E48" s="337">
        <f>E18</f>
        <v>1</v>
      </c>
      <c r="F48" s="574">
        <f>D48*E48</f>
        <v>255129.29012212393</v>
      </c>
      <c r="G48" s="103"/>
      <c r="H48" s="574">
        <f>'C.2.2-F 09'!P95</f>
        <v>266961.66291167575</v>
      </c>
      <c r="I48" s="337">
        <f>I18</f>
        <v>1</v>
      </c>
      <c r="J48" s="574">
        <f>H48</f>
        <v>266961.66291167575</v>
      </c>
    </row>
    <row r="49" spans="1:10">
      <c r="A49" s="586">
        <v>35</v>
      </c>
      <c r="B49" s="121">
        <v>912</v>
      </c>
      <c r="C49" s="1114" t="s">
        <v>988</v>
      </c>
      <c r="D49" s="630">
        <f>'C.2.2 B 09'!P96</f>
        <v>117086.30179510081</v>
      </c>
      <c r="E49" s="337">
        <f t="shared" ref="E49:E72" si="0">E19</f>
        <v>1</v>
      </c>
      <c r="F49" s="630">
        <f>D49*E49</f>
        <v>117086.30179510081</v>
      </c>
      <c r="G49" s="103"/>
      <c r="H49" s="630">
        <f>'C.2.2-F 09'!P96</f>
        <v>131289.94335798768</v>
      </c>
      <c r="I49" s="337">
        <f t="shared" ref="I49:I72" si="1">I19</f>
        <v>1</v>
      </c>
      <c r="J49" s="630">
        <f>H49</f>
        <v>131289.94335798768</v>
      </c>
    </row>
    <row r="50" spans="1:10">
      <c r="A50" s="586">
        <v>36</v>
      </c>
      <c r="B50" s="121">
        <v>913</v>
      </c>
      <c r="C50" s="1114" t="s">
        <v>962</v>
      </c>
      <c r="D50" s="630">
        <f>'C.2.2 B 09'!P97</f>
        <v>38737.06849407807</v>
      </c>
      <c r="E50" s="337">
        <f t="shared" si="0"/>
        <v>1</v>
      </c>
      <c r="F50" s="630">
        <f>D50*E50</f>
        <v>38737.06849407807</v>
      </c>
      <c r="G50" s="103"/>
      <c r="H50" s="630">
        <f>'C.2.2-F 09'!P97</f>
        <v>45483.023228428916</v>
      </c>
      <c r="I50" s="337">
        <f t="shared" si="1"/>
        <v>1</v>
      </c>
      <c r="J50" s="630">
        <f>H50</f>
        <v>45483.023228428916</v>
      </c>
    </row>
    <row r="51" spans="1:10">
      <c r="A51" s="586">
        <v>37</v>
      </c>
      <c r="B51" s="1116">
        <v>916</v>
      </c>
      <c r="C51" s="1114" t="s">
        <v>963</v>
      </c>
      <c r="D51" s="631">
        <v>0</v>
      </c>
      <c r="E51" s="337">
        <f t="shared" si="0"/>
        <v>1</v>
      </c>
      <c r="F51" s="631">
        <f>D51*E51</f>
        <v>0</v>
      </c>
      <c r="G51" s="103"/>
      <c r="H51" s="631">
        <v>0</v>
      </c>
      <c r="I51" s="337">
        <f t="shared" si="1"/>
        <v>1</v>
      </c>
      <c r="J51" s="631">
        <f>H51</f>
        <v>0</v>
      </c>
    </row>
    <row r="52" spans="1:10">
      <c r="A52" s="586">
        <v>38</v>
      </c>
      <c r="B52" s="965"/>
      <c r="C52" s="1119" t="s">
        <v>97</v>
      </c>
      <c r="D52" s="361">
        <f>SUM(D48:D51)</f>
        <v>410952.66041130282</v>
      </c>
      <c r="E52" s="337"/>
      <c r="F52" s="361">
        <f>SUM(F48:F51)</f>
        <v>410952.66041130282</v>
      </c>
      <c r="G52" s="103"/>
      <c r="H52" s="361">
        <f>SUM(H48:H51)</f>
        <v>443734.62949809234</v>
      </c>
      <c r="I52" s="337"/>
      <c r="J52" s="361">
        <f>SUM(J48:J51)</f>
        <v>443734.62949809234</v>
      </c>
    </row>
    <row r="53" spans="1:10">
      <c r="A53" s="586">
        <v>39</v>
      </c>
      <c r="B53" s="965"/>
      <c r="C53" s="103"/>
      <c r="D53" s="103"/>
      <c r="E53" s="337"/>
      <c r="F53" s="103"/>
      <c r="G53" s="103"/>
      <c r="H53" s="103"/>
      <c r="I53" s="337"/>
      <c r="J53" s="103"/>
    </row>
    <row r="54" spans="1:10" ht="15.75">
      <c r="A54" s="586">
        <v>40</v>
      </c>
      <c r="B54" s="965"/>
      <c r="C54" s="940" t="s">
        <v>79</v>
      </c>
      <c r="D54" s="103"/>
      <c r="E54" s="337"/>
      <c r="F54" s="103"/>
      <c r="G54" s="103"/>
      <c r="H54" s="103"/>
      <c r="I54" s="337"/>
      <c r="J54" s="103"/>
    </row>
    <row r="55" spans="1:10">
      <c r="A55" s="586">
        <v>41</v>
      </c>
      <c r="B55" s="121">
        <v>911</v>
      </c>
      <c r="C55" s="1114" t="s">
        <v>483</v>
      </c>
      <c r="D55" s="361">
        <f>'C.2.2 B 91'!P39</f>
        <v>127103.19527818738</v>
      </c>
      <c r="E55" s="325">
        <f t="shared" si="0"/>
        <v>0.49440000000000001</v>
      </c>
      <c r="F55" s="361">
        <f>D55*E55</f>
        <v>62839.819745535846</v>
      </c>
      <c r="G55" s="103"/>
      <c r="H55" s="361">
        <f>'C.2.2-F 91'!P37</f>
        <v>123574.67864290622</v>
      </c>
      <c r="I55" s="325">
        <f t="shared" si="1"/>
        <v>0.49440000000000001</v>
      </c>
      <c r="J55" s="361">
        <f>H55*I55</f>
        <v>61095.321121052839</v>
      </c>
    </row>
    <row r="56" spans="1:10">
      <c r="A56" s="586">
        <v>42</v>
      </c>
      <c r="B56" s="121">
        <v>912</v>
      </c>
      <c r="C56" s="1114" t="s">
        <v>988</v>
      </c>
      <c r="D56" s="103">
        <f>'C.2.2 B 91'!P40</f>
        <v>846.63573664316004</v>
      </c>
      <c r="E56" s="325">
        <f t="shared" si="0"/>
        <v>0.49440000000000001</v>
      </c>
      <c r="F56" s="103">
        <f>D56*E56</f>
        <v>418.57670819637832</v>
      </c>
      <c r="G56" s="103"/>
      <c r="H56" s="103">
        <f>'C.2.2-F 91'!P38</f>
        <v>914.08127181541306</v>
      </c>
      <c r="I56" s="325">
        <f t="shared" si="1"/>
        <v>0.49440000000000001</v>
      </c>
      <c r="J56" s="103">
        <f>H56*I56</f>
        <v>451.92178078554025</v>
      </c>
    </row>
    <row r="57" spans="1:10">
      <c r="A57" s="586">
        <v>43</v>
      </c>
      <c r="B57" s="121">
        <v>913</v>
      </c>
      <c r="C57" s="1114" t="s">
        <v>962</v>
      </c>
      <c r="D57" s="103">
        <f>'C.2.2 B 91'!P41</f>
        <v>640.52816085681491</v>
      </c>
      <c r="E57" s="325">
        <f t="shared" si="0"/>
        <v>0.49440000000000001</v>
      </c>
      <c r="F57" s="103">
        <f>D57*E57</f>
        <v>316.67712272760929</v>
      </c>
      <c r="G57" s="103"/>
      <c r="H57" s="103">
        <f>'C.2.2-F 91'!P39</f>
        <v>691.55455004890632</v>
      </c>
      <c r="I57" s="325">
        <f t="shared" si="1"/>
        <v>0.49440000000000001</v>
      </c>
      <c r="J57" s="103">
        <f>H57*I57</f>
        <v>341.90456954417931</v>
      </c>
    </row>
    <row r="58" spans="1:10">
      <c r="A58" s="586">
        <v>44</v>
      </c>
      <c r="B58" s="1116">
        <v>916</v>
      </c>
      <c r="C58" s="1114" t="s">
        <v>963</v>
      </c>
      <c r="D58" s="967">
        <v>0</v>
      </c>
      <c r="E58" s="325">
        <f t="shared" si="0"/>
        <v>0.49440000000000001</v>
      </c>
      <c r="F58" s="967">
        <f>D58*E58</f>
        <v>0</v>
      </c>
      <c r="G58" s="103"/>
      <c r="H58" s="967">
        <v>0</v>
      </c>
      <c r="I58" s="325">
        <f t="shared" si="1"/>
        <v>0.49440000000000001</v>
      </c>
      <c r="J58" s="967">
        <f>H58*I58</f>
        <v>0</v>
      </c>
    </row>
    <row r="59" spans="1:10">
      <c r="A59" s="586">
        <v>45</v>
      </c>
      <c r="B59" s="965"/>
      <c r="C59" s="1119" t="s">
        <v>97</v>
      </c>
      <c r="D59" s="361">
        <f>SUM(D55:D58)</f>
        <v>128590.35917568736</v>
      </c>
      <c r="E59" s="337"/>
      <c r="F59" s="361">
        <f>SUM(F55:F58)</f>
        <v>63575.073576459836</v>
      </c>
      <c r="G59" s="103"/>
      <c r="H59" s="361">
        <f>SUM(H55:H58)</f>
        <v>125180.31446477055</v>
      </c>
      <c r="I59" s="325"/>
      <c r="J59" s="361">
        <f>SUM(J55:J58)</f>
        <v>61889.147471382559</v>
      </c>
    </row>
    <row r="60" spans="1:10">
      <c r="A60" s="586">
        <v>46</v>
      </c>
      <c r="B60" s="1120"/>
      <c r="C60" s="103"/>
      <c r="D60" s="103"/>
      <c r="E60" s="325"/>
      <c r="F60" s="103"/>
      <c r="G60" s="103"/>
      <c r="H60" s="103"/>
      <c r="I60" s="325"/>
      <c r="J60" s="103"/>
    </row>
    <row r="61" spans="1:10" ht="15.75">
      <c r="A61" s="586">
        <v>47</v>
      </c>
      <c r="B61" s="965"/>
      <c r="C61" s="940" t="s">
        <v>77</v>
      </c>
      <c r="D61" s="103"/>
      <c r="E61" s="325"/>
      <c r="F61" s="103"/>
      <c r="G61" s="103"/>
      <c r="H61" s="103"/>
      <c r="I61" s="325"/>
      <c r="J61" s="103"/>
    </row>
    <row r="62" spans="1:10">
      <c r="A62" s="586">
        <v>48</v>
      </c>
      <c r="B62" s="121">
        <v>911</v>
      </c>
      <c r="C62" s="1114" t="s">
        <v>483</v>
      </c>
      <c r="D62" s="361">
        <v>0</v>
      </c>
      <c r="E62" s="325">
        <f t="shared" si="0"/>
        <v>4.8896160000000001E-2</v>
      </c>
      <c r="F62" s="361">
        <f>D62*E62</f>
        <v>0</v>
      </c>
      <c r="G62" s="103"/>
      <c r="H62" s="361">
        <v>0</v>
      </c>
      <c r="I62" s="325">
        <f t="shared" si="1"/>
        <v>4.8896160000000001E-2</v>
      </c>
      <c r="J62" s="361">
        <f>H62*I62</f>
        <v>0</v>
      </c>
    </row>
    <row r="63" spans="1:10">
      <c r="A63" s="586">
        <v>49</v>
      </c>
      <c r="B63" s="121">
        <v>912</v>
      </c>
      <c r="C63" s="1114" t="s">
        <v>988</v>
      </c>
      <c r="D63" s="619">
        <f>'C.2.2 B 02'!P26</f>
        <v>1882.4733916985756</v>
      </c>
      <c r="E63" s="325">
        <f t="shared" si="0"/>
        <v>4.8896160000000001E-2</v>
      </c>
      <c r="F63" s="619">
        <f>D63*E63</f>
        <v>92.045720156236229</v>
      </c>
      <c r="G63" s="103"/>
      <c r="H63" s="619">
        <f>'C.2.2-F 02'!P24</f>
        <v>2309.470137691681</v>
      </c>
      <c r="I63" s="325">
        <f t="shared" si="1"/>
        <v>4.8896160000000001E-2</v>
      </c>
      <c r="J63" s="619">
        <f>H63*I63</f>
        <v>112.92422136779446</v>
      </c>
    </row>
    <row r="64" spans="1:10">
      <c r="A64" s="586">
        <v>50</v>
      </c>
      <c r="B64" s="121">
        <v>913</v>
      </c>
      <c r="C64" s="1114" t="s">
        <v>962</v>
      </c>
      <c r="D64" s="619">
        <v>0</v>
      </c>
      <c r="E64" s="325">
        <f t="shared" si="0"/>
        <v>4.8896160000000001E-2</v>
      </c>
      <c r="F64" s="619">
        <f>D64*E64</f>
        <v>0</v>
      </c>
      <c r="G64" s="103"/>
      <c r="H64" s="619">
        <v>0</v>
      </c>
      <c r="I64" s="325">
        <f t="shared" si="1"/>
        <v>4.8896160000000001E-2</v>
      </c>
      <c r="J64" s="619">
        <f>H64*I64</f>
        <v>0</v>
      </c>
    </row>
    <row r="65" spans="1:10">
      <c r="A65" s="586">
        <v>51</v>
      </c>
      <c r="B65" s="1116">
        <v>916</v>
      </c>
      <c r="C65" s="1114" t="s">
        <v>963</v>
      </c>
      <c r="D65" s="1057">
        <v>0</v>
      </c>
      <c r="E65" s="325">
        <f t="shared" si="0"/>
        <v>4.8896160000000001E-2</v>
      </c>
      <c r="F65" s="1057">
        <f>D65*E65</f>
        <v>0</v>
      </c>
      <c r="G65" s="103"/>
      <c r="H65" s="1057">
        <v>0</v>
      </c>
      <c r="I65" s="325">
        <f t="shared" si="1"/>
        <v>4.8896160000000001E-2</v>
      </c>
      <c r="J65" s="1057">
        <f>H65*I65</f>
        <v>0</v>
      </c>
    </row>
    <row r="66" spans="1:10">
      <c r="A66" s="586">
        <v>52</v>
      </c>
      <c r="B66" s="965"/>
      <c r="C66" s="1119" t="s">
        <v>97</v>
      </c>
      <c r="D66" s="361">
        <f>SUM(D62:D65)</f>
        <v>1882.4733916985756</v>
      </c>
      <c r="E66" s="337"/>
      <c r="F66" s="361">
        <f>SUM(F62:F65)</f>
        <v>92.045720156236229</v>
      </c>
      <c r="G66" s="103"/>
      <c r="H66" s="361">
        <f>SUM(H62:H65)</f>
        <v>2309.470137691681</v>
      </c>
      <c r="I66" s="325"/>
      <c r="J66" s="361">
        <f>SUM(J62:J65)</f>
        <v>112.92422136779446</v>
      </c>
    </row>
    <row r="67" spans="1:10">
      <c r="A67" s="586">
        <v>53</v>
      </c>
      <c r="B67" s="1120"/>
      <c r="C67" s="103"/>
      <c r="D67" s="103"/>
      <c r="E67" s="325"/>
      <c r="F67" s="103"/>
      <c r="G67" s="103"/>
      <c r="H67" s="103"/>
      <c r="I67" s="325"/>
      <c r="J67" s="103"/>
    </row>
    <row r="68" spans="1:10" ht="15.75">
      <c r="A68" s="586">
        <v>54</v>
      </c>
      <c r="B68" s="965"/>
      <c r="C68" s="940" t="s">
        <v>78</v>
      </c>
      <c r="D68" s="103"/>
      <c r="E68" s="325"/>
      <c r="F68" s="103"/>
      <c r="G68" s="103"/>
      <c r="H68" s="103"/>
      <c r="I68" s="325"/>
      <c r="J68" s="103"/>
    </row>
    <row r="69" spans="1:10">
      <c r="A69" s="586">
        <v>55</v>
      </c>
      <c r="B69" s="121">
        <v>911</v>
      </c>
      <c r="C69" s="1114" t="s">
        <v>483</v>
      </c>
      <c r="D69" s="361">
        <v>0</v>
      </c>
      <c r="E69" s="325">
        <f t="shared" si="0"/>
        <v>5.67090596975168E-2</v>
      </c>
      <c r="F69" s="361">
        <f>D69*E69</f>
        <v>0</v>
      </c>
      <c r="G69" s="103"/>
      <c r="H69" s="361">
        <v>0</v>
      </c>
      <c r="I69" s="325">
        <f t="shared" si="1"/>
        <v>5.67090596975168E-2</v>
      </c>
      <c r="J69" s="361">
        <f>H69*I69</f>
        <v>0</v>
      </c>
    </row>
    <row r="70" spans="1:10">
      <c r="A70" s="586">
        <v>56</v>
      </c>
      <c r="B70" s="121">
        <v>912</v>
      </c>
      <c r="C70" s="1114" t="s">
        <v>988</v>
      </c>
      <c r="D70" s="619">
        <v>0</v>
      </c>
      <c r="E70" s="325">
        <f t="shared" si="0"/>
        <v>5.67090596975168E-2</v>
      </c>
      <c r="F70" s="619">
        <f>D70*E70</f>
        <v>0</v>
      </c>
      <c r="G70" s="103"/>
      <c r="H70" s="619">
        <v>0</v>
      </c>
      <c r="I70" s="325">
        <f t="shared" si="1"/>
        <v>5.67090596975168E-2</v>
      </c>
      <c r="J70" s="619">
        <f>H70*I70</f>
        <v>0</v>
      </c>
    </row>
    <row r="71" spans="1:10">
      <c r="A71" s="586">
        <v>57</v>
      </c>
      <c r="B71" s="121">
        <v>913</v>
      </c>
      <c r="C71" s="1114" t="s">
        <v>962</v>
      </c>
      <c r="D71" s="619">
        <v>0</v>
      </c>
      <c r="E71" s="325">
        <f t="shared" si="0"/>
        <v>5.67090596975168E-2</v>
      </c>
      <c r="F71" s="619">
        <f>D71*E71</f>
        <v>0</v>
      </c>
      <c r="G71" s="103"/>
      <c r="H71" s="619">
        <v>0</v>
      </c>
      <c r="I71" s="325">
        <f t="shared" si="1"/>
        <v>5.67090596975168E-2</v>
      </c>
      <c r="J71" s="619">
        <f>H71*I71</f>
        <v>0</v>
      </c>
    </row>
    <row r="72" spans="1:10">
      <c r="A72" s="586">
        <v>58</v>
      </c>
      <c r="B72" s="1116">
        <v>916</v>
      </c>
      <c r="C72" s="1114" t="s">
        <v>963</v>
      </c>
      <c r="D72" s="1057">
        <v>0</v>
      </c>
      <c r="E72" s="325">
        <f t="shared" si="0"/>
        <v>5.67090596975168E-2</v>
      </c>
      <c r="F72" s="1057">
        <f>D72*E72</f>
        <v>0</v>
      </c>
      <c r="G72" s="103"/>
      <c r="H72" s="1057">
        <v>0</v>
      </c>
      <c r="I72" s="325">
        <f t="shared" si="1"/>
        <v>5.67090596975168E-2</v>
      </c>
      <c r="J72" s="1057">
        <f>H72*I72</f>
        <v>0</v>
      </c>
    </row>
    <row r="73" spans="1:10">
      <c r="A73" s="586">
        <v>59</v>
      </c>
      <c r="B73" s="103"/>
      <c r="C73" s="1119" t="s">
        <v>97</v>
      </c>
      <c r="D73" s="361">
        <f>SUM(D69:D72)</f>
        <v>0</v>
      </c>
      <c r="E73" s="337"/>
      <c r="F73" s="361">
        <f>SUM(F69:F72)</f>
        <v>0</v>
      </c>
      <c r="G73" s="103"/>
      <c r="H73" s="361">
        <f>SUM(H69:H72)</f>
        <v>0</v>
      </c>
      <c r="I73" s="337"/>
      <c r="J73" s="361">
        <f>SUM(J69:J72)</f>
        <v>0</v>
      </c>
    </row>
    <row r="76" spans="1:10">
      <c r="B76" s="634" t="s">
        <v>1094</v>
      </c>
    </row>
    <row r="77" spans="1:10">
      <c r="B77" s="634" t="s">
        <v>1237</v>
      </c>
    </row>
    <row r="79" spans="1:10">
      <c r="C79" s="673"/>
    </row>
  </sheetData>
  <mergeCells count="5">
    <mergeCell ref="A5:J5"/>
    <mergeCell ref="A1:J1"/>
    <mergeCell ref="A2:J2"/>
    <mergeCell ref="A3:J3"/>
    <mergeCell ref="A4:J4"/>
  </mergeCells>
  <phoneticPr fontId="22" type="noConversion"/>
  <pageMargins left="0.75" right="0.67" top="0.76" bottom="0.82" header="0.5" footer="0.33"/>
  <pageSetup scale="58" orientation="portrait" verticalDpi="300" r:id="rId1"/>
  <headerFooter alignWithMargins="0">
    <oddFooter>&amp;RSchedule &amp;A
Page &amp;P of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L41"/>
  <sheetViews>
    <sheetView view="pageBreakPreview" zoomScale="70" zoomScaleNormal="90" zoomScaleSheetLayoutView="70" workbookViewId="0">
      <selection sqref="A1:XFD1048576"/>
    </sheetView>
  </sheetViews>
  <sheetFormatPr defaultRowHeight="15"/>
  <cols>
    <col min="1" max="1" width="4.109375" style="80" customWidth="1"/>
    <col min="2" max="2" width="38.33203125" style="80" customWidth="1"/>
    <col min="3" max="6" width="11.6640625" style="80" customWidth="1"/>
    <col min="7" max="7" width="10.109375" style="80" customWidth="1"/>
    <col min="8" max="8" width="4.109375" style="80" customWidth="1"/>
    <col min="9" max="9" width="11.33203125" style="80" customWidth="1"/>
    <col min="10" max="10" width="10.77734375" style="80" customWidth="1"/>
    <col min="11" max="11" width="12.44140625" style="80" bestFit="1" customWidth="1"/>
    <col min="12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03"/>
    </row>
    <row r="3" spans="1:12" ht="15.75">
      <c r="A3" s="1180" t="s">
        <v>1238</v>
      </c>
      <c r="B3" s="1180"/>
      <c r="C3" s="1180"/>
      <c r="D3" s="1180"/>
      <c r="E3" s="1180"/>
      <c r="F3" s="1180"/>
      <c r="G3" s="1180"/>
      <c r="H3" s="1180"/>
      <c r="I3" s="1180"/>
      <c r="J3" s="1180"/>
      <c r="K3" s="1180"/>
      <c r="L3" s="673"/>
    </row>
    <row r="4" spans="1:12" ht="15.75">
      <c r="A4" s="1180" t="str">
        <f>'Table of Contents'!A4:C4</f>
        <v>Forecasted Test Period: Twelve Months Ended March 31, 2019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673"/>
    </row>
    <row r="5" spans="1:12" ht="15.75">
      <c r="A5" s="1180"/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03"/>
    </row>
    <row r="6" spans="1:12" ht="15.75">
      <c r="A6" s="930"/>
      <c r="B6" s="930"/>
      <c r="C6" s="103"/>
      <c r="D6" s="103"/>
      <c r="E6" s="911"/>
      <c r="F6" s="103"/>
      <c r="G6" s="103"/>
      <c r="H6" s="103"/>
      <c r="I6" s="103"/>
      <c r="J6" s="103"/>
      <c r="K6" s="103"/>
      <c r="L6" s="103"/>
    </row>
    <row r="7" spans="1:12" ht="15.75">
      <c r="A7" s="930"/>
      <c r="B7" s="930"/>
      <c r="C7" s="103"/>
      <c r="D7" s="103"/>
      <c r="E7" s="103"/>
      <c r="F7" s="103"/>
      <c r="G7" s="103"/>
      <c r="H7" s="103"/>
      <c r="I7" s="103"/>
      <c r="K7" s="103"/>
      <c r="L7" s="103"/>
    </row>
    <row r="8" spans="1:12">
      <c r="A8" s="697" t="s">
        <v>137</v>
      </c>
      <c r="B8" s="103"/>
      <c r="C8" s="103"/>
      <c r="D8" s="103"/>
      <c r="E8" s="103"/>
      <c r="F8" s="103"/>
      <c r="G8" s="103"/>
      <c r="H8" s="103"/>
      <c r="I8" s="103"/>
      <c r="K8" s="170" t="s">
        <v>1436</v>
      </c>
      <c r="L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H9" s="103"/>
      <c r="I9" s="103"/>
      <c r="K9" s="931" t="s">
        <v>1317</v>
      </c>
      <c r="L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103"/>
      <c r="I10" s="103"/>
      <c r="J10" s="812"/>
      <c r="K10" s="933" t="str">
        <f>F.1!$F$9</f>
        <v>Witness: Waller</v>
      </c>
      <c r="L10" s="103"/>
    </row>
    <row r="11" spans="1:12" ht="15.75">
      <c r="A11" s="934"/>
      <c r="B11" s="934"/>
      <c r="C11" s="1181" t="s">
        <v>328</v>
      </c>
      <c r="D11" s="1182"/>
      <c r="E11" s="1182"/>
      <c r="F11" s="1182"/>
      <c r="G11" s="1183"/>
      <c r="H11" s="934"/>
      <c r="I11" s="935"/>
      <c r="J11" s="936" t="s">
        <v>329</v>
      </c>
      <c r="K11" s="937"/>
      <c r="L11" s="103"/>
    </row>
    <row r="12" spans="1:12" ht="15.75">
      <c r="A12" s="807"/>
      <c r="B12" s="807"/>
      <c r="C12" s="430" t="s">
        <v>21</v>
      </c>
      <c r="D12" s="430" t="s">
        <v>1185</v>
      </c>
      <c r="E12" s="807"/>
      <c r="F12" s="1121"/>
      <c r="G12" s="807"/>
      <c r="H12" s="807"/>
      <c r="I12" s="430" t="s">
        <v>21</v>
      </c>
      <c r="J12" s="1121"/>
      <c r="K12" s="807"/>
      <c r="L12" s="103"/>
    </row>
    <row r="13" spans="1:12">
      <c r="A13" s="121" t="s">
        <v>94</v>
      </c>
      <c r="B13" s="121" t="s">
        <v>577</v>
      </c>
      <c r="C13" s="121" t="s">
        <v>613</v>
      </c>
      <c r="D13" s="121" t="s">
        <v>1186</v>
      </c>
      <c r="E13" s="121" t="s">
        <v>97</v>
      </c>
      <c r="F13" s="862" t="s">
        <v>11</v>
      </c>
      <c r="G13" s="965" t="s">
        <v>12</v>
      </c>
      <c r="H13" s="965"/>
      <c r="I13" s="121" t="s">
        <v>613</v>
      </c>
      <c r="J13" s="965" t="str">
        <f>F13</f>
        <v xml:space="preserve">Kentucky </v>
      </c>
      <c r="K13" s="965" t="s">
        <v>989</v>
      </c>
      <c r="L13" s="103"/>
    </row>
    <row r="14" spans="1:12">
      <c r="A14" s="651" t="s">
        <v>100</v>
      </c>
      <c r="B14" s="651" t="s">
        <v>1090</v>
      </c>
      <c r="C14" s="435" t="s">
        <v>962</v>
      </c>
      <c r="D14" s="435" t="s">
        <v>962</v>
      </c>
      <c r="E14" s="651" t="s">
        <v>599</v>
      </c>
      <c r="F14" s="938" t="s">
        <v>98</v>
      </c>
      <c r="G14" s="651" t="s">
        <v>105</v>
      </c>
      <c r="H14" s="651"/>
      <c r="I14" s="435" t="s">
        <v>962</v>
      </c>
      <c r="J14" s="651" t="str">
        <f>F14</f>
        <v>Jurisdictional</v>
      </c>
      <c r="K14" s="651" t="s">
        <v>105</v>
      </c>
      <c r="L14" s="103"/>
    </row>
    <row r="15" spans="1:1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813"/>
    </row>
    <row r="17" spans="1:12" ht="15.75">
      <c r="A17" s="586">
        <v>1</v>
      </c>
      <c r="B17" s="1122" t="s">
        <v>194</v>
      </c>
      <c r="C17" s="378"/>
      <c r="D17" s="378"/>
      <c r="E17" s="378"/>
      <c r="F17" s="74"/>
      <c r="G17" s="382"/>
      <c r="H17" s="74"/>
      <c r="I17" s="378"/>
      <c r="J17" s="74"/>
      <c r="K17" s="382"/>
      <c r="L17" s="1079"/>
    </row>
    <row r="18" spans="1:12">
      <c r="A18" s="586">
        <v>2</v>
      </c>
      <c r="B18" s="419" t="s">
        <v>808</v>
      </c>
      <c r="C18" s="329">
        <v>76811.703345893111</v>
      </c>
      <c r="D18" s="329">
        <v>9019.9736701316433</v>
      </c>
      <c r="E18" s="329">
        <f>SUM(C18:D18)</f>
        <v>85831.677016024754</v>
      </c>
      <c r="F18" s="423">
        <v>1</v>
      </c>
      <c r="G18" s="329">
        <f>E18*F18</f>
        <v>85831.677016024754</v>
      </c>
      <c r="H18" s="74"/>
      <c r="I18" s="329">
        <f>C18</f>
        <v>76811.703345893111</v>
      </c>
      <c r="J18" s="423">
        <f>F18</f>
        <v>1</v>
      </c>
      <c r="K18" s="329">
        <f>I18*J18</f>
        <v>76811.703345893111</v>
      </c>
      <c r="L18" s="1079"/>
    </row>
    <row r="19" spans="1:12">
      <c r="A19" s="586">
        <v>3</v>
      </c>
      <c r="C19" s="378"/>
      <c r="D19" s="378"/>
      <c r="E19" s="378"/>
      <c r="F19" s="74"/>
      <c r="G19" s="382"/>
      <c r="H19" s="74"/>
      <c r="I19" s="378"/>
      <c r="J19" s="74"/>
      <c r="K19" s="382"/>
      <c r="L19" s="813"/>
    </row>
    <row r="20" spans="1:12" ht="15.75">
      <c r="A20" s="586">
        <v>4</v>
      </c>
      <c r="B20" s="1122" t="s">
        <v>79</v>
      </c>
      <c r="C20" s="382"/>
      <c r="D20" s="382"/>
      <c r="E20" s="382"/>
      <c r="F20" s="74"/>
      <c r="G20" s="382"/>
      <c r="H20" s="74"/>
      <c r="I20" s="382"/>
      <c r="J20" s="74"/>
      <c r="K20" s="382"/>
      <c r="L20" s="1079"/>
    </row>
    <row r="21" spans="1:12">
      <c r="A21" s="586">
        <v>5</v>
      </c>
      <c r="B21" s="419" t="s">
        <v>808</v>
      </c>
      <c r="C21" s="382">
        <v>8016.6241776154129</v>
      </c>
      <c r="D21" s="382">
        <v>299672.27034322079</v>
      </c>
      <c r="E21" s="382">
        <f>SUM(C21:D21)</f>
        <v>307688.89452083618</v>
      </c>
      <c r="F21" s="468">
        <f>Allocation!$I$17</f>
        <v>0.49440000000000001</v>
      </c>
      <c r="G21" s="382">
        <f>E21*F21</f>
        <v>152121.38945110142</v>
      </c>
      <c r="H21" s="74"/>
      <c r="I21" s="382">
        <f>C21</f>
        <v>8016.6241776154129</v>
      </c>
      <c r="J21" s="468">
        <f>Allocation!$E$17</f>
        <v>0.49440000000000001</v>
      </c>
      <c r="K21" s="382">
        <f>I21*J21</f>
        <v>3963.41899341306</v>
      </c>
      <c r="L21" s="1079"/>
    </row>
    <row r="22" spans="1:12">
      <c r="A22" s="586">
        <v>6</v>
      </c>
      <c r="B22" s="1079"/>
      <c r="C22" s="619"/>
      <c r="D22" s="619"/>
      <c r="E22" s="619"/>
      <c r="F22" s="103"/>
      <c r="G22" s="619"/>
      <c r="H22" s="103"/>
      <c r="I22" s="619"/>
      <c r="J22" s="103"/>
      <c r="K22" s="103"/>
      <c r="L22" s="1079"/>
    </row>
    <row r="23" spans="1:12" ht="15.75">
      <c r="A23" s="586">
        <v>7</v>
      </c>
      <c r="B23" s="1122" t="s">
        <v>77</v>
      </c>
      <c r="C23" s="619"/>
      <c r="D23" s="619"/>
      <c r="E23" s="619"/>
      <c r="F23" s="103"/>
      <c r="G23" s="619"/>
      <c r="H23" s="103"/>
      <c r="I23" s="619"/>
      <c r="J23" s="103"/>
      <c r="K23" s="103"/>
      <c r="L23" s="1123"/>
    </row>
    <row r="24" spans="1:12">
      <c r="A24" s="586">
        <v>8</v>
      </c>
      <c r="B24" s="419" t="s">
        <v>808</v>
      </c>
      <c r="C24" s="382">
        <v>111115.88966338914</v>
      </c>
      <c r="D24" s="382">
        <v>0</v>
      </c>
      <c r="E24" s="382">
        <f>SUM(C24:D24)</f>
        <v>111115.88966338914</v>
      </c>
      <c r="F24" s="468">
        <f>Allocation!$I$14</f>
        <v>4.8896160000000001E-2</v>
      </c>
      <c r="G24" s="382">
        <f>E24*F24</f>
        <v>5433.1403195234216</v>
      </c>
      <c r="H24" s="103"/>
      <c r="I24" s="382">
        <f>C24</f>
        <v>111115.88966338914</v>
      </c>
      <c r="J24" s="468">
        <f>Allocation!$E$14</f>
        <v>4.8896160000000001E-2</v>
      </c>
      <c r="K24" s="382">
        <f>I24*J24</f>
        <v>5433.1403195234216</v>
      </c>
      <c r="L24" s="1124"/>
    </row>
    <row r="25" spans="1:12">
      <c r="A25" s="586">
        <v>9</v>
      </c>
      <c r="B25" s="1123"/>
      <c r="C25" s="619"/>
      <c r="D25" s="619"/>
      <c r="E25" s="619"/>
      <c r="F25" s="103"/>
      <c r="G25" s="619"/>
      <c r="H25" s="103"/>
      <c r="I25" s="619"/>
      <c r="J25" s="103"/>
      <c r="K25" s="103"/>
      <c r="L25" s="103"/>
    </row>
    <row r="26" spans="1:12" ht="15.75">
      <c r="A26" s="586">
        <v>10</v>
      </c>
      <c r="B26" s="1122" t="s">
        <v>78</v>
      </c>
      <c r="C26" s="619"/>
      <c r="D26" s="619"/>
      <c r="E26" s="619"/>
      <c r="F26" s="103"/>
      <c r="G26" s="619"/>
      <c r="H26" s="103"/>
      <c r="I26" s="619"/>
      <c r="J26" s="103"/>
      <c r="K26" s="103"/>
      <c r="L26" s="103"/>
    </row>
    <row r="27" spans="1:12">
      <c r="A27" s="586">
        <v>11</v>
      </c>
      <c r="B27" s="419" t="s">
        <v>808</v>
      </c>
      <c r="C27" s="382">
        <v>812.33999999999992</v>
      </c>
      <c r="D27" s="382">
        <v>0</v>
      </c>
      <c r="E27" s="382">
        <f>SUM(C27:D27)</f>
        <v>812.33999999999992</v>
      </c>
      <c r="F27" s="468">
        <f>Allocation!$I$15</f>
        <v>5.67090596975168E-2</v>
      </c>
      <c r="G27" s="382">
        <f>E27*F27</f>
        <v>46.067037554680795</v>
      </c>
      <c r="H27" s="103"/>
      <c r="I27" s="382">
        <f>C27</f>
        <v>812.33999999999992</v>
      </c>
      <c r="J27" s="468">
        <f>Allocation!$E$15</f>
        <v>5.67090596975168E-2</v>
      </c>
      <c r="K27" s="382">
        <f>I27*J27</f>
        <v>46.067037554680795</v>
      </c>
      <c r="L27" s="103"/>
    </row>
    <row r="28" spans="1:12">
      <c r="A28" s="586">
        <v>12</v>
      </c>
      <c r="G28" s="619"/>
    </row>
    <row r="29" spans="1:12" ht="16.5" thickBot="1">
      <c r="A29" s="586">
        <v>13</v>
      </c>
      <c r="B29" s="422" t="s">
        <v>942</v>
      </c>
      <c r="C29" s="330">
        <f>SUM(C18:C27)</f>
        <v>196756.55718689764</v>
      </c>
      <c r="D29" s="330">
        <f>SUM(D18:D27)</f>
        <v>308692.24401335244</v>
      </c>
      <c r="E29" s="330">
        <f>SUM(E18:E27)</f>
        <v>505448.80120025011</v>
      </c>
      <c r="G29" s="330">
        <f>SUM(G18:G27)</f>
        <v>243432.27382420431</v>
      </c>
      <c r="I29" s="330">
        <f>SUM(I18:I27)</f>
        <v>196756.55718689764</v>
      </c>
      <c r="K29" s="330">
        <f>SUM(K18:K27)</f>
        <v>86254.329696384259</v>
      </c>
    </row>
    <row r="30" spans="1:12" ht="15.75" thickTop="1"/>
    <row r="32" spans="1:12">
      <c r="B32" s="1125"/>
    </row>
    <row r="33" spans="2:2">
      <c r="B33" s="1125"/>
    </row>
    <row r="34" spans="2:2">
      <c r="B34" s="80" t="s">
        <v>523</v>
      </c>
    </row>
    <row r="35" spans="2:2">
      <c r="B35" s="80" t="s">
        <v>1667</v>
      </c>
    </row>
    <row r="36" spans="2:2">
      <c r="B36" s="80" t="s">
        <v>1651</v>
      </c>
    </row>
    <row r="39" spans="2:2">
      <c r="B39" s="673"/>
    </row>
    <row r="40" spans="2:2">
      <c r="B40" s="673"/>
    </row>
    <row r="41" spans="2:2">
      <c r="B41" s="673"/>
    </row>
  </sheetData>
  <mergeCells count="6">
    <mergeCell ref="C11:G11"/>
    <mergeCell ref="A5:K5"/>
    <mergeCell ref="A1:K1"/>
    <mergeCell ref="A2:K2"/>
    <mergeCell ref="A3:K3"/>
    <mergeCell ref="A4:K4"/>
  </mergeCells>
  <phoneticPr fontId="22" type="noConversion"/>
  <printOptions horizontalCentered="1"/>
  <pageMargins left="0.83" right="0.73" top="0.81" bottom="0.5" header="0.5" footer="0.5"/>
  <pageSetup scale="73" orientation="landscape" verticalDpi="300" r:id="rId1"/>
  <headerFooter alignWithMargins="0">
    <oddFooter>&amp;RSchedule &amp;A
Page &amp;P of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43"/>
  <sheetViews>
    <sheetView view="pageBreakPreview" zoomScale="70" zoomScaleNormal="90" zoomScaleSheetLayoutView="70" workbookViewId="0">
      <selection sqref="A1:XFD1048576"/>
    </sheetView>
  </sheetViews>
  <sheetFormatPr defaultRowHeight="15"/>
  <cols>
    <col min="1" max="1" width="5.88671875" style="80" customWidth="1"/>
    <col min="2" max="2" width="34.6640625" style="80" customWidth="1"/>
    <col min="3" max="3" width="13.5546875" style="80" bestFit="1" customWidth="1"/>
    <col min="4" max="4" width="11.109375" style="80" customWidth="1"/>
    <col min="5" max="5" width="10.88671875" style="80" customWidth="1"/>
    <col min="6" max="6" width="4.21875" style="80" customWidth="1"/>
    <col min="7" max="7" width="12" style="80" bestFit="1" customWidth="1"/>
    <col min="8" max="8" width="12" style="80" customWidth="1"/>
    <col min="9" max="9" width="9.88671875" style="80" customWidth="1"/>
    <col min="10" max="16384" width="8.88671875" style="80"/>
  </cols>
  <sheetData>
    <row r="1" spans="1:12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2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2" ht="15.75">
      <c r="A3" s="1160" t="s">
        <v>425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2" ht="15.75">
      <c r="A4" s="1160" t="str">
        <f>'Table of Contents'!A3:C3</f>
        <v>Base Period: Twelve Months Ended December 31, 2017</v>
      </c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2" ht="15.75">
      <c r="A5" s="1160" t="str">
        <f>'Table of Contents'!A4:C4</f>
        <v>Forecasted Test Period: Twelve Months Ended March 31, 2019</v>
      </c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2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2" ht="15.75">
      <c r="A7" s="697" t="s">
        <v>137</v>
      </c>
      <c r="B7" s="103"/>
      <c r="C7" s="930"/>
      <c r="D7" s="103"/>
      <c r="E7" s="103"/>
      <c r="F7" s="103"/>
      <c r="G7" s="103"/>
      <c r="I7" s="170" t="s">
        <v>1436</v>
      </c>
      <c r="J7" s="103"/>
    </row>
    <row r="8" spans="1:12" ht="15.75">
      <c r="A8" s="697" t="s">
        <v>1133</v>
      </c>
      <c r="B8" s="103"/>
      <c r="C8" s="930"/>
      <c r="D8" s="103"/>
      <c r="E8" s="103"/>
      <c r="F8" s="103"/>
      <c r="G8" s="103"/>
      <c r="I8" s="931" t="s">
        <v>578</v>
      </c>
      <c r="J8" s="103"/>
    </row>
    <row r="9" spans="1:12" ht="15.75">
      <c r="A9" s="697" t="s">
        <v>369</v>
      </c>
      <c r="B9" s="103"/>
      <c r="C9" s="930"/>
      <c r="D9" s="103"/>
      <c r="E9" s="103"/>
      <c r="F9" s="103"/>
      <c r="G9" s="103"/>
      <c r="I9" s="933" t="str">
        <f>F.1!$F$9</f>
        <v>Witness: Waller</v>
      </c>
      <c r="J9" s="103"/>
    </row>
    <row r="10" spans="1:12" ht="15.75">
      <c r="A10" s="934"/>
      <c r="B10" s="934"/>
      <c r="C10" s="935"/>
      <c r="D10" s="936" t="s">
        <v>328</v>
      </c>
      <c r="E10" s="937"/>
      <c r="F10" s="934"/>
      <c r="G10" s="935"/>
      <c r="H10" s="936" t="s">
        <v>329</v>
      </c>
      <c r="I10" s="937"/>
      <c r="J10" s="103"/>
    </row>
    <row r="11" spans="1:12">
      <c r="A11" s="121" t="s">
        <v>94</v>
      </c>
      <c r="B11" s="103"/>
      <c r="C11" s="121" t="s">
        <v>97</v>
      </c>
      <c r="D11" s="862" t="s">
        <v>11</v>
      </c>
      <c r="E11" s="965" t="s">
        <v>12</v>
      </c>
      <c r="F11" s="103"/>
      <c r="G11" s="121" t="s">
        <v>97</v>
      </c>
      <c r="H11" s="965" t="str">
        <f>D11</f>
        <v xml:space="preserve">Kentucky </v>
      </c>
      <c r="I11" s="965" t="s">
        <v>989</v>
      </c>
      <c r="J11" s="103"/>
    </row>
    <row r="12" spans="1:12">
      <c r="A12" s="651" t="s">
        <v>100</v>
      </c>
      <c r="B12" s="651" t="s">
        <v>993</v>
      </c>
      <c r="C12" s="651" t="s">
        <v>599</v>
      </c>
      <c r="D12" s="938" t="s">
        <v>98</v>
      </c>
      <c r="E12" s="651" t="s">
        <v>105</v>
      </c>
      <c r="F12" s="939"/>
      <c r="G12" s="651" t="s">
        <v>599</v>
      </c>
      <c r="H12" s="651" t="str">
        <f>D12</f>
        <v>Jurisdictional</v>
      </c>
      <c r="I12" s="651" t="s">
        <v>105</v>
      </c>
      <c r="J12" s="103"/>
    </row>
    <row r="13" spans="1:12">
      <c r="A13" s="103"/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2" ht="15.75">
      <c r="A14" s="965"/>
      <c r="B14" s="979" t="s">
        <v>1245</v>
      </c>
      <c r="C14" s="911"/>
      <c r="D14" s="103"/>
      <c r="E14" s="103"/>
      <c r="F14" s="103"/>
      <c r="G14" s="103"/>
      <c r="H14" s="103"/>
      <c r="I14" s="103"/>
      <c r="J14" s="103"/>
    </row>
    <row r="15" spans="1:12" ht="15.75">
      <c r="A15" s="121">
        <v>1</v>
      </c>
      <c r="B15" s="586"/>
      <c r="C15" s="1126"/>
      <c r="D15" s="586"/>
      <c r="E15" s="586"/>
      <c r="F15" s="586"/>
      <c r="G15" s="103"/>
      <c r="H15" s="963"/>
      <c r="I15" s="586"/>
      <c r="J15" s="103"/>
    </row>
    <row r="16" spans="1:12">
      <c r="A16" s="965">
        <f>A15+1</f>
        <v>2</v>
      </c>
      <c r="B16" s="813" t="s">
        <v>194</v>
      </c>
      <c r="D16" s="945"/>
      <c r="F16" s="402"/>
      <c r="G16" s="430"/>
      <c r="H16" s="402"/>
      <c r="I16" s="402"/>
      <c r="L16" s="673"/>
    </row>
    <row r="17" spans="1:10">
      <c r="A17" s="965">
        <f t="shared" ref="A17:A34" si="0">A16+1</f>
        <v>3</v>
      </c>
      <c r="B17" s="1079" t="s">
        <v>990</v>
      </c>
      <c r="C17" s="1127">
        <v>0</v>
      </c>
      <c r="D17" s="945">
        <v>1</v>
      </c>
      <c r="E17" s="1127">
        <f>C17*D17</f>
        <v>0</v>
      </c>
      <c r="F17" s="402"/>
      <c r="G17" s="1127">
        <v>0</v>
      </c>
      <c r="H17" s="945">
        <f>D17</f>
        <v>1</v>
      </c>
      <c r="I17" s="1127">
        <f>G17*H17</f>
        <v>0</v>
      </c>
    </row>
    <row r="18" spans="1:10">
      <c r="A18" s="965">
        <f t="shared" si="0"/>
        <v>4</v>
      </c>
      <c r="B18" s="1079" t="s">
        <v>991</v>
      </c>
      <c r="C18" s="1127">
        <v>64810.557379835765</v>
      </c>
      <c r="D18" s="945">
        <f>D17</f>
        <v>1</v>
      </c>
      <c r="E18" s="1128">
        <f>C18*D18</f>
        <v>64810.557379835765</v>
      </c>
      <c r="F18" s="402"/>
      <c r="G18" s="1127">
        <v>74067.321039683389</v>
      </c>
      <c r="H18" s="945">
        <f>D18</f>
        <v>1</v>
      </c>
      <c r="I18" s="1128">
        <f>G18*H18</f>
        <v>74067.321039683389</v>
      </c>
    </row>
    <row r="19" spans="1:10">
      <c r="A19" s="965">
        <f t="shared" si="0"/>
        <v>5</v>
      </c>
      <c r="B19" s="1123" t="s">
        <v>493</v>
      </c>
      <c r="C19" s="1129">
        <f>SUM(C16:C18)</f>
        <v>64810.557379835765</v>
      </c>
      <c r="D19" s="945"/>
      <c r="E19" s="1127">
        <f>SUM(E16:E18)</f>
        <v>64810.557379835765</v>
      </c>
      <c r="F19" s="402"/>
      <c r="G19" s="1129">
        <f>SUM(G16:G18)</f>
        <v>74067.321039683389</v>
      </c>
      <c r="H19" s="402"/>
      <c r="I19" s="1127">
        <f>SUM(I16:I18)</f>
        <v>74067.321039683389</v>
      </c>
    </row>
    <row r="20" spans="1:10">
      <c r="A20" s="965">
        <f t="shared" si="0"/>
        <v>6</v>
      </c>
      <c r="B20" s="1124"/>
      <c r="C20" s="1130"/>
      <c r="D20" s="618"/>
      <c r="E20" s="1130"/>
      <c r="F20" s="807"/>
      <c r="G20" s="1130"/>
      <c r="H20" s="807"/>
      <c r="I20" s="1130"/>
      <c r="J20" s="103"/>
    </row>
    <row r="21" spans="1:10">
      <c r="A21" s="965">
        <f t="shared" si="0"/>
        <v>7</v>
      </c>
      <c r="B21" s="813" t="s">
        <v>79</v>
      </c>
      <c r="C21" s="383"/>
      <c r="D21" s="1131"/>
      <c r="E21" s="383"/>
      <c r="F21" s="948"/>
      <c r="G21" s="383"/>
      <c r="H21" s="948"/>
      <c r="I21" s="383"/>
      <c r="J21" s="103"/>
    </row>
    <row r="22" spans="1:10">
      <c r="A22" s="965">
        <f t="shared" si="0"/>
        <v>8</v>
      </c>
      <c r="B22" s="1079" t="s">
        <v>990</v>
      </c>
      <c r="C22" s="1127">
        <v>48298.90437693573</v>
      </c>
      <c r="D22" s="1131">
        <f>Allocation!$I$17</f>
        <v>0.49440000000000001</v>
      </c>
      <c r="E22" s="1132">
        <f>C22*D22</f>
        <v>23878.978323957024</v>
      </c>
      <c r="F22" s="948"/>
      <c r="G22" s="1127">
        <v>86408.704127760546</v>
      </c>
      <c r="H22" s="1131">
        <f>Allocation!$E$17</f>
        <v>0.49440000000000001</v>
      </c>
      <c r="I22" s="1132">
        <f>G22*H22</f>
        <v>42720.463320764815</v>
      </c>
      <c r="J22" s="103"/>
    </row>
    <row r="23" spans="1:10">
      <c r="A23" s="965">
        <f t="shared" si="0"/>
        <v>9</v>
      </c>
      <c r="B23" s="1079" t="s">
        <v>991</v>
      </c>
      <c r="C23" s="1127">
        <v>216209.03474369436</v>
      </c>
      <c r="D23" s="1131">
        <f>D22</f>
        <v>0.49440000000000001</v>
      </c>
      <c r="E23" s="1133">
        <f>C23*D23</f>
        <v>106893.74677728249</v>
      </c>
      <c r="F23" s="948"/>
      <c r="G23" s="1127">
        <v>386806.75584512844</v>
      </c>
      <c r="H23" s="1134">
        <f>H22</f>
        <v>0.49440000000000001</v>
      </c>
      <c r="I23" s="1133">
        <f>G23*H23</f>
        <v>191237.26008983151</v>
      </c>
      <c r="J23" s="103"/>
    </row>
    <row r="24" spans="1:10">
      <c r="A24" s="965">
        <f t="shared" si="0"/>
        <v>10</v>
      </c>
      <c r="B24" s="1123" t="s">
        <v>493</v>
      </c>
      <c r="C24" s="1129">
        <f>SUM(C22:C23)</f>
        <v>264507.93912063009</v>
      </c>
      <c r="D24" s="1131"/>
      <c r="E24" s="1127">
        <f>SUM(E22:E23)</f>
        <v>130772.72510123951</v>
      </c>
      <c r="F24" s="948"/>
      <c r="G24" s="1129">
        <f>SUM(G22:G23)</f>
        <v>473215.45997288899</v>
      </c>
      <c r="H24" s="1135"/>
      <c r="I24" s="1127">
        <f>SUM(I22:I23)</f>
        <v>233957.72341059631</v>
      </c>
      <c r="J24" s="103"/>
    </row>
    <row r="25" spans="1:10">
      <c r="A25" s="965">
        <f t="shared" si="0"/>
        <v>11</v>
      </c>
      <c r="B25" s="1124"/>
      <c r="C25" s="1130"/>
      <c r="D25" s="950"/>
      <c r="E25" s="1130"/>
      <c r="F25" s="807"/>
      <c r="G25" s="1130"/>
      <c r="H25" s="1136"/>
      <c r="I25" s="1130"/>
      <c r="J25" s="103"/>
    </row>
    <row r="26" spans="1:10">
      <c r="A26" s="965">
        <f t="shared" si="0"/>
        <v>12</v>
      </c>
      <c r="B26" s="1124" t="s">
        <v>77</v>
      </c>
      <c r="C26" s="1130"/>
      <c r="D26" s="325"/>
      <c r="E26" s="1130"/>
      <c r="F26" s="103"/>
      <c r="G26" s="1130"/>
      <c r="H26" s="1013"/>
      <c r="I26" s="1130"/>
      <c r="J26" s="103"/>
    </row>
    <row r="27" spans="1:10">
      <c r="A27" s="965">
        <f t="shared" si="0"/>
        <v>13</v>
      </c>
      <c r="B27" s="1079" t="s">
        <v>990</v>
      </c>
      <c r="C27" s="1127">
        <v>19328966.550662015</v>
      </c>
      <c r="D27" s="325">
        <f>Allocation!$I$14</f>
        <v>4.8896160000000001E-2</v>
      </c>
      <c r="E27" s="1132">
        <f>C27*D27</f>
        <v>945112.241095818</v>
      </c>
      <c r="F27" s="103"/>
      <c r="G27" s="1127">
        <v>10420381.385702325</v>
      </c>
      <c r="H27" s="325">
        <f>Allocation!$E$14</f>
        <v>4.8896160000000001E-2</v>
      </c>
      <c r="I27" s="1132">
        <f>G27*H27</f>
        <v>509516.63549632259</v>
      </c>
      <c r="J27" s="103"/>
    </row>
    <row r="28" spans="1:10">
      <c r="A28" s="965">
        <f t="shared" si="0"/>
        <v>14</v>
      </c>
      <c r="B28" s="1079" t="s">
        <v>991</v>
      </c>
      <c r="C28" s="1127">
        <v>207346.06836133715</v>
      </c>
      <c r="D28" s="950">
        <f>D27</f>
        <v>4.8896160000000001E-2</v>
      </c>
      <c r="E28" s="1137">
        <f>C28*D28</f>
        <v>10138.42653396688</v>
      </c>
      <c r="F28" s="103"/>
      <c r="G28" s="1127">
        <v>111781.71918751852</v>
      </c>
      <c r="H28" s="1134">
        <f>H27</f>
        <v>4.8896160000000001E-2</v>
      </c>
      <c r="I28" s="1137">
        <f>G28*H28</f>
        <v>5465.6968264679763</v>
      </c>
      <c r="J28" s="103"/>
    </row>
    <row r="29" spans="1:10">
      <c r="A29" s="965">
        <f t="shared" si="0"/>
        <v>15</v>
      </c>
      <c r="B29" s="1123" t="s">
        <v>493</v>
      </c>
      <c r="C29" s="1129">
        <f>SUM(C27:C28)</f>
        <v>19536312.619023353</v>
      </c>
      <c r="D29" s="325"/>
      <c r="E29" s="1127">
        <f>SUM(E27:E28)</f>
        <v>955250.6676297849</v>
      </c>
      <c r="F29" s="103"/>
      <c r="G29" s="1129">
        <f>SUM(G27:G28)</f>
        <v>10532163.104889844</v>
      </c>
      <c r="H29" s="1013"/>
      <c r="I29" s="1127">
        <f>SUM(I27:I28)</f>
        <v>514982.33232279058</v>
      </c>
      <c r="J29" s="103"/>
    </row>
    <row r="30" spans="1:10">
      <c r="A30" s="965">
        <f t="shared" si="0"/>
        <v>16</v>
      </c>
      <c r="B30" s="1124"/>
      <c r="C30" s="1130"/>
      <c r="D30" s="325"/>
      <c r="E30" s="1130"/>
      <c r="F30" s="103"/>
      <c r="G30" s="1130"/>
      <c r="H30" s="1013"/>
      <c r="I30" s="1130"/>
      <c r="J30" s="103"/>
    </row>
    <row r="31" spans="1:10">
      <c r="A31" s="965">
        <f t="shared" si="0"/>
        <v>17</v>
      </c>
      <c r="B31" s="1124" t="s">
        <v>78</v>
      </c>
      <c r="C31" s="1130"/>
      <c r="D31" s="325"/>
      <c r="E31" s="1130"/>
      <c r="G31" s="1130"/>
      <c r="H31" s="1138"/>
      <c r="I31" s="1130"/>
    </row>
    <row r="32" spans="1:10">
      <c r="A32" s="965">
        <f t="shared" si="0"/>
        <v>18</v>
      </c>
      <c r="B32" s="1079" t="s">
        <v>990</v>
      </c>
      <c r="C32" s="361">
        <v>606158.8810323131</v>
      </c>
      <c r="D32" s="325">
        <f>Allocation!$I$15</f>
        <v>5.67090596975168E-2</v>
      </c>
      <c r="E32" s="361">
        <f>C32*D32</f>
        <v>34374.70017064143</v>
      </c>
      <c r="G32" s="361">
        <v>470991.48580155807</v>
      </c>
      <c r="H32" s="325">
        <f>Allocation!$E$15</f>
        <v>5.67090596975168E-2</v>
      </c>
      <c r="I32" s="361">
        <f>G32*H32</f>
        <v>26709.484285342693</v>
      </c>
    </row>
    <row r="33" spans="1:11">
      <c r="A33" s="965">
        <f t="shared" si="0"/>
        <v>19</v>
      </c>
      <c r="B33" s="1079" t="s">
        <v>991</v>
      </c>
      <c r="C33" s="361">
        <v>0</v>
      </c>
      <c r="D33" s="325">
        <f>D32</f>
        <v>5.67090596975168E-2</v>
      </c>
      <c r="E33" s="1139">
        <f>C33*D33</f>
        <v>0</v>
      </c>
      <c r="G33" s="361">
        <v>0</v>
      </c>
      <c r="H33" s="1134">
        <f>H32</f>
        <v>5.67090596975168E-2</v>
      </c>
      <c r="I33" s="1139">
        <f>G33*H33</f>
        <v>0</v>
      </c>
      <c r="K33" s="693"/>
    </row>
    <row r="34" spans="1:11">
      <c r="A34" s="965">
        <f t="shared" si="0"/>
        <v>20</v>
      </c>
      <c r="B34" s="1123" t="s">
        <v>493</v>
      </c>
      <c r="C34" s="726">
        <f>SUM(C32:C33)</f>
        <v>606158.8810323131</v>
      </c>
      <c r="E34" s="361">
        <f>SUM(E32:E33)</f>
        <v>34374.70017064143</v>
      </c>
      <c r="G34" s="726">
        <f>SUM(G32:G33)</f>
        <v>470991.48580155807</v>
      </c>
      <c r="H34" s="1138"/>
      <c r="I34" s="361">
        <f>SUM(I32:I33)</f>
        <v>26709.484285342693</v>
      </c>
    </row>
    <row r="37" spans="1:11">
      <c r="A37" s="96" t="s">
        <v>409</v>
      </c>
    </row>
    <row r="40" spans="1:11" ht="15.75">
      <c r="C40" s="911"/>
    </row>
    <row r="42" spans="1:11">
      <c r="B42" s="80" t="s">
        <v>523</v>
      </c>
      <c r="D42" s="80" t="s">
        <v>327</v>
      </c>
    </row>
    <row r="43" spans="1:11">
      <c r="B43" s="80" t="s">
        <v>1651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9" right="0.71" top="0.76" bottom="0.5" header="0.57999999999999996" footer="0.5"/>
  <pageSetup scale="88" orientation="landscape" verticalDpi="300" r:id="rId1"/>
  <headerFooter alignWithMargins="0">
    <oddFooter>&amp;RSchedule &amp;A
Page &amp;P of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51"/>
  <sheetViews>
    <sheetView view="pageBreakPreview" topLeftCell="B1" zoomScale="60" zoomScaleNormal="90" workbookViewId="0">
      <selection activeCell="F45" sqref="F45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2.44140625" bestFit="1" customWidth="1"/>
    <col min="7" max="7" width="9.6640625" customWidth="1"/>
    <col min="8" max="8" width="9" customWidth="1"/>
    <col min="9" max="9" width="20.33203125" customWidth="1"/>
    <col min="10" max="10" width="20.21875" customWidth="1"/>
    <col min="12" max="12" width="13.33203125" customWidth="1"/>
    <col min="13" max="13" width="23.109375" customWidth="1"/>
    <col min="14" max="14" width="23.33203125" customWidth="1"/>
  </cols>
  <sheetData>
    <row r="1" spans="1:10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701"/>
      <c r="G1" s="1"/>
      <c r="H1" s="1"/>
      <c r="I1" s="1"/>
      <c r="J1" s="1"/>
    </row>
    <row r="2" spans="1:10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758"/>
      <c r="G2" s="81"/>
      <c r="H2" s="81"/>
      <c r="I2" s="81"/>
      <c r="J2" s="1"/>
    </row>
    <row r="3" spans="1:10" ht="15.75">
      <c r="A3" s="1180" t="s">
        <v>221</v>
      </c>
      <c r="B3" s="1180"/>
      <c r="C3" s="1180"/>
      <c r="D3" s="1180"/>
      <c r="E3" s="1180"/>
      <c r="F3" s="701"/>
      <c r="G3" s="760"/>
      <c r="H3" s="81"/>
      <c r="I3" s="81"/>
      <c r="J3" s="1"/>
    </row>
    <row r="4" spans="1:10" ht="15.75">
      <c r="A4" s="12"/>
      <c r="B4" s="1"/>
      <c r="C4" s="1"/>
      <c r="D4" s="1"/>
      <c r="E4" s="1"/>
      <c r="F4" s="81"/>
      <c r="G4" s="673"/>
      <c r="H4" s="673"/>
      <c r="I4" s="673"/>
      <c r="J4" s="1"/>
    </row>
    <row r="5" spans="1:10" ht="15.75">
      <c r="A5" s="12"/>
      <c r="B5" s="1"/>
      <c r="C5" s="1"/>
      <c r="D5" s="1"/>
      <c r="E5" s="1"/>
      <c r="F5" s="81"/>
      <c r="G5" s="673"/>
      <c r="H5" s="673"/>
      <c r="I5" s="673"/>
    </row>
    <row r="6" spans="1:10" ht="15.75">
      <c r="A6" s="12"/>
      <c r="B6" s="1"/>
      <c r="C6" s="1"/>
      <c r="D6" s="1"/>
      <c r="F6" s="81"/>
      <c r="G6" s="673"/>
      <c r="H6" s="673"/>
      <c r="I6" s="673"/>
    </row>
    <row r="7" spans="1:10">
      <c r="A7" s="66" t="s">
        <v>571</v>
      </c>
      <c r="C7" s="1"/>
      <c r="D7" s="1"/>
      <c r="E7" s="569" t="s">
        <v>1436</v>
      </c>
      <c r="F7" s="1"/>
      <c r="G7" s="594"/>
      <c r="H7" s="594"/>
      <c r="I7" s="594"/>
    </row>
    <row r="8" spans="1:10">
      <c r="A8" s="66" t="s">
        <v>621</v>
      </c>
      <c r="C8" s="1"/>
      <c r="D8" s="1"/>
      <c r="E8" s="490" t="s">
        <v>73</v>
      </c>
      <c r="F8" s="1"/>
      <c r="G8" s="759"/>
      <c r="H8" s="594"/>
      <c r="I8" s="594"/>
    </row>
    <row r="9" spans="1:10">
      <c r="A9" s="570" t="s">
        <v>431</v>
      </c>
      <c r="B9" s="52"/>
      <c r="C9" s="33"/>
      <c r="D9" s="33"/>
      <c r="E9" s="608" t="str">
        <f>F.1!$F$9</f>
        <v>Witness: Waller</v>
      </c>
      <c r="F9" s="1"/>
      <c r="G9" s="594"/>
      <c r="H9" s="594"/>
      <c r="I9" s="594"/>
      <c r="J9" s="1"/>
    </row>
    <row r="10" spans="1:10" ht="15.75">
      <c r="B10" s="27"/>
      <c r="C10" s="1"/>
      <c r="D10" s="1"/>
      <c r="E10" s="126"/>
      <c r="F10" s="1"/>
      <c r="H10" s="1"/>
      <c r="I10" s="1"/>
      <c r="J10" s="1"/>
    </row>
    <row r="11" spans="1:10">
      <c r="A11" s="100" t="s">
        <v>94</v>
      </c>
      <c r="B11" s="92"/>
      <c r="C11" s="1"/>
      <c r="D11" s="1"/>
      <c r="E11" s="126"/>
      <c r="F11" s="1"/>
      <c r="G11" s="594"/>
      <c r="J11" s="1"/>
    </row>
    <row r="12" spans="1:10" ht="15.75">
      <c r="A12" s="101" t="s">
        <v>100</v>
      </c>
      <c r="B12" s="101" t="s">
        <v>993</v>
      </c>
      <c r="C12" s="33"/>
      <c r="D12" s="33"/>
      <c r="E12" s="405" t="s">
        <v>105</v>
      </c>
      <c r="F12" s="1"/>
      <c r="H12" s="102" t="s">
        <v>1471</v>
      </c>
      <c r="I12" s="798"/>
      <c r="J12" s="1"/>
    </row>
    <row r="13" spans="1:10">
      <c r="A13" s="401"/>
      <c r="B13" s="401"/>
      <c r="C13" s="1"/>
      <c r="D13" s="1"/>
      <c r="E13" s="1"/>
      <c r="F13" s="1"/>
      <c r="H13" s="798"/>
      <c r="I13" s="809" t="s">
        <v>1469</v>
      </c>
      <c r="J13" s="810" t="s">
        <v>1470</v>
      </c>
    </row>
    <row r="14" spans="1:10" ht="15.75">
      <c r="A14" s="53">
        <v>1</v>
      </c>
      <c r="B14" s="147" t="s">
        <v>222</v>
      </c>
      <c r="H14" s="854">
        <v>43190</v>
      </c>
      <c r="I14" s="798">
        <f>E29</f>
        <v>313884.08</v>
      </c>
      <c r="J14" s="1">
        <f>0</f>
        <v>0</v>
      </c>
    </row>
    <row r="15" spans="1:10">
      <c r="A15" s="53">
        <f t="shared" ref="A15:A31" si="0">A14+1</f>
        <v>2</v>
      </c>
      <c r="B15" s="317" t="s">
        <v>943</v>
      </c>
      <c r="D15" s="144">
        <v>16997</v>
      </c>
      <c r="E15" s="141"/>
      <c r="F15" s="137"/>
      <c r="H15" s="854">
        <v>43220</v>
      </c>
      <c r="I15" s="798">
        <f>I14-J15</f>
        <v>300805.57666666666</v>
      </c>
      <c r="J15" s="1">
        <f>$I$14/24</f>
        <v>13078.503333333334</v>
      </c>
    </row>
    <row r="16" spans="1:10">
      <c r="A16" s="659">
        <f t="shared" si="0"/>
        <v>3</v>
      </c>
      <c r="B16" s="761" t="s">
        <v>944</v>
      </c>
      <c r="D16" s="142">
        <v>30058.260000000002</v>
      </c>
      <c r="E16" s="141"/>
      <c r="F16" s="137"/>
      <c r="G16" s="92"/>
      <c r="H16" s="854">
        <v>43221</v>
      </c>
      <c r="I16" s="798">
        <f t="shared" ref="I16:I26" si="1">I15-J16</f>
        <v>287727.0733333333</v>
      </c>
      <c r="J16" s="1">
        <f t="shared" ref="J16:J26" si="2">$I$14/24</f>
        <v>13078.503333333334</v>
      </c>
    </row>
    <row r="17" spans="1:10">
      <c r="A17" s="659">
        <f t="shared" si="0"/>
        <v>4</v>
      </c>
      <c r="B17" s="317" t="s">
        <v>1276</v>
      </c>
      <c r="D17" s="145">
        <v>0</v>
      </c>
      <c r="E17" s="141"/>
      <c r="F17" s="136"/>
      <c r="H17" s="854">
        <v>43252</v>
      </c>
      <c r="I17" s="798">
        <f t="shared" si="1"/>
        <v>274648.56999999995</v>
      </c>
      <c r="J17" s="1">
        <f t="shared" si="2"/>
        <v>13078.503333333334</v>
      </c>
    </row>
    <row r="18" spans="1:10">
      <c r="A18" s="659">
        <f t="shared" si="0"/>
        <v>5</v>
      </c>
      <c r="B18" s="148" t="s">
        <v>405</v>
      </c>
      <c r="D18" s="141"/>
      <c r="E18" s="144">
        <f>SUM(D15:D17)</f>
        <v>47055.26</v>
      </c>
      <c r="G18" s="137"/>
      <c r="H18" s="854">
        <v>43282</v>
      </c>
      <c r="I18" s="798">
        <f t="shared" si="1"/>
        <v>261570.06666666662</v>
      </c>
      <c r="J18" s="1">
        <f t="shared" si="2"/>
        <v>13078.503333333334</v>
      </c>
    </row>
    <row r="19" spans="1:10">
      <c r="A19" s="659">
        <f t="shared" si="0"/>
        <v>6</v>
      </c>
      <c r="B19" s="148"/>
      <c r="D19" s="141"/>
      <c r="E19" s="141"/>
      <c r="H19" s="854">
        <v>43313</v>
      </c>
      <c r="I19" s="798">
        <f t="shared" si="1"/>
        <v>248491.5633333333</v>
      </c>
      <c r="J19" s="1">
        <f t="shared" si="2"/>
        <v>13078.503333333334</v>
      </c>
    </row>
    <row r="20" spans="1:10" ht="15.75">
      <c r="A20" s="659">
        <f t="shared" si="0"/>
        <v>7</v>
      </c>
      <c r="B20" s="147" t="s">
        <v>406</v>
      </c>
      <c r="D20" s="141"/>
      <c r="G20" s="136"/>
      <c r="H20" s="854">
        <v>43344</v>
      </c>
      <c r="I20" s="798">
        <f t="shared" si="1"/>
        <v>235413.05999999997</v>
      </c>
      <c r="J20" s="1">
        <f t="shared" si="2"/>
        <v>13078.503333333334</v>
      </c>
    </row>
    <row r="21" spans="1:10">
      <c r="A21" s="659">
        <f t="shared" si="0"/>
        <v>8</v>
      </c>
      <c r="B21" s="148" t="s">
        <v>407</v>
      </c>
      <c r="D21" s="141"/>
      <c r="E21" s="141">
        <v>124286.81</v>
      </c>
      <c r="G21" s="136"/>
      <c r="H21" s="854">
        <v>43374</v>
      </c>
      <c r="I21" s="798">
        <f t="shared" si="1"/>
        <v>222334.55666666664</v>
      </c>
      <c r="J21" s="1">
        <f t="shared" si="2"/>
        <v>13078.503333333334</v>
      </c>
    </row>
    <row r="22" spans="1:10">
      <c r="A22" s="659">
        <f t="shared" si="0"/>
        <v>9</v>
      </c>
      <c r="B22" s="148" t="s">
        <v>327</v>
      </c>
      <c r="D22" s="141"/>
      <c r="E22" s="141"/>
      <c r="G22" s="136"/>
      <c r="H22" s="854">
        <v>43405</v>
      </c>
      <c r="I22" s="798">
        <f t="shared" si="1"/>
        <v>209256.05333333332</v>
      </c>
      <c r="J22" s="1">
        <f t="shared" si="2"/>
        <v>13078.503333333334</v>
      </c>
    </row>
    <row r="23" spans="1:10" ht="15.75">
      <c r="A23" s="659">
        <f t="shared" si="0"/>
        <v>10</v>
      </c>
      <c r="B23" s="147" t="s">
        <v>408</v>
      </c>
      <c r="D23" s="141"/>
      <c r="E23" s="141"/>
      <c r="G23" s="136"/>
      <c r="H23" s="854">
        <v>43435</v>
      </c>
      <c r="I23" s="798">
        <f t="shared" si="1"/>
        <v>196177.55</v>
      </c>
      <c r="J23" s="1">
        <f t="shared" si="2"/>
        <v>13078.503333333334</v>
      </c>
    </row>
    <row r="24" spans="1:10">
      <c r="A24" s="659">
        <f t="shared" si="0"/>
        <v>11</v>
      </c>
      <c r="B24" s="148" t="s">
        <v>410</v>
      </c>
      <c r="D24" s="141"/>
      <c r="E24" s="142">
        <v>11653.849999999999</v>
      </c>
      <c r="G24" s="139"/>
      <c r="H24" s="854">
        <v>43466</v>
      </c>
      <c r="I24" s="798">
        <f t="shared" si="1"/>
        <v>183099.04666666666</v>
      </c>
      <c r="J24" s="1">
        <f t="shared" si="2"/>
        <v>13078.503333333334</v>
      </c>
    </row>
    <row r="25" spans="1:10">
      <c r="A25" s="659">
        <f t="shared" si="0"/>
        <v>12</v>
      </c>
      <c r="B25" s="148"/>
      <c r="D25" s="141"/>
      <c r="E25" s="141"/>
      <c r="H25" s="854">
        <v>43497</v>
      </c>
      <c r="I25" s="798">
        <f t="shared" si="1"/>
        <v>170020.54333333333</v>
      </c>
      <c r="J25" s="1">
        <f t="shared" si="2"/>
        <v>13078.503333333334</v>
      </c>
    </row>
    <row r="26" spans="1:10" ht="15.75">
      <c r="A26" s="659">
        <f t="shared" si="0"/>
        <v>13</v>
      </c>
      <c r="B26" s="147" t="s">
        <v>411</v>
      </c>
      <c r="D26" s="141"/>
      <c r="E26" s="141"/>
      <c r="H26" s="854">
        <v>43525</v>
      </c>
      <c r="I26" s="809">
        <f t="shared" si="1"/>
        <v>156942.04</v>
      </c>
      <c r="J26" s="811">
        <f t="shared" si="2"/>
        <v>13078.503333333334</v>
      </c>
    </row>
    <row r="27" spans="1:10">
      <c r="A27" s="659">
        <f t="shared" si="0"/>
        <v>14</v>
      </c>
      <c r="B27" s="148" t="s">
        <v>412</v>
      </c>
      <c r="D27" s="141"/>
      <c r="E27" s="145">
        <v>130888.16</v>
      </c>
      <c r="G27" s="138"/>
      <c r="H27" s="854"/>
      <c r="I27" s="812">
        <f>AVERAGE(I14:I26)</f>
        <v>235413.06</v>
      </c>
      <c r="J27" s="807">
        <f>SUM(J14:J26)</f>
        <v>156942.03999999998</v>
      </c>
    </row>
    <row r="28" spans="1:10">
      <c r="A28" s="659">
        <f t="shared" si="0"/>
        <v>15</v>
      </c>
      <c r="B28" s="148"/>
      <c r="D28" s="141"/>
      <c r="E28" s="141"/>
      <c r="I28" t="s">
        <v>1473</v>
      </c>
    </row>
    <row r="29" spans="1:10" ht="16.5" thickBot="1">
      <c r="A29" s="659">
        <f t="shared" si="0"/>
        <v>16</v>
      </c>
      <c r="B29" s="147" t="s">
        <v>965</v>
      </c>
      <c r="D29" s="141"/>
      <c r="E29" s="146">
        <f>SUM(E14:E27)</f>
        <v>313884.08</v>
      </c>
      <c r="G29" s="140"/>
      <c r="J29" s="1"/>
    </row>
    <row r="30" spans="1:10" ht="15.75" thickTop="1">
      <c r="A30" s="659">
        <f t="shared" si="0"/>
        <v>17</v>
      </c>
      <c r="D30" s="141"/>
      <c r="E30" s="141"/>
      <c r="J30" s="1"/>
    </row>
    <row r="31" spans="1:10" ht="16.5" thickBot="1">
      <c r="A31" s="659">
        <f t="shared" si="0"/>
        <v>18</v>
      </c>
      <c r="B31" s="147" t="s">
        <v>1472</v>
      </c>
      <c r="D31" s="118"/>
      <c r="E31" s="324">
        <f>E29/2</f>
        <v>156942.04</v>
      </c>
      <c r="H31" s="854">
        <v>43556</v>
      </c>
      <c r="I31" s="798">
        <f>I26-J31</f>
        <v>143863.53666666668</v>
      </c>
      <c r="J31" s="57">
        <f t="shared" ref="J31:J42" si="3">$I$14/24</f>
        <v>13078.503333333334</v>
      </c>
    </row>
    <row r="32" spans="1:10" ht="15.75" thickTop="1">
      <c r="A32" s="143"/>
      <c r="D32" s="118"/>
      <c r="H32" s="854">
        <v>43586</v>
      </c>
      <c r="I32" s="798">
        <f t="shared" ref="I32:I42" si="4">I31-J31</f>
        <v>130785.03333333335</v>
      </c>
      <c r="J32" s="57">
        <f t="shared" si="3"/>
        <v>13078.503333333334</v>
      </c>
    </row>
    <row r="33" spans="1:10">
      <c r="A33" s="149"/>
      <c r="H33" s="854">
        <v>43617</v>
      </c>
      <c r="I33" s="798">
        <f t="shared" si="4"/>
        <v>117706.53000000003</v>
      </c>
      <c r="J33" s="57">
        <f t="shared" si="3"/>
        <v>13078.503333333334</v>
      </c>
    </row>
    <row r="34" spans="1:10">
      <c r="A34" s="148"/>
      <c r="H34" s="854">
        <v>43647</v>
      </c>
      <c r="I34" s="798">
        <f t="shared" si="4"/>
        <v>104628.0266666667</v>
      </c>
      <c r="J34" s="57">
        <f t="shared" si="3"/>
        <v>13078.503333333334</v>
      </c>
    </row>
    <row r="35" spans="1:10">
      <c r="B35" t="s">
        <v>523</v>
      </c>
      <c r="H35" s="854">
        <v>43678</v>
      </c>
      <c r="I35" s="798">
        <f t="shared" si="4"/>
        <v>91549.523333333374</v>
      </c>
      <c r="J35" s="57">
        <f t="shared" si="3"/>
        <v>13078.503333333334</v>
      </c>
    </row>
    <row r="36" spans="1:10">
      <c r="B36" t="s">
        <v>1662</v>
      </c>
      <c r="H36" s="854">
        <v>43709</v>
      </c>
      <c r="I36" s="798">
        <f t="shared" si="4"/>
        <v>78471.020000000048</v>
      </c>
      <c r="J36" s="57">
        <f t="shared" si="3"/>
        <v>13078.503333333334</v>
      </c>
    </row>
    <row r="37" spans="1:10">
      <c r="H37" s="854">
        <v>43739</v>
      </c>
      <c r="I37" s="798">
        <f t="shared" si="4"/>
        <v>65392.516666666714</v>
      </c>
      <c r="J37" s="57">
        <f t="shared" si="3"/>
        <v>13078.503333333334</v>
      </c>
    </row>
    <row r="38" spans="1:10">
      <c r="H38" s="854">
        <v>43770</v>
      </c>
      <c r="I38" s="798">
        <f t="shared" si="4"/>
        <v>52314.01333333338</v>
      </c>
      <c r="J38" s="57">
        <f t="shared" si="3"/>
        <v>13078.503333333334</v>
      </c>
    </row>
    <row r="39" spans="1:10">
      <c r="H39" s="854">
        <v>43800</v>
      </c>
      <c r="I39" s="798">
        <f t="shared" si="4"/>
        <v>39235.510000000046</v>
      </c>
      <c r="J39" s="57">
        <f t="shared" si="3"/>
        <v>13078.503333333334</v>
      </c>
    </row>
    <row r="40" spans="1:10">
      <c r="B40" s="594"/>
      <c r="H40" s="854">
        <v>43831</v>
      </c>
      <c r="I40" s="798">
        <f t="shared" si="4"/>
        <v>26157.006666666712</v>
      </c>
      <c r="J40" s="57">
        <f t="shared" si="3"/>
        <v>13078.503333333334</v>
      </c>
    </row>
    <row r="41" spans="1:10">
      <c r="H41" s="854">
        <v>43862</v>
      </c>
      <c r="I41" s="798">
        <f t="shared" si="4"/>
        <v>13078.503333333378</v>
      </c>
      <c r="J41" s="57">
        <f t="shared" si="3"/>
        <v>13078.503333333334</v>
      </c>
    </row>
    <row r="42" spans="1:10">
      <c r="H42" s="854">
        <v>43891</v>
      </c>
      <c r="I42" s="798">
        <f t="shared" si="4"/>
        <v>4.3655745685100555E-11</v>
      </c>
      <c r="J42" s="57">
        <f t="shared" si="3"/>
        <v>13078.503333333334</v>
      </c>
    </row>
    <row r="43" spans="1:10">
      <c r="A43" s="401"/>
      <c r="B43" s="842"/>
      <c r="C43" s="81"/>
      <c r="D43" s="81"/>
      <c r="E43" s="81"/>
      <c r="F43" s="1"/>
    </row>
    <row r="44" spans="1:10">
      <c r="A44" s="401"/>
      <c r="B44" s="843"/>
      <c r="C44" s="81"/>
      <c r="D44" s="81"/>
      <c r="E44" s="81"/>
      <c r="F44" s="1"/>
      <c r="J44" s="1"/>
    </row>
    <row r="45" spans="1:10">
      <c r="A45" s="401"/>
      <c r="B45" s="844"/>
      <c r="C45" s="81"/>
      <c r="D45" s="81"/>
      <c r="E45" s="80"/>
      <c r="F45" s="1"/>
      <c r="J45" s="1"/>
    </row>
    <row r="46" spans="1:10">
      <c r="A46" s="401"/>
      <c r="B46" s="844"/>
      <c r="C46" s="81"/>
      <c r="D46" s="81"/>
      <c r="E46" s="80"/>
      <c r="F46" s="1"/>
      <c r="J46" s="1"/>
    </row>
    <row r="47" spans="1:10">
      <c r="A47" s="401"/>
      <c r="B47" s="844"/>
      <c r="C47" s="81"/>
      <c r="D47" s="81"/>
      <c r="E47" s="80"/>
      <c r="F47" s="1"/>
      <c r="J47" s="1"/>
    </row>
    <row r="48" spans="1:10">
      <c r="A48" s="401"/>
      <c r="B48" s="844"/>
      <c r="C48" s="81"/>
      <c r="D48" s="81"/>
      <c r="E48" s="74"/>
      <c r="F48" s="1"/>
      <c r="J48" s="1"/>
    </row>
    <row r="49" spans="1:10">
      <c r="A49" s="401"/>
      <c r="B49" s="844"/>
      <c r="C49" s="81"/>
      <c r="D49" s="80"/>
      <c r="E49" s="74"/>
      <c r="F49" s="1"/>
      <c r="G49" s="594"/>
      <c r="J49" s="1"/>
    </row>
    <row r="50" spans="1:10">
      <c r="A50" s="401"/>
      <c r="B50" s="401"/>
      <c r="C50" s="1"/>
      <c r="D50" s="1"/>
      <c r="E50" s="1"/>
      <c r="F50" s="1"/>
      <c r="J50" s="1"/>
    </row>
    <row r="51" spans="1:10">
      <c r="H51" s="1"/>
      <c r="I51" s="1"/>
      <c r="J51" s="1"/>
    </row>
  </sheetData>
  <mergeCells count="3">
    <mergeCell ref="A1:E1"/>
    <mergeCell ref="A2:E2"/>
    <mergeCell ref="A3:E3"/>
  </mergeCells>
  <phoneticPr fontId="22" type="noConversion"/>
  <printOptions horizontalCentered="1"/>
  <pageMargins left="1" right="0.87" top="1" bottom="1" header="0.5" footer="0.5"/>
  <pageSetup scale="44" orientation="portrait" verticalDpi="300" r:id="rId1"/>
  <headerFooter alignWithMargins="0"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1"/>
  <sheetViews>
    <sheetView view="pageBreakPreview" zoomScale="60" zoomScaleNormal="100" workbookViewId="0">
      <selection activeCell="F43" sqref="F43"/>
    </sheetView>
  </sheetViews>
  <sheetFormatPr defaultColWidth="8" defaultRowHeight="15"/>
  <cols>
    <col min="1" max="1" width="7.21875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3.88671875" style="1" customWidth="1"/>
    <col min="6" max="6" width="15.5546875" style="1" customWidth="1"/>
    <col min="7" max="7" width="4.21875" style="1" customWidth="1"/>
    <col min="8" max="8" width="3.77734375" style="1" customWidth="1"/>
    <col min="9" max="9" width="13.109375" style="1" bestFit="1" customWidth="1"/>
    <col min="10" max="10" width="2.77734375" style="1" customWidth="1"/>
    <col min="11" max="11" width="13.109375" style="1" bestFit="1" customWidth="1"/>
    <col min="12" max="12" width="4.33203125" style="1" customWidth="1"/>
    <col min="13" max="13" width="12" style="1" bestFit="1" customWidth="1"/>
    <col min="14" max="14" width="2.109375" style="1" customWidth="1"/>
    <col min="15" max="15" width="12" style="1" bestFit="1" customWidth="1"/>
    <col min="16" max="16384" width="8" style="1"/>
  </cols>
  <sheetData>
    <row r="1" spans="1:15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5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5">
      <c r="A3" s="31" t="s">
        <v>1120</v>
      </c>
      <c r="B3" s="30"/>
      <c r="C3" s="30"/>
      <c r="D3" s="30"/>
      <c r="E3" s="30"/>
      <c r="F3" s="30"/>
    </row>
    <row r="4" spans="1:15">
      <c r="A4" s="31" t="s">
        <v>1534</v>
      </c>
      <c r="B4" s="30"/>
      <c r="C4" s="30"/>
      <c r="D4" s="30"/>
      <c r="E4" s="30"/>
      <c r="F4" s="30"/>
    </row>
    <row r="6" spans="1:15">
      <c r="A6" s="4" t="s">
        <v>383</v>
      </c>
      <c r="F6" s="1" t="s">
        <v>1443</v>
      </c>
    </row>
    <row r="7" spans="1:15">
      <c r="A7" s="4" t="str">
        <f>A.1!A8</f>
        <v>Type of Filing:___X____Original________Updated ________Revised</v>
      </c>
      <c r="F7" s="4" t="s">
        <v>753</v>
      </c>
    </row>
    <row r="8" spans="1:15">
      <c r="A8" s="5" t="s">
        <v>431</v>
      </c>
      <c r="B8" s="6"/>
      <c r="C8" s="6"/>
      <c r="D8" s="6"/>
      <c r="E8" s="33"/>
      <c r="F8" s="434" t="s">
        <v>1205</v>
      </c>
    </row>
    <row r="9" spans="1:15">
      <c r="F9" s="2"/>
    </row>
    <row r="10" spans="1:15">
      <c r="C10" s="2" t="s">
        <v>1195</v>
      </c>
      <c r="D10" s="2" t="s">
        <v>45</v>
      </c>
      <c r="F10" s="2" t="s">
        <v>45</v>
      </c>
      <c r="I10" s="729"/>
      <c r="J10" s="668"/>
      <c r="K10" s="668"/>
      <c r="L10" s="668"/>
      <c r="M10" s="737"/>
      <c r="N10" s="668"/>
      <c r="O10" s="668"/>
    </row>
    <row r="11" spans="1:15">
      <c r="A11" s="2" t="s">
        <v>94</v>
      </c>
      <c r="C11" s="2" t="s">
        <v>59</v>
      </c>
      <c r="D11" s="34" t="s">
        <v>543</v>
      </c>
      <c r="F11" s="2" t="s">
        <v>543</v>
      </c>
      <c r="I11" s="668"/>
      <c r="J11" s="668"/>
      <c r="K11" s="668"/>
      <c r="L11" s="668"/>
      <c r="M11" s="668"/>
      <c r="N11" s="668"/>
      <c r="O11" s="668"/>
    </row>
    <row r="12" spans="1:15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I12" s="729"/>
      <c r="J12" s="668"/>
      <c r="K12" s="668"/>
      <c r="L12" s="668"/>
      <c r="M12" s="668"/>
      <c r="N12" s="668"/>
      <c r="O12" s="668"/>
    </row>
    <row r="13" spans="1:15">
      <c r="D13" s="2"/>
      <c r="F13" s="2"/>
      <c r="I13" s="729"/>
      <c r="J13" s="668"/>
      <c r="K13" s="668"/>
      <c r="L13" s="668"/>
      <c r="M13" s="668"/>
      <c r="N13" s="668"/>
      <c r="O13" s="668"/>
    </row>
    <row r="14" spans="1:15">
      <c r="I14" s="729"/>
      <c r="J14" s="668"/>
      <c r="K14" s="668"/>
      <c r="L14" s="668"/>
      <c r="M14" s="668"/>
      <c r="N14" s="668"/>
      <c r="O14" s="668"/>
    </row>
    <row r="15" spans="1:15">
      <c r="A15" s="2">
        <v>1</v>
      </c>
      <c r="B15" s="4" t="s">
        <v>168</v>
      </c>
      <c r="C15" s="2" t="s">
        <v>693</v>
      </c>
      <c r="D15" s="307">
        <f>'B.2 B'!I263</f>
        <v>609121393.7079761</v>
      </c>
      <c r="E15" s="73"/>
      <c r="F15" s="307">
        <f>'B.2 B'!N263</f>
        <v>580015394.86956775</v>
      </c>
      <c r="G15" s="81"/>
      <c r="H15" s="81"/>
      <c r="I15" s="729"/>
      <c r="J15" s="668"/>
      <c r="K15" s="668"/>
      <c r="L15" s="668"/>
      <c r="M15" s="668"/>
      <c r="N15" s="668"/>
      <c r="O15" s="668"/>
    </row>
    <row r="16" spans="1:15">
      <c r="A16" s="2">
        <f>A15+1</f>
        <v>2</v>
      </c>
      <c r="B16" s="4" t="s">
        <v>496</v>
      </c>
      <c r="C16" s="2" t="s">
        <v>693</v>
      </c>
      <c r="D16" s="357">
        <f>'B.2 B'!I265</f>
        <v>27465677.812154312</v>
      </c>
      <c r="E16" s="73"/>
      <c r="F16" s="73">
        <f>'B.2 B'!N265</f>
        <v>22141579.241557177</v>
      </c>
      <c r="G16" s="81"/>
      <c r="H16" s="81"/>
      <c r="I16" s="729"/>
      <c r="J16" s="668"/>
      <c r="K16" s="668"/>
      <c r="L16" s="668"/>
      <c r="M16" s="668"/>
      <c r="N16" s="668"/>
      <c r="O16" s="668"/>
    </row>
    <row r="17" spans="1:15">
      <c r="A17" s="2">
        <f>A16+1</f>
        <v>3</v>
      </c>
      <c r="B17" s="4" t="s">
        <v>534</v>
      </c>
      <c r="C17" s="2" t="s">
        <v>694</v>
      </c>
      <c r="D17" s="85">
        <f>-'B.3 B'!I261</f>
        <v>-190820118.53911278</v>
      </c>
      <c r="E17" s="73"/>
      <c r="F17" s="85">
        <f>-'B.3 B'!N261</f>
        <v>-184933468.19820723</v>
      </c>
      <c r="G17" s="81"/>
      <c r="H17" s="81"/>
      <c r="I17" s="729"/>
      <c r="J17" s="668"/>
      <c r="K17" s="668"/>
      <c r="L17" s="668"/>
      <c r="M17" s="668"/>
      <c r="N17" s="668"/>
      <c r="O17" s="668"/>
    </row>
    <row r="18" spans="1:15">
      <c r="A18" s="724"/>
      <c r="B18" s="4"/>
      <c r="C18" s="724"/>
      <c r="D18" s="77"/>
      <c r="E18" s="73"/>
      <c r="F18" s="77"/>
      <c r="G18" s="81"/>
      <c r="H18" s="81"/>
      <c r="I18" s="729"/>
      <c r="J18" s="668"/>
      <c r="K18" s="668"/>
      <c r="L18" s="668"/>
      <c r="M18" s="668"/>
      <c r="N18" s="668"/>
      <c r="O18" s="668"/>
    </row>
    <row r="19" spans="1:15">
      <c r="A19" s="2">
        <f>+A17+1</f>
        <v>4</v>
      </c>
      <c r="B19" s="4" t="s">
        <v>157</v>
      </c>
      <c r="D19" s="307">
        <f>SUM(D15:D17)</f>
        <v>445766952.98101759</v>
      </c>
      <c r="E19" s="73"/>
      <c r="F19" s="307">
        <f>SUM(F15:F17)</f>
        <v>417223505.91291761</v>
      </c>
      <c r="G19" s="81"/>
      <c r="H19" s="81"/>
      <c r="I19" s="729"/>
      <c r="J19" s="668"/>
      <c r="K19" s="668"/>
      <c r="L19" s="668"/>
      <c r="M19" s="668"/>
      <c r="N19" s="668"/>
      <c r="O19" s="668"/>
    </row>
    <row r="20" spans="1:15">
      <c r="A20" s="2"/>
      <c r="B20" s="4"/>
      <c r="D20" s="73"/>
      <c r="E20" s="73"/>
      <c r="F20" s="73"/>
      <c r="G20" s="81"/>
      <c r="H20" s="81"/>
      <c r="I20" s="729"/>
      <c r="J20" s="668"/>
      <c r="K20" s="668"/>
      <c r="L20" s="668"/>
      <c r="M20" s="668"/>
      <c r="N20" s="668"/>
      <c r="O20" s="668"/>
    </row>
    <row r="21" spans="1:15">
      <c r="A21" s="2">
        <f>A19+1</f>
        <v>5</v>
      </c>
      <c r="B21" s="4" t="s">
        <v>793</v>
      </c>
      <c r="C21" s="2" t="s">
        <v>695</v>
      </c>
      <c r="D21" s="307">
        <f>+'B.4 B'!E14</f>
        <v>3339798.6797992988</v>
      </c>
      <c r="E21" s="73"/>
      <c r="F21" s="307">
        <f>+D21</f>
        <v>3339798.6797992988</v>
      </c>
      <c r="G21" s="673"/>
      <c r="H21" s="673"/>
      <c r="I21" s="729"/>
      <c r="J21" s="668"/>
      <c r="K21" s="668"/>
      <c r="L21" s="668"/>
      <c r="M21" s="668"/>
      <c r="N21" s="668"/>
      <c r="O21" s="668"/>
    </row>
    <row r="22" spans="1:15">
      <c r="A22" s="2">
        <f>+A21+1</f>
        <v>6</v>
      </c>
      <c r="B22" s="4" t="s">
        <v>1067</v>
      </c>
      <c r="C22" s="2" t="s">
        <v>696</v>
      </c>
      <c r="D22" s="357">
        <f>+'B.4.1 B'!F37</f>
        <v>14174694.084280288</v>
      </c>
      <c r="E22" s="73"/>
      <c r="F22" s="357">
        <f>+'B.4.1 B'!K37</f>
        <v>10479408.229198636</v>
      </c>
      <c r="G22" s="81"/>
      <c r="H22" s="81"/>
      <c r="I22" s="729"/>
      <c r="J22" s="668"/>
      <c r="K22" s="668"/>
      <c r="L22" s="668"/>
      <c r="M22" s="668"/>
      <c r="N22" s="668"/>
      <c r="O22" s="668"/>
    </row>
    <row r="23" spans="1:15">
      <c r="A23" s="2">
        <f>+A22+1</f>
        <v>7</v>
      </c>
      <c r="B23" s="4" t="s">
        <v>639</v>
      </c>
      <c r="C23" s="2" t="s">
        <v>697</v>
      </c>
      <c r="D23" s="73">
        <f>'B.6 B'!G24</f>
        <v>-1437536.5350000001</v>
      </c>
      <c r="E23" s="81"/>
      <c r="F23" s="73">
        <f>'B.6 B'!L24</f>
        <v>-1455773.1853846153</v>
      </c>
      <c r="G23" s="81"/>
      <c r="H23" s="81"/>
      <c r="I23" s="729"/>
      <c r="J23" s="668"/>
      <c r="K23" s="668"/>
      <c r="L23" s="668"/>
      <c r="M23" s="668"/>
      <c r="N23" s="668"/>
      <c r="O23" s="668"/>
    </row>
    <row r="24" spans="1:15">
      <c r="A24" s="808">
        <f t="shared" ref="A24:A25" si="0">+A23+1</f>
        <v>8</v>
      </c>
      <c r="B24" s="4" t="s">
        <v>1475</v>
      </c>
      <c r="C24" s="808" t="s">
        <v>1474</v>
      </c>
      <c r="D24" s="855">
        <v>0</v>
      </c>
      <c r="E24" s="625"/>
      <c r="F24" s="855">
        <v>0</v>
      </c>
      <c r="G24" s="81"/>
      <c r="H24" s="81"/>
      <c r="I24" s="729"/>
      <c r="J24" s="668"/>
      <c r="K24" s="668"/>
      <c r="L24" s="668"/>
      <c r="M24" s="668"/>
      <c r="N24" s="668"/>
      <c r="O24" s="668"/>
    </row>
    <row r="25" spans="1:15">
      <c r="A25" s="808">
        <f t="shared" si="0"/>
        <v>9</v>
      </c>
      <c r="B25" s="88" t="s">
        <v>1142</v>
      </c>
      <c r="C25" s="117" t="s">
        <v>698</v>
      </c>
      <c r="D25" s="83">
        <f>'B.5 B'!G49</f>
        <v>-68176442.095590323</v>
      </c>
      <c r="E25" s="81"/>
      <c r="F25" s="83">
        <f>'B.5 B'!L49</f>
        <v>-63032612.248370729</v>
      </c>
      <c r="G25" s="81"/>
      <c r="H25" s="81"/>
      <c r="I25" s="729"/>
      <c r="J25" s="668"/>
      <c r="K25" s="668"/>
      <c r="L25" s="668"/>
      <c r="M25" s="668"/>
      <c r="N25" s="668"/>
      <c r="O25" s="668"/>
    </row>
    <row r="26" spans="1:15">
      <c r="A26" s="808"/>
      <c r="E26" s="81"/>
      <c r="G26" s="81"/>
      <c r="H26" s="81"/>
      <c r="I26" s="729"/>
      <c r="J26" s="668"/>
      <c r="K26" s="668"/>
      <c r="L26" s="668"/>
      <c r="M26" s="668"/>
      <c r="N26" s="668"/>
      <c r="O26" s="668"/>
    </row>
    <row r="27" spans="1:15" ht="15.75" thickBot="1">
      <c r="A27" s="808">
        <f>+A25+1</f>
        <v>10</v>
      </c>
      <c r="B27" s="4" t="s">
        <v>158</v>
      </c>
      <c r="D27" s="309">
        <f>SUM(D19:D25)</f>
        <v>393667467.11450684</v>
      </c>
      <c r="E27" s="10"/>
      <c r="F27" s="309">
        <f>SUM(F19:F25)</f>
        <v>366554327.38816023</v>
      </c>
      <c r="G27" s="81"/>
      <c r="H27" s="81"/>
      <c r="I27" s="729"/>
      <c r="J27" s="668"/>
      <c r="K27" s="668"/>
      <c r="L27" s="668"/>
      <c r="M27" s="668"/>
      <c r="N27" s="668"/>
      <c r="O27" s="668"/>
    </row>
    <row r="28" spans="1:15" ht="15.75" thickTop="1">
      <c r="A28" s="2"/>
      <c r="D28" s="10"/>
      <c r="E28" s="10"/>
      <c r="F28" s="10"/>
      <c r="G28" s="81"/>
      <c r="H28" s="81"/>
    </row>
    <row r="29" spans="1:15">
      <c r="D29" s="81"/>
      <c r="E29" s="81"/>
      <c r="F29" s="81"/>
      <c r="G29" s="81"/>
      <c r="H29" s="81"/>
    </row>
    <row r="30" spans="1:15">
      <c r="D30" s="73"/>
      <c r="E30" s="81"/>
      <c r="F30" s="73"/>
      <c r="G30" s="81"/>
      <c r="H30" s="81"/>
    </row>
    <row r="31" spans="1:15">
      <c r="D31" s="73"/>
      <c r="E31" s="73"/>
      <c r="F31" s="73"/>
      <c r="G31" s="81"/>
      <c r="H31" s="81"/>
    </row>
  </sheetData>
  <phoneticPr fontId="22" type="noConversion"/>
  <printOptions horizontalCentered="1"/>
  <pageMargins left="0.5" right="0.5" top="0.79" bottom="0.5" header="0.5" footer="0.5"/>
  <pageSetup scale="86" orientation="landscape" verticalDpi="300" r:id="rId1"/>
  <headerFooter alignWithMargins="0">
    <oddFooter>&amp;RSchedule &amp;A
Page &amp;P of &amp;N</oddFooter>
  </headerFooter>
  <colBreaks count="1" manualBreakCount="1">
    <brk id="6" max="54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L56"/>
  <sheetViews>
    <sheetView view="pageBreakPreview" zoomScale="80" zoomScaleNormal="90" zoomScaleSheetLayoutView="80" workbookViewId="0">
      <pane ySplit="13" topLeftCell="A14" activePane="bottomLeft" state="frozen"/>
      <selection activeCell="F45" sqref="F45"/>
      <selection pane="bottomLeft" sqref="A1:XFD1048576"/>
    </sheetView>
  </sheetViews>
  <sheetFormatPr defaultRowHeight="15"/>
  <cols>
    <col min="1" max="1" width="5.21875" style="80" customWidth="1"/>
    <col min="2" max="2" width="24.6640625" style="80" customWidth="1"/>
    <col min="3" max="3" width="9.5546875" style="80" bestFit="1" customWidth="1"/>
    <col min="4" max="4" width="11.6640625" style="80" customWidth="1"/>
    <col min="5" max="5" width="9.44140625" style="80" customWidth="1"/>
    <col min="6" max="6" width="4.109375" style="80" customWidth="1"/>
    <col min="7" max="7" width="11" style="80" customWidth="1"/>
    <col min="8" max="8" width="10.77734375" style="80" customWidth="1"/>
    <col min="9" max="9" width="10.109375" style="80" customWidth="1"/>
    <col min="10" max="16384" width="8.88671875" style="80"/>
  </cols>
  <sheetData>
    <row r="1" spans="1:12" ht="15.75">
      <c r="A1" s="1180" t="str">
        <f>'Table of Contents'!A1:C1</f>
        <v>Atmos Energy Corporation, Kentucky/Mid-States Division</v>
      </c>
      <c r="B1" s="1180"/>
      <c r="C1" s="1180"/>
      <c r="D1" s="1180"/>
      <c r="E1" s="1180"/>
      <c r="F1" s="1180"/>
      <c r="G1" s="1180"/>
      <c r="H1" s="1180"/>
      <c r="I1" s="1180"/>
      <c r="J1" s="103"/>
    </row>
    <row r="2" spans="1:12" ht="15.75">
      <c r="A2" s="1180" t="str">
        <f>'Table of Contents'!A2:C2</f>
        <v>Kentucky Jurisdiction Case No. 2017-00349</v>
      </c>
      <c r="B2" s="1180"/>
      <c r="C2" s="1180"/>
      <c r="D2" s="1180"/>
      <c r="E2" s="1180"/>
      <c r="F2" s="1180"/>
      <c r="G2" s="1180"/>
      <c r="H2" s="1180"/>
      <c r="I2" s="1180"/>
      <c r="J2" s="103"/>
    </row>
    <row r="3" spans="1:12" ht="15.75">
      <c r="A3" s="1180" t="s">
        <v>41</v>
      </c>
      <c r="B3" s="1180"/>
      <c r="C3" s="1180"/>
      <c r="D3" s="1180"/>
      <c r="E3" s="1180"/>
      <c r="F3" s="1180"/>
      <c r="G3" s="1180"/>
      <c r="H3" s="1180"/>
      <c r="I3" s="1180"/>
      <c r="J3" s="103"/>
    </row>
    <row r="4" spans="1:12" ht="15.75">
      <c r="A4" s="1180" t="str">
        <f>'Table of Contents'!A3:C3</f>
        <v>Base Period: Twelve Months Ended December 31, 2017</v>
      </c>
      <c r="B4" s="1180"/>
      <c r="C4" s="1180"/>
      <c r="D4" s="1180"/>
      <c r="E4" s="1180"/>
      <c r="F4" s="1180"/>
      <c r="G4" s="1180"/>
      <c r="H4" s="1180"/>
      <c r="I4" s="1180"/>
      <c r="J4" s="103"/>
    </row>
    <row r="5" spans="1:12" ht="15.75">
      <c r="A5" s="1180" t="str">
        <f>'Table of Contents'!A4:C4</f>
        <v>Forecasted Test Period: Twelve Months Ended March 31, 2019</v>
      </c>
      <c r="B5" s="1180"/>
      <c r="C5" s="1180"/>
      <c r="D5" s="1180"/>
      <c r="E5" s="1180"/>
      <c r="F5" s="1180"/>
      <c r="G5" s="1180"/>
      <c r="H5" s="1180"/>
      <c r="I5" s="1180"/>
      <c r="J5" s="103"/>
    </row>
    <row r="6" spans="1:12" ht="15.75">
      <c r="A6" s="930"/>
      <c r="B6" s="930"/>
      <c r="C6" s="103"/>
      <c r="D6" s="103"/>
      <c r="E6" s="103"/>
      <c r="F6" s="103"/>
      <c r="G6" s="103"/>
      <c r="H6" s="103"/>
      <c r="I6" s="103"/>
      <c r="J6" s="103"/>
      <c r="L6" s="693"/>
    </row>
    <row r="7" spans="1:12" ht="15.75">
      <c r="A7" s="930"/>
      <c r="B7" s="930"/>
      <c r="C7" s="103"/>
      <c r="D7" s="911"/>
      <c r="F7" s="103"/>
      <c r="G7" s="103"/>
      <c r="I7" s="103"/>
      <c r="J7" s="103"/>
      <c r="L7" s="693"/>
    </row>
    <row r="8" spans="1:12">
      <c r="A8" s="697" t="s">
        <v>137</v>
      </c>
      <c r="B8" s="103"/>
      <c r="C8" s="103"/>
      <c r="D8" s="103"/>
      <c r="E8" s="103"/>
      <c r="F8" s="103"/>
      <c r="G8" s="103"/>
      <c r="I8" s="170" t="s">
        <v>1436</v>
      </c>
      <c r="J8" s="103"/>
    </row>
    <row r="9" spans="1:12">
      <c r="A9" s="697" t="s">
        <v>1132</v>
      </c>
      <c r="B9" s="103"/>
      <c r="C9" s="103"/>
      <c r="D9" s="103"/>
      <c r="E9" s="103"/>
      <c r="F9" s="103"/>
      <c r="G9" s="103"/>
      <c r="I9" s="931" t="s">
        <v>579</v>
      </c>
      <c r="J9" s="103"/>
    </row>
    <row r="10" spans="1:12">
      <c r="A10" s="697" t="s">
        <v>431</v>
      </c>
      <c r="B10" s="103"/>
      <c r="C10" s="103"/>
      <c r="D10" s="103"/>
      <c r="E10" s="103"/>
      <c r="F10" s="103"/>
      <c r="G10" s="103"/>
      <c r="H10" s="812"/>
      <c r="I10" s="933" t="str">
        <f>F.1!$F$9</f>
        <v>Witness: Waller</v>
      </c>
      <c r="J10" s="103"/>
    </row>
    <row r="11" spans="1:12" ht="15.75">
      <c r="A11" s="934"/>
      <c r="B11" s="934"/>
      <c r="C11" s="935"/>
      <c r="D11" s="936" t="s">
        <v>328</v>
      </c>
      <c r="E11" s="937"/>
      <c r="F11" s="934"/>
      <c r="G11" s="935"/>
      <c r="H11" s="936" t="s">
        <v>329</v>
      </c>
      <c r="I11" s="937"/>
      <c r="J11" s="103"/>
      <c r="L11" s="693"/>
    </row>
    <row r="12" spans="1:12">
      <c r="A12" s="121" t="s">
        <v>94</v>
      </c>
      <c r="B12" s="121" t="s">
        <v>577</v>
      </c>
      <c r="C12" s="121" t="s">
        <v>97</v>
      </c>
      <c r="D12" s="862" t="s">
        <v>11</v>
      </c>
      <c r="E12" s="965" t="s">
        <v>12</v>
      </c>
      <c r="F12" s="965"/>
      <c r="G12" s="121" t="s">
        <v>97</v>
      </c>
      <c r="H12" s="965" t="str">
        <f>D12</f>
        <v xml:space="preserve">Kentucky </v>
      </c>
      <c r="I12" s="965" t="s">
        <v>989</v>
      </c>
      <c r="J12" s="103"/>
    </row>
    <row r="13" spans="1:12">
      <c r="A13" s="651" t="s">
        <v>100</v>
      </c>
      <c r="B13" s="651" t="s">
        <v>1090</v>
      </c>
      <c r="C13" s="651" t="s">
        <v>599</v>
      </c>
      <c r="D13" s="938" t="s">
        <v>98</v>
      </c>
      <c r="E13" s="651" t="s">
        <v>105</v>
      </c>
      <c r="F13" s="651"/>
      <c r="G13" s="651" t="s">
        <v>599</v>
      </c>
      <c r="H13" s="651" t="str">
        <f>D13</f>
        <v>Jurisdictional</v>
      </c>
      <c r="I13" s="651" t="s">
        <v>105</v>
      </c>
      <c r="J13" s="103"/>
      <c r="L13" s="693"/>
    </row>
    <row r="14" spans="1:12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2" ht="15.75">
      <c r="A15" s="586">
        <v>1</v>
      </c>
      <c r="B15" s="1122" t="s">
        <v>194</v>
      </c>
      <c r="C15" s="378"/>
      <c r="D15" s="74"/>
      <c r="E15" s="382"/>
      <c r="F15" s="74"/>
      <c r="G15" s="378"/>
      <c r="H15" s="74"/>
      <c r="I15" s="382"/>
      <c r="J15" s="1079"/>
    </row>
    <row r="16" spans="1:12">
      <c r="A16" s="586">
        <v>2</v>
      </c>
      <c r="B16" s="419" t="s">
        <v>580</v>
      </c>
      <c r="C16" s="329">
        <v>0</v>
      </c>
      <c r="D16" s="423">
        <v>1</v>
      </c>
      <c r="E16" s="329">
        <f>C16*D16</f>
        <v>0</v>
      </c>
      <c r="F16" s="74"/>
      <c r="G16" s="329">
        <v>0</v>
      </c>
      <c r="H16" s="423">
        <f>D16</f>
        <v>1</v>
      </c>
      <c r="I16" s="329">
        <f>G16*H16</f>
        <v>0</v>
      </c>
      <c r="J16" s="1079"/>
    </row>
    <row r="17" spans="1:10">
      <c r="A17" s="586">
        <v>3</v>
      </c>
      <c r="B17" s="419" t="s">
        <v>581</v>
      </c>
      <c r="C17" s="378">
        <v>0</v>
      </c>
      <c r="D17" s="423">
        <f>$D$16</f>
        <v>1</v>
      </c>
      <c r="E17" s="378">
        <f>C17*D17</f>
        <v>0</v>
      </c>
      <c r="F17" s="74"/>
      <c r="G17" s="378">
        <v>0</v>
      </c>
      <c r="H17" s="423">
        <f>D17</f>
        <v>1</v>
      </c>
      <c r="I17" s="378">
        <f>G17*H17</f>
        <v>0</v>
      </c>
      <c r="J17" s="1123"/>
    </row>
    <row r="18" spans="1:10">
      <c r="A18" s="586">
        <v>4</v>
      </c>
      <c r="B18" s="419" t="s">
        <v>669</v>
      </c>
      <c r="C18" s="382">
        <v>75000</v>
      </c>
      <c r="D18" s="423">
        <f>$D$16</f>
        <v>1</v>
      </c>
      <c r="E18" s="382">
        <f>C18*D18</f>
        <v>75000</v>
      </c>
      <c r="F18" s="74"/>
      <c r="G18" s="382">
        <f>C18</f>
        <v>75000</v>
      </c>
      <c r="H18" s="423">
        <f>D18</f>
        <v>1</v>
      </c>
      <c r="I18" s="382">
        <f>G18*H18</f>
        <v>75000</v>
      </c>
      <c r="J18" s="1124"/>
    </row>
    <row r="19" spans="1:10">
      <c r="A19" s="586">
        <v>5</v>
      </c>
      <c r="B19" s="419" t="s">
        <v>590</v>
      </c>
      <c r="C19" s="421">
        <v>0</v>
      </c>
      <c r="D19" s="423">
        <f>$D$16</f>
        <v>1</v>
      </c>
      <c r="E19" s="421">
        <f>C19*D19</f>
        <v>0</v>
      </c>
      <c r="F19" s="74"/>
      <c r="G19" s="421">
        <v>0</v>
      </c>
      <c r="H19" s="423">
        <f>D19</f>
        <v>1</v>
      </c>
      <c r="I19" s="421">
        <f>G19*H19</f>
        <v>0</v>
      </c>
      <c r="J19" s="813"/>
    </row>
    <row r="20" spans="1:10">
      <c r="A20" s="586">
        <v>6</v>
      </c>
      <c r="B20" s="420" t="s">
        <v>97</v>
      </c>
      <c r="C20" s="502">
        <f>SUM(C16:C19)</f>
        <v>75000</v>
      </c>
      <c r="D20" s="74"/>
      <c r="E20" s="502">
        <f>SUM(E16:E19)</f>
        <v>75000</v>
      </c>
      <c r="F20" s="74"/>
      <c r="G20" s="502">
        <f>SUM(G16:G19)</f>
        <v>75000</v>
      </c>
      <c r="H20" s="74"/>
      <c r="I20" s="502">
        <f>SUM(I16:I19)</f>
        <v>75000</v>
      </c>
      <c r="J20" s="813"/>
    </row>
    <row r="21" spans="1:10">
      <c r="A21" s="586">
        <v>7</v>
      </c>
      <c r="C21" s="378"/>
      <c r="D21" s="74"/>
      <c r="E21" s="378"/>
      <c r="F21" s="74"/>
      <c r="G21" s="378"/>
      <c r="H21" s="74"/>
      <c r="I21" s="378"/>
      <c r="J21" s="813"/>
    </row>
    <row r="22" spans="1:10" ht="15.75">
      <c r="A22" s="586">
        <v>8</v>
      </c>
      <c r="B22" s="1122" t="s">
        <v>79</v>
      </c>
      <c r="C22" s="382"/>
      <c r="D22" s="74"/>
      <c r="E22" s="382"/>
      <c r="F22" s="74"/>
      <c r="G22" s="382"/>
      <c r="H22" s="74"/>
      <c r="I22" s="382"/>
      <c r="J22" s="1079"/>
    </row>
    <row r="23" spans="1:10">
      <c r="A23" s="586">
        <v>9</v>
      </c>
      <c r="B23" s="419" t="s">
        <v>580</v>
      </c>
      <c r="C23" s="329">
        <v>0</v>
      </c>
      <c r="D23" s="424">
        <f>Allocation!$I$17</f>
        <v>0.49440000000000001</v>
      </c>
      <c r="E23" s="329">
        <f>C23*D23</f>
        <v>0</v>
      </c>
      <c r="F23" s="74"/>
      <c r="G23" s="329">
        <v>0</v>
      </c>
      <c r="H23" s="424">
        <f>Allocation!$E$17</f>
        <v>0.49440000000000001</v>
      </c>
      <c r="I23" s="329">
        <f>G23*H23</f>
        <v>0</v>
      </c>
      <c r="J23" s="1079"/>
    </row>
    <row r="24" spans="1:10">
      <c r="A24" s="586">
        <v>10</v>
      </c>
      <c r="B24" s="419" t="s">
        <v>581</v>
      </c>
      <c r="C24" s="378">
        <v>0</v>
      </c>
      <c r="D24" s="424">
        <f>$D$23</f>
        <v>0.49440000000000001</v>
      </c>
      <c r="E24" s="378">
        <f>C24*D24</f>
        <v>0</v>
      </c>
      <c r="F24" s="74"/>
      <c r="G24" s="378">
        <v>0</v>
      </c>
      <c r="H24" s="424">
        <f>H23</f>
        <v>0.49440000000000001</v>
      </c>
      <c r="I24" s="378">
        <f>G24*H24</f>
        <v>0</v>
      </c>
      <c r="J24" s="1123"/>
    </row>
    <row r="25" spans="1:10">
      <c r="A25" s="586">
        <v>11</v>
      </c>
      <c r="B25" s="419" t="s">
        <v>669</v>
      </c>
      <c r="C25" s="382">
        <v>4404</v>
      </c>
      <c r="D25" s="424">
        <f>$D$23</f>
        <v>0.49440000000000001</v>
      </c>
      <c r="E25" s="382">
        <f>C25*D25</f>
        <v>2177.3375999999998</v>
      </c>
      <c r="F25" s="74"/>
      <c r="G25" s="382">
        <f>C25</f>
        <v>4404</v>
      </c>
      <c r="H25" s="424">
        <f>H23</f>
        <v>0.49440000000000001</v>
      </c>
      <c r="I25" s="382">
        <f>G25*H25</f>
        <v>2177.3375999999998</v>
      </c>
      <c r="J25" s="1124"/>
    </row>
    <row r="26" spans="1:10">
      <c r="A26" s="586">
        <v>12</v>
      </c>
      <c r="B26" s="419" t="s">
        <v>590</v>
      </c>
      <c r="C26" s="421">
        <v>0</v>
      </c>
      <c r="D26" s="424">
        <f>$D$23</f>
        <v>0.49440000000000001</v>
      </c>
      <c r="E26" s="421">
        <f>C26*D26</f>
        <v>0</v>
      </c>
      <c r="F26" s="74"/>
      <c r="G26" s="421">
        <v>0</v>
      </c>
      <c r="H26" s="424">
        <f>H23</f>
        <v>0.49440000000000001</v>
      </c>
      <c r="I26" s="421">
        <f>G26*H26</f>
        <v>0</v>
      </c>
      <c r="J26" s="1124"/>
    </row>
    <row r="27" spans="1:10">
      <c r="A27" s="586">
        <v>13</v>
      </c>
      <c r="B27" s="420" t="s">
        <v>97</v>
      </c>
      <c r="C27" s="502">
        <f>SUM(C23:C26)</f>
        <v>4404</v>
      </c>
      <c r="D27" s="103"/>
      <c r="E27" s="502">
        <f>SUM(E23:E26)</f>
        <v>2177.3375999999998</v>
      </c>
      <c r="F27" s="103"/>
      <c r="G27" s="502">
        <f>SUM(G23:G26)</f>
        <v>4404</v>
      </c>
      <c r="H27" s="103"/>
      <c r="I27" s="502">
        <f>SUM(I23:I26)</f>
        <v>2177.3375999999998</v>
      </c>
      <c r="J27" s="1079"/>
    </row>
    <row r="28" spans="1:10">
      <c r="A28" s="586">
        <v>14</v>
      </c>
      <c r="B28" s="1079"/>
      <c r="C28" s="103"/>
      <c r="D28" s="103"/>
      <c r="E28" s="103"/>
      <c r="F28" s="103"/>
      <c r="G28" s="103"/>
      <c r="H28" s="103"/>
      <c r="I28" s="103"/>
      <c r="J28" s="1079"/>
    </row>
    <row r="29" spans="1:10" ht="15.75">
      <c r="A29" s="586">
        <v>15</v>
      </c>
      <c r="B29" s="1122" t="s">
        <v>77</v>
      </c>
      <c r="C29" s="103"/>
      <c r="D29" s="103"/>
      <c r="E29" s="103"/>
      <c r="F29" s="103"/>
      <c r="G29" s="103"/>
      <c r="H29" s="103"/>
      <c r="I29" s="103"/>
      <c r="J29" s="1123"/>
    </row>
    <row r="30" spans="1:10">
      <c r="A30" s="586">
        <v>16</v>
      </c>
      <c r="B30" s="419" t="s">
        <v>580</v>
      </c>
      <c r="C30" s="329">
        <v>0</v>
      </c>
      <c r="D30" s="325">
        <f>Allocation!$I$14</f>
        <v>4.8896160000000001E-2</v>
      </c>
      <c r="E30" s="329">
        <f>C30*D30</f>
        <v>0</v>
      </c>
      <c r="F30" s="103"/>
      <c r="G30" s="329">
        <v>0</v>
      </c>
      <c r="H30" s="325">
        <f>Allocation!$E$14</f>
        <v>4.8896160000000001E-2</v>
      </c>
      <c r="I30" s="329">
        <f>G30*H30</f>
        <v>0</v>
      </c>
      <c r="J30" s="1124"/>
    </row>
    <row r="31" spans="1:10">
      <c r="A31" s="586">
        <v>17</v>
      </c>
      <c r="B31" s="419" t="s">
        <v>581</v>
      </c>
      <c r="C31" s="378">
        <v>0</v>
      </c>
      <c r="D31" s="325">
        <f>$D$30</f>
        <v>4.8896160000000001E-2</v>
      </c>
      <c r="E31" s="378">
        <f>C31*D31</f>
        <v>0</v>
      </c>
      <c r="F31" s="103"/>
      <c r="G31" s="378">
        <v>0</v>
      </c>
      <c r="H31" s="424">
        <f>D31</f>
        <v>4.8896160000000001E-2</v>
      </c>
      <c r="I31" s="378">
        <f>G31*H31</f>
        <v>0</v>
      </c>
      <c r="J31" s="1124"/>
    </row>
    <row r="32" spans="1:10">
      <c r="A32" s="586">
        <v>18</v>
      </c>
      <c r="B32" s="419" t="s">
        <v>669</v>
      </c>
      <c r="C32" s="382">
        <v>655809.22100000002</v>
      </c>
      <c r="D32" s="325">
        <f>$D$30</f>
        <v>4.8896160000000001E-2</v>
      </c>
      <c r="E32" s="382">
        <f>C32*D32</f>
        <v>32066.552599491362</v>
      </c>
      <c r="F32" s="103"/>
      <c r="G32" s="382">
        <f>C32</f>
        <v>655809.22100000002</v>
      </c>
      <c r="H32" s="424">
        <f>D32</f>
        <v>4.8896160000000001E-2</v>
      </c>
      <c r="I32" s="382">
        <f>G32*H32</f>
        <v>32066.552599491362</v>
      </c>
      <c r="J32" s="1079"/>
    </row>
    <row r="33" spans="1:10">
      <c r="A33" s="586">
        <v>19</v>
      </c>
      <c r="B33" s="419" t="s">
        <v>590</v>
      </c>
      <c r="C33" s="421">
        <v>0</v>
      </c>
      <c r="D33" s="325">
        <f>$D$30</f>
        <v>4.8896160000000001E-2</v>
      </c>
      <c r="E33" s="421">
        <f>C33*D33</f>
        <v>0</v>
      </c>
      <c r="F33" s="103"/>
      <c r="G33" s="421">
        <v>0</v>
      </c>
      <c r="H33" s="424">
        <f>D33</f>
        <v>4.8896160000000001E-2</v>
      </c>
      <c r="I33" s="421">
        <f>G33*H33</f>
        <v>0</v>
      </c>
      <c r="J33" s="1079"/>
    </row>
    <row r="34" spans="1:10">
      <c r="A34" s="586">
        <v>20</v>
      </c>
      <c r="B34" s="420" t="s">
        <v>97</v>
      </c>
      <c r="C34" s="502">
        <f>SUM(C30:C33)</f>
        <v>655809.22100000002</v>
      </c>
      <c r="D34" s="103"/>
      <c r="E34" s="502">
        <f>SUM(E30:E33)</f>
        <v>32066.552599491362</v>
      </c>
      <c r="F34" s="103"/>
      <c r="G34" s="502">
        <f>SUM(G30:G33)</f>
        <v>655809.22100000002</v>
      </c>
      <c r="H34" s="103"/>
      <c r="I34" s="502">
        <f>SUM(I30:I33)</f>
        <v>32066.552599491362</v>
      </c>
      <c r="J34" s="1123"/>
    </row>
    <row r="35" spans="1:10">
      <c r="A35" s="586">
        <v>21</v>
      </c>
      <c r="B35" s="1123"/>
      <c r="C35" s="103"/>
      <c r="D35" s="103"/>
      <c r="E35" s="103"/>
      <c r="F35" s="103"/>
      <c r="G35" s="103"/>
      <c r="H35" s="103"/>
      <c r="I35" s="103"/>
      <c r="J35" s="103"/>
    </row>
    <row r="36" spans="1:10" ht="15.75">
      <c r="A36" s="586">
        <v>22</v>
      </c>
      <c r="B36" s="1122" t="s">
        <v>78</v>
      </c>
      <c r="C36" s="103"/>
      <c r="D36" s="103"/>
      <c r="E36" s="103"/>
      <c r="F36" s="103"/>
      <c r="G36" s="103"/>
      <c r="H36" s="103"/>
      <c r="I36" s="103"/>
      <c r="J36" s="103"/>
    </row>
    <row r="37" spans="1:10">
      <c r="A37" s="586">
        <v>23</v>
      </c>
      <c r="B37" s="419" t="s">
        <v>580</v>
      </c>
      <c r="C37" s="329">
        <v>0</v>
      </c>
      <c r="D37" s="325">
        <f>Allocation!$I$15</f>
        <v>5.67090596975168E-2</v>
      </c>
      <c r="E37" s="329">
        <f>C37*D37</f>
        <v>0</v>
      </c>
      <c r="F37" s="103"/>
      <c r="G37" s="329">
        <v>0</v>
      </c>
      <c r="H37" s="424">
        <f>D37</f>
        <v>5.67090596975168E-2</v>
      </c>
      <c r="I37" s="329">
        <f>G37*H37</f>
        <v>0</v>
      </c>
      <c r="J37" s="103"/>
    </row>
    <row r="38" spans="1:10">
      <c r="A38" s="586">
        <v>24</v>
      </c>
      <c r="B38" s="419" t="s">
        <v>581</v>
      </c>
      <c r="C38" s="378">
        <v>0</v>
      </c>
      <c r="D38" s="325">
        <f>$D$37</f>
        <v>5.67090596975168E-2</v>
      </c>
      <c r="E38" s="378">
        <f>C38*D38</f>
        <v>0</v>
      </c>
      <c r="G38" s="378">
        <v>0</v>
      </c>
      <c r="H38" s="424">
        <f>D38</f>
        <v>5.67090596975168E-2</v>
      </c>
      <c r="I38" s="378">
        <f>G38*H38</f>
        <v>0</v>
      </c>
    </row>
    <row r="39" spans="1:10">
      <c r="A39" s="586">
        <v>25</v>
      </c>
      <c r="B39" s="419" t="s">
        <v>669</v>
      </c>
      <c r="C39" s="382">
        <v>0</v>
      </c>
      <c r="D39" s="325">
        <f>$D$37</f>
        <v>5.67090596975168E-2</v>
      </c>
      <c r="E39" s="382">
        <f>C39*D39</f>
        <v>0</v>
      </c>
      <c r="G39" s="382">
        <f>C39</f>
        <v>0</v>
      </c>
      <c r="H39" s="424">
        <f>D39</f>
        <v>5.67090596975168E-2</v>
      </c>
      <c r="I39" s="382">
        <f>G39*H39</f>
        <v>0</v>
      </c>
    </row>
    <row r="40" spans="1:10">
      <c r="A40" s="586">
        <v>26</v>
      </c>
      <c r="B40" s="419" t="s">
        <v>590</v>
      </c>
      <c r="C40" s="421">
        <v>0</v>
      </c>
      <c r="D40" s="325">
        <f>$D$37</f>
        <v>5.67090596975168E-2</v>
      </c>
      <c r="E40" s="421">
        <f>C40*D40</f>
        <v>0</v>
      </c>
      <c r="G40" s="421">
        <v>0</v>
      </c>
      <c r="H40" s="424">
        <f>D40</f>
        <v>5.67090596975168E-2</v>
      </c>
      <c r="I40" s="421">
        <f>G40*H40</f>
        <v>0</v>
      </c>
    </row>
    <row r="41" spans="1:10">
      <c r="A41" s="586">
        <v>27</v>
      </c>
      <c r="B41" s="420" t="s">
        <v>97</v>
      </c>
      <c r="C41" s="502">
        <f>SUM(C37:C40)</f>
        <v>0</v>
      </c>
      <c r="E41" s="502">
        <f>SUM(E37:E40)</f>
        <v>0</v>
      </c>
      <c r="G41" s="502">
        <f>SUM(G37:G40)</f>
        <v>0</v>
      </c>
      <c r="I41" s="502">
        <f>SUM(I37:I40)</f>
        <v>0</v>
      </c>
    </row>
    <row r="42" spans="1:10">
      <c r="A42" s="586">
        <v>28</v>
      </c>
    </row>
    <row r="43" spans="1:10" ht="16.5" thickBot="1">
      <c r="A43" s="586">
        <v>29</v>
      </c>
      <c r="B43" s="422" t="s">
        <v>942</v>
      </c>
      <c r="C43" s="513">
        <f>C41+C34+C27+C20</f>
        <v>735213.22100000002</v>
      </c>
      <c r="E43" s="513">
        <f>E41+E34+E27+E20</f>
        <v>109243.89019949136</v>
      </c>
      <c r="G43" s="513">
        <f>G41+G34+G27+G20</f>
        <v>735213.22100000002</v>
      </c>
      <c r="I43" s="513">
        <f>I41+I34+I27+I20</f>
        <v>109243.89019949136</v>
      </c>
    </row>
    <row r="44" spans="1:10" ht="15.75" thickTop="1"/>
    <row r="45" spans="1:10">
      <c r="B45" s="80" t="s">
        <v>809</v>
      </c>
    </row>
    <row r="46" spans="1:10">
      <c r="B46" s="88" t="s">
        <v>287</v>
      </c>
    </row>
    <row r="47" spans="1:10">
      <c r="B47" s="88" t="s">
        <v>393</v>
      </c>
    </row>
    <row r="48" spans="1:10">
      <c r="B48" s="81"/>
    </row>
    <row r="49" spans="2:2">
      <c r="B49" s="88" t="s">
        <v>430</v>
      </c>
    </row>
    <row r="51" spans="2:2">
      <c r="B51" s="88" t="s">
        <v>773</v>
      </c>
    </row>
    <row r="55" spans="2:2">
      <c r="B55" s="80" t="s">
        <v>523</v>
      </c>
    </row>
    <row r="56" spans="2:2">
      <c r="B56" s="80" t="s">
        <v>1667</v>
      </c>
    </row>
  </sheetData>
  <mergeCells count="5">
    <mergeCell ref="A5:I5"/>
    <mergeCell ref="A1:I1"/>
    <mergeCell ref="A2:I2"/>
    <mergeCell ref="A3:I3"/>
    <mergeCell ref="A4:I4"/>
  </mergeCells>
  <phoneticPr fontId="22" type="noConversion"/>
  <printOptions horizontalCentered="1"/>
  <pageMargins left="0.89" right="0.34" top="0.5" bottom="0.5" header="0.5" footer="0.5"/>
  <pageSetup scale="80" orientation="portrait" verticalDpi="300" r:id="rId1"/>
  <headerFooter alignWithMargins="0">
    <oddFooter>&amp;RSchedule &amp;A
Page &amp;P of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39"/>
  <sheetViews>
    <sheetView view="pageBreakPreview" zoomScale="80" zoomScaleNormal="90" zoomScaleSheetLayoutView="80" workbookViewId="0">
      <selection activeCell="C22" sqref="C22"/>
    </sheetView>
  </sheetViews>
  <sheetFormatPr defaultRowHeight="15"/>
  <cols>
    <col min="1" max="1" width="5.88671875" style="80" customWidth="1"/>
    <col min="2" max="2" width="32.44140625" style="80" customWidth="1"/>
    <col min="3" max="3" width="11.33203125" style="80" customWidth="1"/>
    <col min="4" max="4" width="11.109375" style="80" customWidth="1"/>
    <col min="5" max="5" width="9.6640625" style="80" customWidth="1"/>
    <col min="6" max="6" width="4.21875" style="80" customWidth="1"/>
    <col min="7" max="7" width="9.5546875" style="80" bestFit="1" customWidth="1"/>
    <col min="8" max="8" width="12" style="80" customWidth="1"/>
    <col min="9" max="9" width="10.77734375" style="80" customWidth="1"/>
    <col min="10" max="16384" width="8.88671875" style="80"/>
  </cols>
  <sheetData>
    <row r="1" spans="1:14" ht="15.75">
      <c r="A1" s="1160" t="str">
        <f>'Table of Contents'!A1:C1</f>
        <v>Atmos Energy Corporation, Kentucky/Mid-States Division</v>
      </c>
      <c r="B1" s="1160"/>
      <c r="C1" s="1160"/>
      <c r="D1" s="1160"/>
      <c r="E1" s="1160"/>
      <c r="F1" s="1160"/>
      <c r="G1" s="1160"/>
      <c r="H1" s="1160"/>
      <c r="I1" s="1160"/>
    </row>
    <row r="2" spans="1:14" ht="15.75">
      <c r="A2" s="1160" t="str">
        <f>'Table of Contents'!A2:C2</f>
        <v>Kentucky Jurisdiction Case No. 2017-00349</v>
      </c>
      <c r="B2" s="1160" t="s">
        <v>327</v>
      </c>
      <c r="C2" s="1160"/>
      <c r="D2" s="1160"/>
      <c r="E2" s="1160"/>
      <c r="F2" s="1160"/>
      <c r="G2" s="1160"/>
      <c r="H2" s="1160"/>
      <c r="I2" s="1160"/>
      <c r="J2" s="103"/>
    </row>
    <row r="3" spans="1:14" ht="15.75">
      <c r="A3" s="1160" t="s">
        <v>889</v>
      </c>
      <c r="B3" s="1160"/>
      <c r="C3" s="1160"/>
      <c r="D3" s="1160"/>
      <c r="E3" s="1160"/>
      <c r="F3" s="1160"/>
      <c r="G3" s="1160"/>
      <c r="H3" s="1160"/>
      <c r="I3" s="1160"/>
      <c r="J3" s="103"/>
    </row>
    <row r="4" spans="1:14" ht="15.75">
      <c r="A4" s="1160"/>
      <c r="B4" s="1160"/>
      <c r="C4" s="1160"/>
      <c r="D4" s="1160"/>
      <c r="E4" s="1160"/>
      <c r="F4" s="1160"/>
      <c r="G4" s="1160"/>
      <c r="H4" s="1160"/>
      <c r="I4" s="1160"/>
      <c r="J4" s="103"/>
    </row>
    <row r="5" spans="1:14" ht="15.75">
      <c r="A5" s="1160"/>
      <c r="B5" s="1160"/>
      <c r="C5" s="1160"/>
      <c r="D5" s="1160"/>
      <c r="E5" s="1160"/>
      <c r="F5" s="1160"/>
      <c r="G5" s="1160"/>
      <c r="H5" s="1160"/>
      <c r="I5" s="1160"/>
      <c r="J5" s="103"/>
    </row>
    <row r="6" spans="1:14" ht="15.75">
      <c r="A6" s="103"/>
      <c r="B6" s="930"/>
      <c r="C6" s="930"/>
      <c r="D6" s="103"/>
      <c r="E6" s="103"/>
      <c r="F6" s="103"/>
      <c r="G6" s="103"/>
      <c r="H6" s="103"/>
      <c r="I6" s="103"/>
      <c r="J6" s="103"/>
    </row>
    <row r="7" spans="1:14" ht="15.75">
      <c r="A7" s="697" t="s">
        <v>137</v>
      </c>
      <c r="B7" s="103"/>
      <c r="C7" s="930"/>
      <c r="D7" s="103"/>
      <c r="E7" s="103"/>
      <c r="F7" s="103"/>
      <c r="G7" s="103"/>
      <c r="I7" s="170" t="s">
        <v>1436</v>
      </c>
      <c r="J7" s="103"/>
    </row>
    <row r="8" spans="1:14" ht="15.75">
      <c r="A8" s="697" t="s">
        <v>1133</v>
      </c>
      <c r="B8" s="103"/>
      <c r="C8" s="930"/>
      <c r="D8" s="103"/>
      <c r="E8" s="103"/>
      <c r="F8" s="103"/>
      <c r="G8" s="103"/>
      <c r="I8" s="931" t="s">
        <v>722</v>
      </c>
      <c r="J8" s="103"/>
    </row>
    <row r="9" spans="1:14" ht="15.75">
      <c r="A9" s="697" t="s">
        <v>369</v>
      </c>
      <c r="B9" s="103"/>
      <c r="C9" s="930"/>
      <c r="D9" s="103"/>
      <c r="E9" s="103"/>
      <c r="F9" s="103"/>
      <c r="G9" s="103"/>
      <c r="H9" s="932"/>
      <c r="I9" s="933" t="str">
        <f>F.1!$F$9</f>
        <v>Witness: Waller</v>
      </c>
      <c r="J9" s="103"/>
    </row>
    <row r="10" spans="1:14" ht="15.75">
      <c r="A10" s="934"/>
      <c r="B10" s="934"/>
      <c r="C10" s="1140"/>
      <c r="D10" s="1141" t="s">
        <v>328</v>
      </c>
      <c r="E10" s="1140"/>
      <c r="F10" s="934"/>
      <c r="G10" s="1140"/>
      <c r="H10" s="1142" t="s">
        <v>329</v>
      </c>
      <c r="I10" s="1140"/>
      <c r="J10" s="103"/>
      <c r="K10" s="1143"/>
    </row>
    <row r="11" spans="1:14">
      <c r="A11" s="121" t="s">
        <v>94</v>
      </c>
      <c r="B11" s="103"/>
      <c r="C11" s="121"/>
      <c r="D11" s="862" t="s">
        <v>11</v>
      </c>
      <c r="E11" s="965" t="s">
        <v>12</v>
      </c>
      <c r="F11" s="103"/>
      <c r="G11" s="121"/>
      <c r="H11" s="965" t="str">
        <f>D11</f>
        <v xml:space="preserve">Kentucky </v>
      </c>
      <c r="I11" s="965" t="s">
        <v>989</v>
      </c>
      <c r="J11" s="103"/>
      <c r="K11" s="693"/>
    </row>
    <row r="12" spans="1:14">
      <c r="A12" s="651" t="s">
        <v>100</v>
      </c>
      <c r="B12" s="651" t="s">
        <v>993</v>
      </c>
      <c r="C12" s="651" t="s">
        <v>105</v>
      </c>
      <c r="D12" s="938" t="s">
        <v>98</v>
      </c>
      <c r="E12" s="651" t="s">
        <v>105</v>
      </c>
      <c r="F12" s="939"/>
      <c r="G12" s="651" t="s">
        <v>105</v>
      </c>
      <c r="H12" s="651" t="str">
        <f>D12</f>
        <v>Jurisdictional</v>
      </c>
      <c r="I12" s="651" t="s">
        <v>105</v>
      </c>
      <c r="J12" s="103"/>
    </row>
    <row r="13" spans="1:14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L13" s="673"/>
      <c r="N13" s="673"/>
    </row>
    <row r="14" spans="1:14" ht="15.75">
      <c r="A14" s="965"/>
      <c r="B14" s="1144"/>
      <c r="C14" s="1145"/>
      <c r="D14" s="1145"/>
      <c r="E14" s="1145"/>
      <c r="F14" s="1145"/>
      <c r="G14" s="1145"/>
      <c r="H14" s="1145"/>
      <c r="I14" s="1145"/>
      <c r="J14" s="1145"/>
      <c r="L14" s="673"/>
      <c r="N14" s="673"/>
    </row>
    <row r="15" spans="1:14">
      <c r="A15" s="121"/>
      <c r="B15" s="586"/>
      <c r="C15" s="586" t="s">
        <v>327</v>
      </c>
      <c r="D15" s="586" t="s">
        <v>327</v>
      </c>
      <c r="E15" s="586" t="s">
        <v>327</v>
      </c>
      <c r="F15" s="586" t="s">
        <v>327</v>
      </c>
      <c r="G15" s="103"/>
      <c r="H15" s="963" t="str">
        <f>F15</f>
        <v xml:space="preserve"> </v>
      </c>
      <c r="I15" s="586" t="s">
        <v>327</v>
      </c>
      <c r="J15" s="103"/>
    </row>
    <row r="16" spans="1:14">
      <c r="A16" s="965">
        <v>1</v>
      </c>
      <c r="B16" s="813" t="s">
        <v>194</v>
      </c>
      <c r="C16" s="361">
        <v>21173</v>
      </c>
      <c r="D16" s="1131">
        <v>1</v>
      </c>
      <c r="E16" s="361">
        <f>C16*D16</f>
        <v>21173</v>
      </c>
      <c r="F16" s="402"/>
      <c r="G16" s="361">
        <f>C16</f>
        <v>21173</v>
      </c>
      <c r="H16" s="945">
        <f>D16</f>
        <v>1</v>
      </c>
      <c r="I16" s="361">
        <f>G16*H16</f>
        <v>21173</v>
      </c>
      <c r="L16" s="673"/>
      <c r="N16" s="673"/>
    </row>
    <row r="17" spans="1:16">
      <c r="A17" s="121">
        <v>2</v>
      </c>
      <c r="B17" s="1124"/>
      <c r="C17" s="384"/>
      <c r="D17" s="423"/>
      <c r="E17" s="384"/>
      <c r="F17" s="807"/>
      <c r="G17" s="384"/>
      <c r="H17" s="807"/>
      <c r="I17" s="384"/>
      <c r="J17" s="103"/>
      <c r="L17" s="673"/>
      <c r="N17" s="673"/>
    </row>
    <row r="18" spans="1:16">
      <c r="A18" s="965">
        <v>3</v>
      </c>
      <c r="B18" s="813" t="s">
        <v>79</v>
      </c>
      <c r="C18" s="384">
        <v>43047.37</v>
      </c>
      <c r="D18" s="1134">
        <f>Allocation!$I$17</f>
        <v>0.49440000000000001</v>
      </c>
      <c r="E18" s="383">
        <f>C18*D18</f>
        <v>21282.619728000001</v>
      </c>
      <c r="F18" s="948"/>
      <c r="G18" s="383">
        <f>C18</f>
        <v>43047.37</v>
      </c>
      <c r="H18" s="1134">
        <f>Allocation!$E$17</f>
        <v>0.49440000000000001</v>
      </c>
      <c r="I18" s="383">
        <f>G18*H18</f>
        <v>21282.619728000001</v>
      </c>
      <c r="J18" s="103"/>
      <c r="L18" s="673"/>
      <c r="N18" s="673"/>
    </row>
    <row r="19" spans="1:16">
      <c r="A19" s="121">
        <v>4</v>
      </c>
      <c r="B19" s="1124"/>
      <c r="C19" s="384"/>
      <c r="D19" s="424"/>
      <c r="E19" s="384"/>
      <c r="F19" s="807"/>
      <c r="G19" s="384"/>
      <c r="H19" s="1136"/>
      <c r="I19" s="384"/>
      <c r="J19" s="103"/>
      <c r="L19" s="673"/>
    </row>
    <row r="20" spans="1:16">
      <c r="A20" s="965">
        <v>5</v>
      </c>
      <c r="B20" s="1124" t="s">
        <v>77</v>
      </c>
      <c r="C20" s="384">
        <v>289965.64919047942</v>
      </c>
      <c r="D20" s="1134">
        <f>Allocation!$I$14</f>
        <v>4.8896160000000001E-2</v>
      </c>
      <c r="E20" s="384">
        <f>C20*D20</f>
        <v>14178.206777321553</v>
      </c>
      <c r="F20" s="103"/>
      <c r="G20" s="384">
        <f>C20</f>
        <v>289965.64919047942</v>
      </c>
      <c r="H20" s="1134">
        <f>Allocation!$E$14</f>
        <v>4.8896160000000001E-2</v>
      </c>
      <c r="I20" s="384">
        <f>G20*H20</f>
        <v>14178.206777321553</v>
      </c>
      <c r="L20" s="673"/>
      <c r="N20" s="673"/>
      <c r="P20" s="693"/>
    </row>
    <row r="21" spans="1:16">
      <c r="A21" s="121">
        <v>6</v>
      </c>
      <c r="B21" s="1124"/>
      <c r="C21" s="384"/>
      <c r="D21" s="468"/>
      <c r="E21" s="384"/>
      <c r="F21" s="103"/>
      <c r="G21" s="384"/>
      <c r="H21" s="1013"/>
      <c r="I21" s="384"/>
      <c r="J21" s="103"/>
      <c r="L21" s="673"/>
      <c r="P21" s="693"/>
    </row>
    <row r="22" spans="1:16">
      <c r="A22" s="965">
        <v>7</v>
      </c>
      <c r="B22" s="1124" t="s">
        <v>78</v>
      </c>
      <c r="C22" s="1146">
        <v>81857.101821749951</v>
      </c>
      <c r="D22" s="1134">
        <f>Allocation!$I$15</f>
        <v>5.67090596975168E-2</v>
      </c>
      <c r="E22" s="1146">
        <f>C22*D22</f>
        <v>4642.0392738753289</v>
      </c>
      <c r="G22" s="1146">
        <f>C22</f>
        <v>81857.101821749951</v>
      </c>
      <c r="H22" s="1134">
        <f>Allocation!$E$15</f>
        <v>5.67090596975168E-2</v>
      </c>
      <c r="I22" s="1146">
        <f>G22*H22</f>
        <v>4642.0392738753289</v>
      </c>
      <c r="L22" s="673"/>
      <c r="N22" s="673"/>
    </row>
    <row r="23" spans="1:16">
      <c r="A23" s="965">
        <v>8</v>
      </c>
    </row>
    <row r="24" spans="1:16" ht="15.75" thickBot="1">
      <c r="A24" s="965">
        <v>9</v>
      </c>
      <c r="B24" s="80" t="s">
        <v>893</v>
      </c>
      <c r="C24" s="513">
        <f>SUM(C16:C22)</f>
        <v>436043.12101222936</v>
      </c>
      <c r="E24" s="513">
        <f>SUM(E16:E22)</f>
        <v>61275.865779196887</v>
      </c>
      <c r="G24" s="513">
        <f>SUM(G16:G22)</f>
        <v>436043.12101222936</v>
      </c>
      <c r="I24" s="513">
        <f>SUM(I16:I22)</f>
        <v>61275.865779196887</v>
      </c>
    </row>
    <row r="25" spans="1:16" ht="15.75" thickTop="1">
      <c r="C25" s="323"/>
      <c r="E25" s="323"/>
      <c r="G25" s="323"/>
      <c r="I25" s="323"/>
    </row>
    <row r="27" spans="1:16">
      <c r="A27" s="697" t="s">
        <v>1327</v>
      </c>
    </row>
    <row r="31" spans="1:16">
      <c r="B31" s="80" t="s">
        <v>890</v>
      </c>
    </row>
    <row r="32" spans="1:16">
      <c r="B32" s="80" t="s">
        <v>891</v>
      </c>
    </row>
    <row r="33" spans="2:2">
      <c r="B33" s="80" t="s">
        <v>892</v>
      </c>
    </row>
    <row r="34" spans="2:2">
      <c r="B34" s="80" t="s">
        <v>1239</v>
      </c>
    </row>
    <row r="39" spans="2:2">
      <c r="B39" s="673"/>
    </row>
  </sheetData>
  <mergeCells count="5">
    <mergeCell ref="A5:I5"/>
    <mergeCell ref="A1:I1"/>
    <mergeCell ref="A2:I2"/>
    <mergeCell ref="A3:I3"/>
    <mergeCell ref="A4:I4"/>
  </mergeCells>
  <phoneticPr fontId="22" type="noConversion"/>
  <pageMargins left="0.8" right="0.61" top="1.05" bottom="0.5" header="0.8" footer="0.5"/>
  <pageSetup scale="95" orientation="landscape" verticalDpi="300" r:id="rId1"/>
  <headerFooter alignWithMargins="0">
    <oddFooter>&amp;RSchedule &amp;A
Page &amp;P of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80" zoomScaleNormal="80" zoomScaleSheetLayoutView="80" workbookViewId="0">
      <selection activeCell="F45" sqref="F45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  <c r="G1" s="1178"/>
    </row>
    <row r="2" spans="1:10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  <c r="G2" s="1178"/>
      <c r="H2" s="92"/>
    </row>
    <row r="3" spans="1:10" ht="15.75">
      <c r="A3" s="1178" t="s">
        <v>1279</v>
      </c>
      <c r="B3" s="1178"/>
      <c r="C3" s="1178"/>
      <c r="D3" s="1178"/>
      <c r="E3" s="1178"/>
      <c r="F3" s="1178"/>
      <c r="G3" s="1178"/>
      <c r="H3" s="92"/>
    </row>
    <row r="4" spans="1:10" ht="15.75">
      <c r="A4" s="1178"/>
      <c r="B4" s="1178"/>
      <c r="C4" s="1178"/>
      <c r="D4" s="1178"/>
      <c r="E4" s="1178"/>
      <c r="F4" s="1178"/>
      <c r="G4" s="1178"/>
      <c r="H4" s="92"/>
    </row>
    <row r="5" spans="1:10" ht="15.75">
      <c r="A5" s="1178"/>
      <c r="B5" s="1178"/>
      <c r="C5" s="1178"/>
      <c r="D5" s="1178"/>
      <c r="E5" s="1178"/>
      <c r="F5" s="1178"/>
      <c r="G5" s="1178"/>
      <c r="H5" s="92"/>
    </row>
    <row r="6" spans="1:10" ht="15.75">
      <c r="A6" s="92"/>
      <c r="B6" s="12"/>
      <c r="C6" s="12"/>
      <c r="D6" s="12"/>
      <c r="E6" s="12"/>
      <c r="F6" s="92"/>
      <c r="G6" s="92"/>
      <c r="H6" s="92"/>
    </row>
    <row r="7" spans="1:10" ht="15.75">
      <c r="A7" s="66" t="s">
        <v>137</v>
      </c>
      <c r="B7" s="92"/>
      <c r="C7" s="92"/>
      <c r="D7" s="92"/>
      <c r="E7" s="12"/>
      <c r="F7" s="92"/>
      <c r="G7" s="377" t="s">
        <v>1436</v>
      </c>
      <c r="H7" s="92"/>
    </row>
    <row r="8" spans="1:10" ht="15.75">
      <c r="A8" s="66" t="s">
        <v>1133</v>
      </c>
      <c r="B8" s="92"/>
      <c r="C8" s="92"/>
      <c r="D8" s="92"/>
      <c r="E8" s="12"/>
      <c r="F8" s="92"/>
      <c r="G8" s="562" t="s">
        <v>1278</v>
      </c>
      <c r="H8" s="92"/>
    </row>
    <row r="9" spans="1:10" ht="15.75">
      <c r="A9" s="66" t="s">
        <v>369</v>
      </c>
      <c r="B9" s="92"/>
      <c r="C9" s="92"/>
      <c r="D9" s="92"/>
      <c r="E9" s="664"/>
      <c r="F9" s="95"/>
      <c r="G9" s="608" t="str">
        <f>F.1!$F$9</f>
        <v>Witness: Waller</v>
      </c>
      <c r="H9" s="92"/>
    </row>
    <row r="10" spans="1:10">
      <c r="A10" s="119"/>
      <c r="B10" s="119"/>
      <c r="C10" s="119"/>
      <c r="D10" s="119"/>
    </row>
    <row r="11" spans="1:10">
      <c r="A11" s="100" t="s">
        <v>94</v>
      </c>
      <c r="B11" s="92"/>
      <c r="C11" s="92"/>
      <c r="D11" s="92"/>
      <c r="F11" s="672" t="s">
        <v>1289</v>
      </c>
    </row>
    <row r="12" spans="1:10">
      <c r="A12" s="101" t="s">
        <v>100</v>
      </c>
      <c r="B12" s="101" t="s">
        <v>993</v>
      </c>
      <c r="C12" s="101" t="s">
        <v>1281</v>
      </c>
      <c r="D12" s="101" t="s">
        <v>1282</v>
      </c>
      <c r="E12" s="101" t="s">
        <v>1283</v>
      </c>
      <c r="F12" s="58" t="s">
        <v>1288</v>
      </c>
      <c r="G12" s="58" t="s">
        <v>1284</v>
      </c>
      <c r="H12" s="92"/>
      <c r="I12" s="635"/>
    </row>
    <row r="13" spans="1:10">
      <c r="A13" s="92"/>
      <c r="B13" s="92"/>
      <c r="C13" s="92"/>
      <c r="D13" s="92"/>
      <c r="E13" s="92"/>
      <c r="F13" s="92"/>
      <c r="G13" s="92"/>
      <c r="H13" s="92"/>
    </row>
    <row r="14" spans="1:10" ht="15.75">
      <c r="A14" s="321" t="s">
        <v>1280</v>
      </c>
      <c r="C14" s="321"/>
      <c r="D14" s="321"/>
      <c r="E14" s="417"/>
      <c r="F14" s="417"/>
      <c r="G14" s="417"/>
      <c r="H14" s="417"/>
      <c r="J14" s="594"/>
    </row>
    <row r="15" spans="1:10">
      <c r="A15" s="100"/>
      <c r="B15" s="90"/>
      <c r="C15" s="90"/>
      <c r="D15" s="90"/>
      <c r="E15" s="586" t="s">
        <v>327</v>
      </c>
      <c r="F15" s="586" t="s">
        <v>327</v>
      </c>
      <c r="G15" s="90" t="s">
        <v>327</v>
      </c>
      <c r="H15" s="92"/>
    </row>
    <row r="16" spans="1:10" s="798" customFormat="1">
      <c r="A16" s="100">
        <v>1</v>
      </c>
      <c r="B16" s="90" t="s">
        <v>1614</v>
      </c>
      <c r="C16" s="90"/>
      <c r="D16" s="90"/>
      <c r="E16" s="586"/>
      <c r="F16" s="586"/>
      <c r="G16" s="90"/>
      <c r="H16" s="92"/>
    </row>
    <row r="17" spans="1:10">
      <c r="A17" s="100">
        <v>2</v>
      </c>
      <c r="E17" s="384"/>
      <c r="F17" s="80"/>
      <c r="G17" s="415"/>
      <c r="H17" s="92"/>
    </row>
    <row r="18" spans="1:10">
      <c r="A18" s="99">
        <v>3</v>
      </c>
      <c r="B18" s="403" t="s">
        <v>1286</v>
      </c>
      <c r="C18" s="403"/>
      <c r="D18" s="403"/>
      <c r="E18" s="384"/>
      <c r="G18" s="666">
        <v>0</v>
      </c>
      <c r="J18" s="594"/>
    </row>
    <row r="19" spans="1:10">
      <c r="A19" s="100">
        <v>4</v>
      </c>
      <c r="B19" s="403"/>
      <c r="C19" s="403"/>
      <c r="D19" s="532"/>
      <c r="E19" s="384"/>
      <c r="G19" s="415"/>
      <c r="H19" s="92"/>
    </row>
    <row r="20" spans="1:10">
      <c r="A20" s="100">
        <v>5</v>
      </c>
      <c r="B20" s="403" t="s">
        <v>1285</v>
      </c>
      <c r="C20" s="403"/>
      <c r="D20" s="532"/>
      <c r="E20" s="384"/>
      <c r="G20" s="665">
        <f>-G18</f>
        <v>0</v>
      </c>
      <c r="J20" s="594"/>
    </row>
    <row r="21" spans="1:10">
      <c r="A21" s="99"/>
      <c r="E21" s="384"/>
      <c r="F21" s="415"/>
      <c r="G21" s="413"/>
    </row>
    <row r="22" spans="1:10">
      <c r="A22" s="99"/>
      <c r="E22" s="384"/>
      <c r="F22" s="418"/>
      <c r="G22" s="413"/>
    </row>
    <row r="23" spans="1:10">
      <c r="E23" s="322"/>
      <c r="G23" s="322"/>
    </row>
    <row r="25" spans="1:10">
      <c r="A25" s="667" t="s">
        <v>530</v>
      </c>
    </row>
    <row r="27" spans="1:10">
      <c r="A27" s="697"/>
      <c r="B27" s="80"/>
      <c r="C27" s="80"/>
      <c r="D27" s="80"/>
      <c r="E27" s="80"/>
      <c r="F27" s="80"/>
      <c r="G27" s="80"/>
    </row>
    <row r="28" spans="1:10">
      <c r="A28" s="66"/>
    </row>
    <row r="29" spans="1:10">
      <c r="A29" s="66"/>
      <c r="B29" s="798"/>
      <c r="C29" s="798"/>
      <c r="D29" s="798"/>
      <c r="E29" s="798"/>
      <c r="F29" s="798"/>
      <c r="G29" s="798"/>
    </row>
    <row r="30" spans="1:10">
      <c r="A30" s="66"/>
      <c r="B30" s="798"/>
      <c r="C30" s="798"/>
      <c r="D30" s="798"/>
      <c r="E30" s="798"/>
      <c r="F30" s="798"/>
      <c r="G30" s="798"/>
    </row>
    <row r="31" spans="1:10">
      <c r="A31" s="66"/>
      <c r="B31" s="798"/>
      <c r="C31" s="798"/>
      <c r="D31" s="798"/>
      <c r="E31" s="798"/>
      <c r="F31" s="798"/>
      <c r="G31" s="798"/>
    </row>
    <row r="36" spans="2:4">
      <c r="B36" s="594"/>
      <c r="C36" s="594"/>
      <c r="D36" s="594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8" footer="0.5"/>
  <pageSetup scale="99" orientation="portrait" verticalDpi="300" r:id="rId1"/>
  <headerFooter alignWithMargins="0">
    <oddFooter>&amp;RSchedule &amp;A
Page &amp;P of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view="pageBreakPreview" zoomScale="80" zoomScaleNormal="90" zoomScaleSheetLayoutView="80" workbookViewId="0">
      <selection activeCell="I19" sqref="I19"/>
    </sheetView>
  </sheetViews>
  <sheetFormatPr defaultRowHeight="15"/>
  <cols>
    <col min="1" max="1" width="5.88671875" style="62" customWidth="1"/>
    <col min="2" max="2" width="7.109375" style="62" customWidth="1"/>
    <col min="3" max="3" width="31.109375" style="62" bestFit="1" customWidth="1"/>
    <col min="4" max="4" width="11.88671875" style="62" customWidth="1"/>
    <col min="5" max="5" width="10.6640625" style="62" customWidth="1"/>
    <col min="6" max="6" width="11.44140625" style="62" customWidth="1"/>
    <col min="7" max="16384" width="8.88671875" style="62"/>
  </cols>
  <sheetData>
    <row r="1" spans="1:9" ht="15.75">
      <c r="A1" s="1178" t="str">
        <f>'Table of Contents'!A1:C1</f>
        <v>Atmos Energy Corporation, Kentucky/Mid-States Division</v>
      </c>
      <c r="B1" s="1178"/>
      <c r="C1" s="1178"/>
      <c r="D1" s="1178"/>
      <c r="E1" s="1178"/>
      <c r="F1" s="1178"/>
    </row>
    <row r="2" spans="1:9" ht="15.75">
      <c r="A2" s="1178" t="str">
        <f>'Table of Contents'!A2:C2</f>
        <v>Kentucky Jurisdiction Case No. 2017-00349</v>
      </c>
      <c r="B2" s="1178" t="s">
        <v>327</v>
      </c>
      <c r="C2" s="1178"/>
      <c r="D2" s="1178"/>
      <c r="E2" s="1178"/>
      <c r="F2" s="1178"/>
    </row>
    <row r="3" spans="1:9" ht="15.75">
      <c r="A3" s="1178" t="s">
        <v>1393</v>
      </c>
      <c r="B3" s="1178"/>
      <c r="C3" s="1178"/>
      <c r="D3" s="1178"/>
      <c r="E3" s="1178"/>
      <c r="F3" s="1178"/>
    </row>
    <row r="4" spans="1:9" ht="15.75">
      <c r="A4" s="1178"/>
      <c r="B4" s="1178"/>
      <c r="C4" s="1178"/>
      <c r="D4" s="1178"/>
      <c r="E4" s="1178"/>
      <c r="F4" s="1178"/>
    </row>
    <row r="5" spans="1:9" ht="15.75">
      <c r="B5" s="102"/>
      <c r="C5" s="102"/>
      <c r="D5" s="102"/>
      <c r="E5" s="102"/>
    </row>
    <row r="6" spans="1:9" ht="15.75">
      <c r="A6" s="66" t="s">
        <v>137</v>
      </c>
      <c r="E6" s="102"/>
      <c r="F6" s="498" t="s">
        <v>1436</v>
      </c>
    </row>
    <row r="7" spans="1:9" ht="15.75">
      <c r="A7" s="66" t="s">
        <v>1133</v>
      </c>
      <c r="E7" s="102"/>
      <c r="F7" s="698" t="s">
        <v>1382</v>
      </c>
    </row>
    <row r="8" spans="1:9" ht="15.75">
      <c r="A8" s="66" t="s">
        <v>369</v>
      </c>
      <c r="E8" s="386"/>
      <c r="F8" s="1147" t="str">
        <f>F.1!$F$9</f>
        <v>Witness: Waller</v>
      </c>
    </row>
    <row r="9" spans="1:9">
      <c r="A9" s="1090"/>
      <c r="B9" s="1090"/>
      <c r="C9" s="1090"/>
      <c r="D9" s="1090"/>
    </row>
    <row r="10" spans="1:9">
      <c r="A10" s="94"/>
      <c r="B10" s="94"/>
      <c r="C10" s="94"/>
      <c r="D10" s="94"/>
    </row>
    <row r="11" spans="1:9">
      <c r="A11" s="242" t="s">
        <v>94</v>
      </c>
      <c r="E11" s="532" t="s">
        <v>633</v>
      </c>
      <c r="F11" s="532" t="s">
        <v>12</v>
      </c>
    </row>
    <row r="12" spans="1:9">
      <c r="A12" s="1094" t="s">
        <v>100</v>
      </c>
      <c r="B12" s="1094" t="s">
        <v>1383</v>
      </c>
      <c r="C12" s="1094" t="s">
        <v>1384</v>
      </c>
      <c r="D12" s="1094" t="s">
        <v>97</v>
      </c>
      <c r="E12" s="1094" t="s">
        <v>1010</v>
      </c>
      <c r="F12" s="1148" t="s">
        <v>1385</v>
      </c>
      <c r="H12" s="1149"/>
    </row>
    <row r="14" spans="1:9">
      <c r="A14" s="1150" t="s">
        <v>1386</v>
      </c>
      <c r="G14" s="96"/>
      <c r="H14" s="96"/>
      <c r="I14" s="96"/>
    </row>
    <row r="15" spans="1:9">
      <c r="A15" s="867">
        <v>1</v>
      </c>
      <c r="B15" s="532">
        <v>2</v>
      </c>
      <c r="C15" s="62" t="s">
        <v>1387</v>
      </c>
      <c r="D15" s="1151">
        <v>9109979.6432678662</v>
      </c>
      <c r="E15" s="1152">
        <f>Allocation!I14</f>
        <v>4.8896160000000001E-2</v>
      </c>
      <c r="F15" s="1153">
        <f>D15*E15</f>
        <v>445443.02223396854</v>
      </c>
      <c r="G15" s="96"/>
      <c r="H15" s="96"/>
      <c r="I15" s="96"/>
    </row>
    <row r="16" spans="1:9">
      <c r="B16" s="532"/>
      <c r="G16" s="96"/>
      <c r="H16" s="96"/>
      <c r="I16" s="96"/>
    </row>
    <row r="17" spans="1:10">
      <c r="A17" s="867">
        <f>A15+1</f>
        <v>2</v>
      </c>
      <c r="B17" s="532">
        <v>12</v>
      </c>
      <c r="C17" s="62" t="s">
        <v>1387</v>
      </c>
      <c r="D17" s="1151">
        <v>0</v>
      </c>
      <c r="E17" s="1152">
        <f>Allocation!I15</f>
        <v>5.67090596975168E-2</v>
      </c>
      <c r="F17" s="1153">
        <f>D17*E17</f>
        <v>0</v>
      </c>
      <c r="G17" s="96"/>
      <c r="H17" s="96"/>
      <c r="I17" s="96"/>
    </row>
    <row r="18" spans="1:10">
      <c r="A18" s="867"/>
      <c r="B18" s="532"/>
      <c r="G18" s="96"/>
      <c r="H18" s="96"/>
      <c r="I18" s="96"/>
    </row>
    <row r="19" spans="1:10">
      <c r="A19" s="867">
        <f>A17+1</f>
        <v>3</v>
      </c>
      <c r="B19" s="532">
        <v>91</v>
      </c>
      <c r="C19" s="62" t="s">
        <v>1387</v>
      </c>
      <c r="D19" s="1151">
        <v>907961.47259042028</v>
      </c>
      <c r="E19" s="1152">
        <f>Allocation!H17</f>
        <v>0.49440000000000001</v>
      </c>
      <c r="F19" s="1153">
        <f>D19*E19</f>
        <v>448896.15204870381</v>
      </c>
      <c r="G19" s="96"/>
      <c r="H19" s="96"/>
      <c r="I19" s="96"/>
    </row>
    <row r="20" spans="1:10">
      <c r="A20" s="867"/>
      <c r="B20" s="532"/>
      <c r="G20" s="96"/>
      <c r="H20" s="96"/>
      <c r="I20" s="96"/>
      <c r="J20" s="62" t="s">
        <v>327</v>
      </c>
    </row>
    <row r="21" spans="1:10">
      <c r="A21" s="867">
        <f>A19+1</f>
        <v>4</v>
      </c>
      <c r="B21" s="532">
        <v>9</v>
      </c>
      <c r="C21" s="62" t="s">
        <v>1387</v>
      </c>
      <c r="D21" s="62">
        <v>0</v>
      </c>
      <c r="E21" s="1152">
        <v>1</v>
      </c>
      <c r="F21" s="1153">
        <f>D21*E21</f>
        <v>0</v>
      </c>
      <c r="G21" s="96"/>
      <c r="H21" s="96"/>
      <c r="I21" s="96"/>
    </row>
    <row r="22" spans="1:10">
      <c r="A22" s="867"/>
      <c r="G22" s="96"/>
      <c r="H22" s="96"/>
      <c r="I22" s="96"/>
    </row>
    <row r="23" spans="1:10">
      <c r="A23" s="867">
        <f>A21+1</f>
        <v>5</v>
      </c>
      <c r="C23" s="62" t="s">
        <v>1391</v>
      </c>
      <c r="F23" s="1154">
        <f>SUM(F15:F22)</f>
        <v>894339.17428267235</v>
      </c>
      <c r="G23" s="96"/>
      <c r="H23" s="96"/>
      <c r="I23" s="96"/>
    </row>
    <row r="24" spans="1:10">
      <c r="A24" s="867"/>
      <c r="F24" s="1151"/>
      <c r="G24" s="96"/>
      <c r="H24" s="96"/>
      <c r="I24" s="96"/>
    </row>
    <row r="25" spans="1:10">
      <c r="G25" s="96"/>
      <c r="H25" s="96"/>
      <c r="I25" s="96"/>
    </row>
    <row r="26" spans="1:10">
      <c r="A26" s="1150" t="s">
        <v>1388</v>
      </c>
      <c r="G26" s="96"/>
      <c r="H26" s="96"/>
      <c r="I26" s="96"/>
    </row>
    <row r="27" spans="1:10">
      <c r="A27" s="867">
        <f>A23+1</f>
        <v>6</v>
      </c>
      <c r="B27" s="532">
        <v>2</v>
      </c>
      <c r="C27" s="62" t="s">
        <v>1389</v>
      </c>
      <c r="D27" s="1151">
        <v>3117259.3239864572</v>
      </c>
      <c r="E27" s="1155">
        <f>E15</f>
        <v>4.8896160000000001E-2</v>
      </c>
      <c r="F27" s="1153">
        <f>D27*E27</f>
        <v>152422.01066713364</v>
      </c>
      <c r="G27" s="96"/>
      <c r="H27" s="96"/>
      <c r="I27" s="96"/>
    </row>
    <row r="28" spans="1:10">
      <c r="A28" s="867">
        <f>A27+1</f>
        <v>7</v>
      </c>
      <c r="B28" s="532"/>
      <c r="C28" s="62" t="s">
        <v>1396</v>
      </c>
      <c r="D28" s="1151">
        <v>3126816.3026072769</v>
      </c>
      <c r="E28" s="1152">
        <f>E27</f>
        <v>4.8896160000000001E-2</v>
      </c>
      <c r="F28" s="1153">
        <f>D28*E28</f>
        <v>152889.31022289384</v>
      </c>
      <c r="G28" s="96"/>
      <c r="H28" s="96"/>
      <c r="I28" s="96"/>
    </row>
    <row r="29" spans="1:10">
      <c r="A29" s="867"/>
      <c r="B29" s="532"/>
      <c r="G29" s="96"/>
      <c r="H29" s="96"/>
      <c r="I29" s="96"/>
    </row>
    <row r="30" spans="1:10">
      <c r="A30" s="867">
        <f>A28+1</f>
        <v>8</v>
      </c>
      <c r="B30" s="532">
        <v>12</v>
      </c>
      <c r="C30" s="62" t="s">
        <v>1389</v>
      </c>
      <c r="D30" s="1151">
        <v>111593.77738320954</v>
      </c>
      <c r="E30" s="1152">
        <f>E17</f>
        <v>5.67090596975168E-2</v>
      </c>
      <c r="F30" s="1153">
        <f>D30*E30</f>
        <v>6328.3781834958299</v>
      </c>
      <c r="G30" s="96"/>
      <c r="H30" s="96"/>
      <c r="I30" s="96"/>
    </row>
    <row r="31" spans="1:10">
      <c r="A31" s="867">
        <f>A30+1</f>
        <v>9</v>
      </c>
      <c r="B31" s="532"/>
      <c r="C31" s="62" t="s">
        <v>1396</v>
      </c>
      <c r="D31" s="1151">
        <v>167660.03635801276</v>
      </c>
      <c r="E31" s="1152">
        <f>E30</f>
        <v>5.67090596975168E-2</v>
      </c>
      <c r="F31" s="1153">
        <f>D31*E31</f>
        <v>9507.8430107143831</v>
      </c>
      <c r="G31" s="96"/>
      <c r="H31" s="96"/>
      <c r="I31" s="96"/>
    </row>
    <row r="32" spans="1:10">
      <c r="A32" s="96"/>
      <c r="B32" s="532"/>
      <c r="G32" s="96"/>
      <c r="H32" s="96"/>
      <c r="I32" s="96"/>
    </row>
    <row r="33" spans="1:9">
      <c r="A33" s="867">
        <f>A31+1</f>
        <v>10</v>
      </c>
      <c r="B33" s="532">
        <v>91</v>
      </c>
      <c r="C33" s="62" t="s">
        <v>1389</v>
      </c>
      <c r="D33" s="1151">
        <v>117036.95499864614</v>
      </c>
      <c r="E33" s="1152">
        <f>E19</f>
        <v>0.49440000000000001</v>
      </c>
      <c r="F33" s="1153">
        <f>D33*E33</f>
        <v>57863.070551330653</v>
      </c>
      <c r="G33" s="96"/>
      <c r="H33" s="96"/>
      <c r="I33" s="96"/>
    </row>
    <row r="34" spans="1:9">
      <c r="A34" s="867">
        <f>A33+1</f>
        <v>11</v>
      </c>
      <c r="B34" s="532"/>
      <c r="C34" s="62" t="s">
        <v>1396</v>
      </c>
      <c r="D34" s="1151">
        <v>61702.64463652666</v>
      </c>
      <c r="E34" s="1152">
        <f>E33</f>
        <v>0.49440000000000001</v>
      </c>
      <c r="F34" s="1153">
        <f>D34*E34</f>
        <v>30505.787508298781</v>
      </c>
      <c r="G34" s="96"/>
      <c r="H34" s="96"/>
      <c r="I34" s="96"/>
    </row>
    <row r="35" spans="1:9">
      <c r="A35" s="697"/>
      <c r="B35" s="532"/>
      <c r="G35" s="96"/>
      <c r="H35" s="96"/>
      <c r="I35" s="96"/>
    </row>
    <row r="36" spans="1:9">
      <c r="A36" s="867">
        <f>A34+1</f>
        <v>12</v>
      </c>
      <c r="B36" s="532">
        <v>9</v>
      </c>
      <c r="C36" s="62" t="s">
        <v>1389</v>
      </c>
      <c r="D36" s="1151">
        <v>33784.828195493668</v>
      </c>
      <c r="E36" s="1152">
        <v>1</v>
      </c>
      <c r="F36" s="1153">
        <f>D36*E36</f>
        <v>33784.828195493668</v>
      </c>
      <c r="G36" s="96"/>
      <c r="H36" s="96"/>
      <c r="I36" s="96"/>
    </row>
    <row r="37" spans="1:9">
      <c r="A37" s="867">
        <f>A36+1</f>
        <v>13</v>
      </c>
      <c r="C37" s="62" t="s">
        <v>1396</v>
      </c>
      <c r="D37" s="1151">
        <v>13682.990983192123</v>
      </c>
      <c r="E37" s="1152">
        <v>1</v>
      </c>
      <c r="F37" s="1153">
        <f>D37*E37</f>
        <v>13682.990983192123</v>
      </c>
      <c r="G37" s="96"/>
      <c r="H37" s="96"/>
      <c r="I37" s="96"/>
    </row>
    <row r="38" spans="1:9">
      <c r="A38" s="96"/>
      <c r="G38" s="96"/>
      <c r="H38" s="96"/>
      <c r="I38" s="96"/>
    </row>
    <row r="39" spans="1:9">
      <c r="A39" s="867">
        <f>A37+1</f>
        <v>14</v>
      </c>
      <c r="C39" s="62" t="s">
        <v>1390</v>
      </c>
      <c r="F39" s="1154">
        <f>SUM(F27:F37)</f>
        <v>456984.21932255285</v>
      </c>
      <c r="G39" s="96"/>
      <c r="H39" s="96"/>
      <c r="I39" s="96"/>
    </row>
    <row r="40" spans="1:9">
      <c r="A40" s="96"/>
      <c r="G40" s="96"/>
      <c r="H40" s="96"/>
      <c r="I40" s="96"/>
    </row>
    <row r="41" spans="1:9" ht="18" customHeight="1" thickBot="1">
      <c r="A41" s="867">
        <f>A39+1</f>
        <v>15</v>
      </c>
      <c r="C41" s="62" t="s">
        <v>1392</v>
      </c>
      <c r="F41" s="1156">
        <f>F23+F39</f>
        <v>1351323.3936052253</v>
      </c>
      <c r="G41" s="96"/>
      <c r="H41" s="96"/>
      <c r="I41" s="96"/>
    </row>
    <row r="42" spans="1:9" ht="15.75" thickTop="1">
      <c r="A42" s="96"/>
      <c r="B42" s="96"/>
      <c r="C42" s="96"/>
      <c r="D42" s="96"/>
      <c r="E42" s="96"/>
      <c r="F42" s="96"/>
      <c r="G42" s="96"/>
      <c r="H42" s="96"/>
      <c r="I42" s="96"/>
    </row>
  </sheetData>
  <mergeCells count="4">
    <mergeCell ref="A1:F1"/>
    <mergeCell ref="A2:F2"/>
    <mergeCell ref="A3:F3"/>
    <mergeCell ref="A4:F4"/>
  </mergeCells>
  <pageMargins left="0.95" right="0.82" top="1.05" bottom="0.5" header="0.8" footer="0.5"/>
  <pageSetup scale="92" orientation="portrait" verticalDpi="300" r:id="rId1"/>
  <headerFooter alignWithMargins="0">
    <oddFooter>&amp;RSchedule &amp;A
Page &amp;P of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N70"/>
  <sheetViews>
    <sheetView view="pageBreakPreview" zoomScale="60" zoomScaleNormal="90" workbookViewId="0">
      <selection activeCell="O29" sqref="O29"/>
    </sheetView>
  </sheetViews>
  <sheetFormatPr defaultColWidth="8.44140625" defaultRowHeight="15"/>
  <cols>
    <col min="1" max="1" width="7.5546875" style="1" customWidth="1"/>
    <col min="2" max="2" width="33.77734375" style="1" customWidth="1"/>
    <col min="3" max="3" width="7.33203125" style="1" customWidth="1"/>
    <col min="4" max="4" width="14.44140625" style="1" customWidth="1"/>
    <col min="5" max="5" width="2.109375" style="1" customWidth="1"/>
    <col min="6" max="6" width="12.44140625" style="1" customWidth="1"/>
    <col min="7" max="7" width="2" style="1" customWidth="1"/>
    <col min="8" max="8" width="13.5546875" style="1" customWidth="1"/>
    <col min="9" max="9" width="2.6640625" style="1" customWidth="1"/>
    <col min="10" max="10" width="10.88671875" style="1" customWidth="1"/>
    <col min="11" max="11" width="3.33203125" style="1" customWidth="1"/>
    <col min="12" max="12" width="14.44140625" style="1" customWidth="1"/>
    <col min="13" max="13" width="18.6640625" style="1" customWidth="1"/>
    <col min="14" max="16" width="8.44140625" style="1"/>
    <col min="17" max="17" width="9.44140625" style="1" bestFit="1" customWidth="1"/>
    <col min="18" max="18" width="8.44140625" style="1"/>
    <col min="19" max="19" width="9.44140625" style="1" bestFit="1" customWidth="1"/>
    <col min="20" max="16384" width="8.44140625" style="1"/>
  </cols>
  <sheetData>
    <row r="1" spans="1:13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3">
      <c r="A3" s="89" t="s">
        <v>516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3">
      <c r="A4" s="682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3">
      <c r="A5" s="682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3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1437</v>
      </c>
    </row>
    <row r="8" spans="1:13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848</v>
      </c>
    </row>
    <row r="9" spans="1:13">
      <c r="A9" s="91" t="s">
        <v>431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563" t="str">
        <f>F.1!$F$9</f>
        <v>Witness: Waller</v>
      </c>
    </row>
    <row r="10" spans="1:13" ht="15.75">
      <c r="A10" s="127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649"/>
    </row>
    <row r="11" spans="1:13">
      <c r="A11" s="92"/>
      <c r="B11" s="92"/>
      <c r="C11" s="92"/>
      <c r="D11" s="93"/>
      <c r="E11" s="93"/>
      <c r="F11" s="93"/>
      <c r="G11" s="93"/>
      <c r="H11" s="401"/>
      <c r="I11" s="93"/>
      <c r="J11" s="93"/>
      <c r="K11" s="93"/>
      <c r="L11" s="93"/>
    </row>
    <row r="12" spans="1:13">
      <c r="A12" s="92"/>
      <c r="B12" s="92"/>
      <c r="C12" s="92"/>
      <c r="D12" s="401" t="s">
        <v>97</v>
      </c>
      <c r="E12" s="93"/>
      <c r="F12" s="93"/>
      <c r="G12" s="93"/>
      <c r="H12" s="401" t="s">
        <v>528</v>
      </c>
      <c r="I12" s="93"/>
      <c r="J12" s="93"/>
      <c r="K12" s="93"/>
      <c r="L12" s="401" t="s">
        <v>329</v>
      </c>
    </row>
    <row r="13" spans="1:13">
      <c r="A13" s="100" t="s">
        <v>94</v>
      </c>
      <c r="B13" s="92"/>
      <c r="C13" s="648" t="s">
        <v>1250</v>
      </c>
      <c r="D13" s="401" t="s">
        <v>103</v>
      </c>
      <c r="E13" s="93"/>
      <c r="F13" s="93"/>
      <c r="G13" s="93"/>
      <c r="H13" s="401" t="s">
        <v>341</v>
      </c>
      <c r="I13" s="93"/>
      <c r="J13" s="93"/>
      <c r="K13" s="93"/>
      <c r="L13" s="401" t="s">
        <v>98</v>
      </c>
    </row>
    <row r="14" spans="1:13">
      <c r="A14" s="101" t="s">
        <v>100</v>
      </c>
      <c r="B14" s="101" t="s">
        <v>993</v>
      </c>
      <c r="C14" s="405" t="s">
        <v>1248</v>
      </c>
      <c r="D14" s="405" t="s">
        <v>994</v>
      </c>
      <c r="E14" s="95"/>
      <c r="F14" s="405" t="s">
        <v>341</v>
      </c>
      <c r="G14" s="95"/>
      <c r="H14" s="405" t="s">
        <v>994</v>
      </c>
      <c r="I14" s="95"/>
      <c r="J14" s="405" t="s">
        <v>995</v>
      </c>
      <c r="K14" s="95"/>
      <c r="L14" s="405" t="s">
        <v>1089</v>
      </c>
      <c r="M14" s="15"/>
    </row>
    <row r="15" spans="1:13">
      <c r="A15" s="92"/>
      <c r="B15" s="92"/>
      <c r="C15" s="92"/>
      <c r="D15" s="100"/>
      <c r="E15" s="92"/>
      <c r="F15" s="100"/>
      <c r="G15" s="92"/>
      <c r="H15" s="100"/>
      <c r="I15" s="90"/>
      <c r="J15" s="100"/>
      <c r="K15" s="90"/>
      <c r="L15" s="100"/>
    </row>
    <row r="16" spans="1:13">
      <c r="A16" s="100">
        <v>1</v>
      </c>
      <c r="B16" s="16" t="s">
        <v>856</v>
      </c>
      <c r="C16" s="16"/>
      <c r="D16" s="426"/>
      <c r="E16" s="92"/>
      <c r="F16" s="92"/>
      <c r="G16" s="92"/>
      <c r="H16" s="92"/>
      <c r="I16" s="92"/>
      <c r="J16" s="92"/>
      <c r="K16" s="92"/>
      <c r="L16" s="427"/>
    </row>
    <row r="17" spans="1:14">
      <c r="A17" s="100">
        <v>2</v>
      </c>
      <c r="B17" s="90" t="s">
        <v>398</v>
      </c>
      <c r="C17" s="90"/>
      <c r="D17" s="495">
        <f>G.2!M26</f>
        <v>12204317.516526738</v>
      </c>
      <c r="E17" s="92"/>
      <c r="F17" s="128" t="s">
        <v>148</v>
      </c>
      <c r="G17" s="92"/>
      <c r="H17" s="495">
        <f>+D17</f>
        <v>12204317.516526738</v>
      </c>
      <c r="I17" s="92"/>
      <c r="J17" s="495">
        <f>L17-H17</f>
        <v>452803.12338918447</v>
      </c>
      <c r="K17" s="92"/>
      <c r="L17" s="495">
        <f>G.2!O26</f>
        <v>12657120.639915923</v>
      </c>
    </row>
    <row r="18" spans="1:14">
      <c r="A18" s="100">
        <v>3</v>
      </c>
      <c r="B18" s="92"/>
      <c r="C18" s="92"/>
      <c r="D18" s="87"/>
      <c r="E18" s="92"/>
      <c r="F18" s="105"/>
      <c r="G18" s="92"/>
      <c r="H18" s="87"/>
      <c r="I18" s="92"/>
      <c r="J18" s="87"/>
      <c r="K18" s="92"/>
      <c r="L18" s="87"/>
      <c r="N18" s="594"/>
    </row>
    <row r="19" spans="1:14">
      <c r="A19" s="100">
        <v>4</v>
      </c>
      <c r="B19" s="16" t="s">
        <v>623</v>
      </c>
      <c r="C19" s="594"/>
      <c r="D19" s="87"/>
      <c r="E19" s="92"/>
      <c r="F19" s="105"/>
      <c r="G19" s="92"/>
      <c r="H19" s="87"/>
      <c r="I19" s="92"/>
      <c r="J19" s="87"/>
      <c r="K19" s="92"/>
      <c r="L19" s="87"/>
    </row>
    <row r="20" spans="1:14">
      <c r="A20" s="100">
        <v>5</v>
      </c>
      <c r="B20" s="90" t="s">
        <v>1249</v>
      </c>
      <c r="C20" s="720">
        <v>4.0896108491550703E-2</v>
      </c>
      <c r="D20" s="341">
        <f>D$17*C20</f>
        <v>499109.09322121012</v>
      </c>
      <c r="E20" s="180"/>
      <c r="F20" s="128" t="s">
        <v>148</v>
      </c>
      <c r="G20" s="92"/>
      <c r="H20" s="341">
        <f t="shared" ref="H20:H25" si="0">D20</f>
        <v>499109.09322121012</v>
      </c>
      <c r="I20" s="92"/>
      <c r="J20" s="341">
        <f t="shared" ref="J20:J25" si="1">L20-H20</f>
        <v>18517.885659437103</v>
      </c>
      <c r="K20" s="92"/>
      <c r="L20" s="341">
        <f>L$17*C20</f>
        <v>517626.97888064722</v>
      </c>
      <c r="N20" s="799"/>
    </row>
    <row r="21" spans="1:14">
      <c r="A21" s="100">
        <v>6</v>
      </c>
      <c r="B21" s="90" t="s">
        <v>1097</v>
      </c>
      <c r="C21" s="720">
        <v>5.0053147070198381E-2</v>
      </c>
      <c r="D21" s="86">
        <f>D$17*C21-41304</f>
        <v>569560.4995461111</v>
      </c>
      <c r="E21" s="180"/>
      <c r="F21" s="128" t="s">
        <v>148</v>
      </c>
      <c r="G21" s="92"/>
      <c r="H21" s="86">
        <f t="shared" si="0"/>
        <v>569560.4995461111</v>
      </c>
      <c r="I21" s="92"/>
      <c r="J21" s="86">
        <f t="shared" si="1"/>
        <v>-194655.77867115592</v>
      </c>
      <c r="K21" s="92"/>
      <c r="L21" s="86">
        <f>L$17*C21-258624</f>
        <v>374904.72087495518</v>
      </c>
      <c r="M21" s="594"/>
      <c r="N21" s="799"/>
    </row>
    <row r="22" spans="1:14">
      <c r="A22" s="100">
        <v>7</v>
      </c>
      <c r="B22" s="90" t="s">
        <v>614</v>
      </c>
      <c r="C22" s="720">
        <v>0.20103711248017939</v>
      </c>
      <c r="D22" s="86">
        <f>D$17*C22</f>
        <v>2453520.7533138096</v>
      </c>
      <c r="E22" s="429"/>
      <c r="F22" s="660" t="s">
        <v>148</v>
      </c>
      <c r="G22" s="103"/>
      <c r="H22" s="86">
        <f t="shared" si="0"/>
        <v>2453520.7533138096</v>
      </c>
      <c r="I22" s="103"/>
      <c r="J22" s="86">
        <f t="shared" si="1"/>
        <v>91030.232448167633</v>
      </c>
      <c r="K22" s="103"/>
      <c r="L22" s="86">
        <f>L$17*C22</f>
        <v>2544550.9857619773</v>
      </c>
    </row>
    <row r="23" spans="1:14">
      <c r="A23" s="100">
        <v>8</v>
      </c>
      <c r="B23" s="126" t="s">
        <v>840</v>
      </c>
      <c r="C23" s="720">
        <v>7.558385014074652E-2</v>
      </c>
      <c r="D23" s="86">
        <f>D$17*C23</f>
        <v>922449.30623924476</v>
      </c>
      <c r="E23" s="180"/>
      <c r="F23" s="128" t="s">
        <v>148</v>
      </c>
      <c r="G23" s="92"/>
      <c r="H23" s="86">
        <f t="shared" si="0"/>
        <v>922449.30623924476</v>
      </c>
      <c r="I23" s="92"/>
      <c r="J23" s="86">
        <f t="shared" si="1"/>
        <v>34224.603421510081</v>
      </c>
      <c r="K23" s="92"/>
      <c r="L23" s="86">
        <f>L$17*C23</f>
        <v>956673.90966075484</v>
      </c>
    </row>
    <row r="24" spans="1:14">
      <c r="A24" s="100">
        <v>9</v>
      </c>
      <c r="B24" s="90"/>
      <c r="C24" s="90"/>
      <c r="D24" s="125"/>
      <c r="E24" s="92"/>
      <c r="F24" s="128" t="s">
        <v>148</v>
      </c>
      <c r="G24" s="92"/>
      <c r="H24" s="125">
        <f t="shared" si="0"/>
        <v>0</v>
      </c>
      <c r="I24" s="92"/>
      <c r="J24" s="125">
        <f t="shared" si="1"/>
        <v>0</v>
      </c>
      <c r="K24" s="92"/>
      <c r="L24" s="125"/>
      <c r="N24" s="594"/>
    </row>
    <row r="25" spans="1:14">
      <c r="A25" s="100">
        <v>10</v>
      </c>
      <c r="B25" s="90" t="s">
        <v>615</v>
      </c>
      <c r="C25" s="90"/>
      <c r="D25" s="341">
        <f>G.2!M35</f>
        <v>4444639.6770484177</v>
      </c>
      <c r="E25" s="180"/>
      <c r="F25" s="105" t="s">
        <v>327</v>
      </c>
      <c r="G25" s="92"/>
      <c r="H25" s="341">
        <f t="shared" si="0"/>
        <v>4444639.6770484177</v>
      </c>
      <c r="I25" s="92"/>
      <c r="J25" s="341">
        <f t="shared" si="1"/>
        <v>-50882.585039107129</v>
      </c>
      <c r="K25" s="92"/>
      <c r="L25" s="341">
        <f>G.2!O35</f>
        <v>4393757.0920093106</v>
      </c>
    </row>
    <row r="26" spans="1:14">
      <c r="A26" s="100">
        <v>11</v>
      </c>
      <c r="B26" s="92"/>
      <c r="C26" s="92"/>
      <c r="D26" s="86"/>
      <c r="E26" s="92"/>
      <c r="F26" s="129" t="s">
        <v>327</v>
      </c>
      <c r="G26" s="92"/>
      <c r="H26" s="86" t="s">
        <v>327</v>
      </c>
      <c r="I26" s="92"/>
      <c r="J26" s="86"/>
      <c r="K26" s="92"/>
      <c r="L26" s="86"/>
    </row>
    <row r="27" spans="1:14">
      <c r="A27" s="100">
        <v>12</v>
      </c>
      <c r="B27" s="16" t="s">
        <v>805</v>
      </c>
      <c r="C27" s="16"/>
      <c r="D27" s="86"/>
      <c r="E27" s="92"/>
      <c r="F27" s="129" t="s">
        <v>327</v>
      </c>
      <c r="G27" s="92"/>
      <c r="H27" s="86" t="s">
        <v>327</v>
      </c>
      <c r="I27" s="92"/>
      <c r="J27" s="86"/>
      <c r="K27" s="92"/>
      <c r="L27" s="86" t="s">
        <v>687</v>
      </c>
    </row>
    <row r="28" spans="1:14">
      <c r="A28" s="100">
        <v>13</v>
      </c>
      <c r="B28" s="90" t="s">
        <v>544</v>
      </c>
      <c r="C28" s="90"/>
      <c r="D28" s="341">
        <f>G.2!$M$42*('C.2.3 B'!O12/G.2!$M$43)</f>
        <v>875680.53405200446</v>
      </c>
      <c r="E28" s="92"/>
      <c r="F28" s="128" t="s">
        <v>148</v>
      </c>
      <c r="G28" s="92"/>
      <c r="H28" s="571">
        <f>D28</f>
        <v>875680.53405200446</v>
      </c>
      <c r="I28" s="92"/>
      <c r="J28" s="341">
        <f>L28-H28</f>
        <v>62236.972061269102</v>
      </c>
      <c r="K28" s="92"/>
      <c r="L28" s="341">
        <f>G.2!$O$42*('C.2.3 F'!O13/G.2!$O$43)</f>
        <v>937917.50611327356</v>
      </c>
    </row>
    <row r="29" spans="1:14">
      <c r="A29" s="100">
        <v>14</v>
      </c>
      <c r="B29" s="90" t="s">
        <v>1112</v>
      </c>
      <c r="C29" s="90"/>
      <c r="D29" s="341">
        <f>G.2!$M$42*('C.2.3 B'!O13/G.2!$M$43)</f>
        <v>15729.559706758293</v>
      </c>
      <c r="E29" s="92"/>
      <c r="F29" s="128" t="s">
        <v>148</v>
      </c>
      <c r="G29" s="92"/>
      <c r="H29" s="175">
        <f>D29</f>
        <v>15729.559706758293</v>
      </c>
      <c r="I29" s="92"/>
      <c r="J29" s="86">
        <f>L29-H29</f>
        <v>1203.2234872247936</v>
      </c>
      <c r="K29" s="92"/>
      <c r="L29" s="341">
        <f>G.2!$O$42*('C.2.3 F'!O14/G.2!$O$43)</f>
        <v>16932.783193983087</v>
      </c>
    </row>
    <row r="30" spans="1:14">
      <c r="A30" s="100">
        <v>15</v>
      </c>
      <c r="B30" s="90" t="s">
        <v>688</v>
      </c>
      <c r="C30" s="90"/>
      <c r="D30" s="341">
        <f>G.2!$M$42*('C.2.3 B'!O14/G.2!$M$43)</f>
        <v>11537.915929784765</v>
      </c>
      <c r="E30" s="92"/>
      <c r="F30" s="128" t="s">
        <v>148</v>
      </c>
      <c r="G30" s="92"/>
      <c r="H30" s="175">
        <f>D30</f>
        <v>11537.915929784765</v>
      </c>
      <c r="I30" s="92"/>
      <c r="J30" s="86">
        <f>L30-H30</f>
        <v>864.02087833160476</v>
      </c>
      <c r="K30" s="92"/>
      <c r="L30" s="341">
        <f>G.2!$O$42*('C.2.3 F'!O15/G.2!$O$43)</f>
        <v>12401.93680811637</v>
      </c>
    </row>
    <row r="31" spans="1:14">
      <c r="A31" s="100">
        <v>16</v>
      </c>
      <c r="B31" s="90" t="s">
        <v>638</v>
      </c>
      <c r="C31" s="90"/>
      <c r="D31" s="572">
        <f>SUM(D28:D30)</f>
        <v>902948.00968854746</v>
      </c>
      <c r="E31" s="92"/>
      <c r="F31" s="105"/>
      <c r="G31" s="92"/>
      <c r="H31" s="572">
        <f>D31</f>
        <v>902948.00968854746</v>
      </c>
      <c r="I31" s="92"/>
      <c r="J31" s="572">
        <f>L31-H31</f>
        <v>64304.216426825617</v>
      </c>
      <c r="K31" s="92"/>
      <c r="L31" s="572">
        <f>SUM(L28:L30)</f>
        <v>967252.22611537308</v>
      </c>
    </row>
    <row r="32" spans="1:14">
      <c r="A32" s="100">
        <v>17</v>
      </c>
      <c r="B32" s="92"/>
      <c r="C32" s="92"/>
      <c r="D32" s="86"/>
      <c r="E32" s="92"/>
      <c r="F32" s="129" t="s">
        <v>327</v>
      </c>
      <c r="G32" s="92"/>
      <c r="H32" s="86" t="s">
        <v>327</v>
      </c>
      <c r="I32" s="92"/>
      <c r="J32" s="86"/>
      <c r="K32" s="92"/>
      <c r="L32" s="86" t="s">
        <v>327</v>
      </c>
    </row>
    <row r="33" spans="1:13" ht="15.75" thickBot="1">
      <c r="A33" s="100">
        <v>18</v>
      </c>
      <c r="B33" s="90" t="s">
        <v>857</v>
      </c>
      <c r="C33" s="90"/>
      <c r="D33" s="573">
        <f>D17+D25+D31</f>
        <v>17551905.203263704</v>
      </c>
      <c r="E33" s="92"/>
      <c r="F33" s="105"/>
      <c r="G33" s="92"/>
      <c r="H33" s="573">
        <f>D33</f>
        <v>17551905.203263704</v>
      </c>
      <c r="I33" s="92"/>
      <c r="J33" s="573">
        <f>J17+J25+J31</f>
        <v>466224.75477690296</v>
      </c>
      <c r="K33" s="92"/>
      <c r="L33" s="573">
        <f>H33+J33</f>
        <v>18018129.958040606</v>
      </c>
    </row>
    <row r="34" spans="1:13" ht="15.75" thickTop="1">
      <c r="A34" s="92"/>
      <c r="B34" s="92"/>
      <c r="C34" s="92"/>
      <c r="D34" s="86"/>
      <c r="E34" s="92"/>
      <c r="F34" s="106"/>
      <c r="G34" s="92"/>
      <c r="H34" s="106"/>
      <c r="I34" s="92"/>
      <c r="J34" s="106"/>
      <c r="K34" s="92"/>
      <c r="L34" s="86"/>
    </row>
    <row r="35" spans="1:13">
      <c r="A35" s="92"/>
      <c r="B35" s="92"/>
      <c r="C35" s="92"/>
      <c r="D35" s="108"/>
      <c r="E35" s="92"/>
      <c r="F35" s="92"/>
      <c r="G35" s="92"/>
      <c r="H35" s="92"/>
      <c r="I35" s="92"/>
      <c r="J35" s="106"/>
      <c r="K35" s="92"/>
      <c r="L35" s="86"/>
    </row>
    <row r="36" spans="1:13">
      <c r="A36" s="92"/>
      <c r="B36" s="92"/>
      <c r="C36" s="92"/>
      <c r="D36" s="106"/>
      <c r="E36" s="92"/>
      <c r="F36" s="92"/>
      <c r="G36" s="92"/>
      <c r="H36" s="92"/>
      <c r="I36" s="92"/>
      <c r="J36" s="106"/>
      <c r="K36" s="92"/>
      <c r="L36" s="106"/>
    </row>
    <row r="37" spans="1:13">
      <c r="A37" s="92"/>
      <c r="B37" s="92"/>
      <c r="C37" s="92"/>
      <c r="D37" s="106"/>
      <c r="E37" s="92"/>
      <c r="F37" s="92"/>
      <c r="G37" s="92"/>
      <c r="H37" s="92"/>
      <c r="I37" s="92"/>
      <c r="J37" s="106"/>
      <c r="K37" s="92"/>
      <c r="L37" s="106"/>
    </row>
    <row r="38" spans="1:13">
      <c r="A38" s="92"/>
      <c r="B38" s="92" t="s">
        <v>691</v>
      </c>
      <c r="C38" s="92"/>
      <c r="D38" s="92"/>
      <c r="E38" s="92"/>
      <c r="F38" s="594"/>
      <c r="G38" s="92"/>
      <c r="H38" s="92"/>
      <c r="I38" s="92"/>
      <c r="J38" s="92"/>
      <c r="K38" s="92"/>
      <c r="L38" s="92"/>
    </row>
    <row r="39" spans="1:13">
      <c r="A39" s="92" t="s">
        <v>327</v>
      </c>
      <c r="B39" s="661" t="s">
        <v>1668</v>
      </c>
      <c r="C39" s="92"/>
      <c r="D39" s="92"/>
      <c r="E39" s="92"/>
      <c r="F39" s="594"/>
      <c r="G39" s="92"/>
      <c r="H39" s="92"/>
      <c r="I39" s="92"/>
      <c r="J39" s="92"/>
      <c r="K39" s="92"/>
      <c r="L39" s="92"/>
    </row>
    <row r="40" spans="1:13">
      <c r="A40" s="92"/>
      <c r="B40" s="92"/>
      <c r="C40" s="92"/>
      <c r="D40" s="92"/>
      <c r="E40" s="92"/>
      <c r="F40" s="594"/>
      <c r="G40" s="92"/>
      <c r="H40" s="92"/>
      <c r="I40" s="92"/>
      <c r="J40" s="92"/>
      <c r="K40" s="92"/>
      <c r="L40" s="92"/>
    </row>
    <row r="41" spans="1:13">
      <c r="A41" s="92"/>
      <c r="B41" s="92"/>
      <c r="C41" s="92"/>
    </row>
    <row r="42" spans="1:13">
      <c r="A42" s="92"/>
      <c r="B42" s="92"/>
      <c r="D42" s="594"/>
      <c r="E42" s="594"/>
      <c r="F42" s="594"/>
      <c r="G42" s="594"/>
      <c r="H42" s="594"/>
      <c r="I42" s="594"/>
      <c r="J42" s="594"/>
      <c r="K42" s="594"/>
      <c r="L42" s="594"/>
      <c r="M42" s="594"/>
    </row>
    <row r="43" spans="1:13">
      <c r="A43" s="92"/>
      <c r="B43" s="92"/>
      <c r="D43" s="594"/>
      <c r="E43" s="594"/>
      <c r="F43" s="594"/>
      <c r="G43" s="594"/>
      <c r="H43" s="594"/>
      <c r="I43" s="594"/>
      <c r="J43" s="594"/>
      <c r="K43" s="594"/>
      <c r="L43" s="594"/>
      <c r="M43" s="594"/>
    </row>
    <row r="44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3">
      <c r="A48"/>
      <c r="B48"/>
      <c r="C48"/>
      <c r="D48"/>
      <c r="E48"/>
      <c r="F48"/>
      <c r="G48"/>
      <c r="H48"/>
      <c r="I48"/>
      <c r="J48"/>
      <c r="K48"/>
      <c r="L48"/>
    </row>
    <row r="49" spans="1:12">
      <c r="A49"/>
      <c r="B49"/>
      <c r="C49"/>
      <c r="D49"/>
      <c r="E49"/>
      <c r="F49"/>
      <c r="G49"/>
      <c r="H49"/>
      <c r="I49"/>
      <c r="J49"/>
      <c r="K49"/>
      <c r="L49"/>
    </row>
    <row r="50" spans="1:12">
      <c r="A50"/>
      <c r="B50"/>
      <c r="C50"/>
      <c r="D50"/>
      <c r="E50"/>
      <c r="F50"/>
      <c r="G50"/>
      <c r="H50"/>
      <c r="I50"/>
      <c r="J50"/>
      <c r="K50"/>
      <c r="L50"/>
    </row>
    <row r="51" spans="1:12">
      <c r="A51"/>
      <c r="B51"/>
      <c r="C51"/>
      <c r="D51"/>
      <c r="E51"/>
      <c r="F51"/>
      <c r="G51"/>
      <c r="H51"/>
      <c r="I51"/>
      <c r="J51"/>
      <c r="K51"/>
      <c r="L51"/>
    </row>
    <row r="52" spans="1:12">
      <c r="A52"/>
      <c r="B52"/>
      <c r="C52"/>
      <c r="D52"/>
      <c r="E52"/>
      <c r="F52"/>
      <c r="G52"/>
      <c r="H52"/>
      <c r="I52"/>
      <c r="J52"/>
      <c r="K52"/>
      <c r="L52"/>
    </row>
    <row r="53" spans="1:12">
      <c r="A53"/>
      <c r="B53"/>
      <c r="C53"/>
      <c r="D53"/>
      <c r="E53"/>
      <c r="F53"/>
      <c r="G53"/>
      <c r="H53"/>
      <c r="I53"/>
      <c r="J53"/>
      <c r="K53"/>
      <c r="L53"/>
    </row>
    <row r="54" spans="1:12">
      <c r="A54"/>
      <c r="B54"/>
      <c r="C54"/>
      <c r="D54"/>
      <c r="E54"/>
      <c r="F54"/>
      <c r="G54"/>
      <c r="H54"/>
      <c r="I54"/>
      <c r="J54"/>
      <c r="K54"/>
      <c r="L54"/>
    </row>
    <row r="55" spans="1:12">
      <c r="A55"/>
      <c r="B55"/>
      <c r="C55"/>
      <c r="D55"/>
      <c r="E55"/>
      <c r="F55"/>
      <c r="G55"/>
      <c r="H55"/>
      <c r="I55"/>
      <c r="J55"/>
      <c r="K55"/>
      <c r="L55"/>
    </row>
    <row r="56" spans="1:12">
      <c r="A56"/>
      <c r="B56"/>
      <c r="C56"/>
      <c r="D56"/>
      <c r="E56"/>
      <c r="F56"/>
      <c r="G56"/>
      <c r="H56"/>
      <c r="I56"/>
      <c r="J56"/>
      <c r="K56"/>
      <c r="L56"/>
    </row>
    <row r="57" spans="1:12">
      <c r="A57"/>
      <c r="B57"/>
      <c r="C57"/>
      <c r="D57"/>
      <c r="E57"/>
      <c r="F57"/>
      <c r="G57"/>
      <c r="H57"/>
      <c r="I57"/>
      <c r="J57"/>
      <c r="K57"/>
      <c r="L57"/>
    </row>
    <row r="58" spans="1:12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>
      <c r="A60"/>
      <c r="B60"/>
      <c r="C60"/>
      <c r="D60"/>
      <c r="E60"/>
      <c r="F60"/>
      <c r="G60"/>
      <c r="H60"/>
      <c r="I60"/>
      <c r="J60"/>
      <c r="K60"/>
      <c r="L60"/>
    </row>
    <row r="61" spans="1:12">
      <c r="A61"/>
      <c r="B61"/>
      <c r="C61"/>
      <c r="D61"/>
      <c r="E61"/>
      <c r="F61"/>
      <c r="G61"/>
      <c r="H61"/>
      <c r="I61"/>
      <c r="J61"/>
      <c r="K61"/>
      <c r="L61"/>
    </row>
    <row r="62" spans="1:12">
      <c r="A62"/>
      <c r="B62"/>
      <c r="C62"/>
      <c r="D62"/>
      <c r="E62"/>
      <c r="F62"/>
      <c r="G62"/>
      <c r="H62"/>
      <c r="I62"/>
      <c r="J62"/>
      <c r="K62"/>
      <c r="L62"/>
    </row>
    <row r="63" spans="1:12">
      <c r="A63"/>
      <c r="B63"/>
      <c r="C63"/>
      <c r="D63"/>
      <c r="E63"/>
      <c r="F63"/>
      <c r="G63"/>
      <c r="H63"/>
      <c r="I63"/>
      <c r="J63"/>
      <c r="K63"/>
      <c r="L63"/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</sheetData>
  <phoneticPr fontId="22" type="noConversion"/>
  <pageMargins left="0.5" right="0.5" top="0.75" bottom="0.5" header="0.5" footer="0.5"/>
  <pageSetup scale="85" orientation="landscape" verticalDpi="300" r:id="rId1"/>
  <headerFooter alignWithMargins="0">
    <oddFooter>&amp;RSchedule &amp;A
Page &amp;P of &amp;N</oddFooter>
  </headerFooter>
  <ignoredErrors>
    <ignoredError sqref="D21 L21" formula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S99"/>
  <sheetViews>
    <sheetView view="pageBreakPreview" topLeftCell="A2" zoomScale="60" zoomScaleNormal="80" workbookViewId="0">
      <pane xSplit="2" ySplit="12" topLeftCell="C14" activePane="bottomRight" state="frozen"/>
      <selection activeCell="F45" sqref="F45"/>
      <selection pane="topRight" activeCell="F45" sqref="F45"/>
      <selection pane="bottomLeft" activeCell="F45" sqref="F45"/>
      <selection pane="bottomRight" activeCell="S47" sqref="S47"/>
    </sheetView>
  </sheetViews>
  <sheetFormatPr defaultColWidth="7.109375" defaultRowHeight="15"/>
  <cols>
    <col min="1" max="1" width="5.109375" style="103" customWidth="1"/>
    <col min="2" max="2" width="26.88671875" style="103" customWidth="1"/>
    <col min="3" max="15" width="11.33203125" style="103" customWidth="1"/>
    <col min="16" max="16" width="2.109375" style="103" customWidth="1"/>
    <col min="17" max="17" width="6.5546875" style="103" customWidth="1"/>
    <col min="18" max="18" width="7.109375" style="103"/>
    <col min="19" max="19" width="7.88671875" style="103" customWidth="1"/>
    <col min="20" max="21" width="10.44140625" style="103" bestFit="1" customWidth="1"/>
    <col min="22" max="16384" width="7.109375" style="103"/>
  </cols>
  <sheetData>
    <row r="1" spans="1:16">
      <c r="A1" s="299" t="str">
        <f>'Table of Contents'!A1:C1</f>
        <v>Atmos Energy Corporation, Kentucky/Mid-States Division</v>
      </c>
      <c r="B1" s="952"/>
      <c r="C1" s="952"/>
      <c r="D1" s="952"/>
      <c r="E1" s="952"/>
      <c r="F1" s="952"/>
      <c r="G1" s="952"/>
      <c r="H1" s="952"/>
      <c r="I1" s="952"/>
      <c r="J1" s="952"/>
      <c r="K1" s="952"/>
      <c r="L1" s="952"/>
      <c r="M1" s="952"/>
      <c r="N1" s="952"/>
      <c r="O1" s="952"/>
    </row>
    <row r="2" spans="1:16">
      <c r="A2" s="299" t="str">
        <f>'Table of Contents'!A2:C2</f>
        <v>Kentucky Jurisdiction Case No. 2017-00349</v>
      </c>
      <c r="B2" s="953"/>
      <c r="C2" s="952"/>
      <c r="D2" s="952"/>
      <c r="E2" s="952"/>
      <c r="F2" s="952"/>
      <c r="G2" s="952"/>
      <c r="H2" s="952"/>
      <c r="I2" s="952"/>
      <c r="J2" s="952"/>
      <c r="K2" s="299"/>
      <c r="L2" s="952"/>
      <c r="M2" s="952"/>
      <c r="N2" s="952"/>
      <c r="O2" s="952"/>
    </row>
    <row r="3" spans="1:16">
      <c r="A3" s="299" t="s">
        <v>1172</v>
      </c>
      <c r="B3" s="954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</row>
    <row r="4" spans="1:16">
      <c r="A4" s="172" t="str">
        <f>'Table of Contents'!A3:C3</f>
        <v>Base Period: Twelve Months Ended December 31, 2017</v>
      </c>
      <c r="B4" s="299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</row>
    <row r="5" spans="1:16">
      <c r="A5" s="172" t="str">
        <f>'Table of Contents'!A4:C4</f>
        <v>Forecasted Test Period: Twelve Months Ended March 31, 2019</v>
      </c>
      <c r="B5" s="299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</row>
    <row r="6" spans="1:16">
      <c r="A6" s="172"/>
      <c r="B6" s="299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</row>
    <row r="7" spans="1:16">
      <c r="A7" s="586" t="s">
        <v>686</v>
      </c>
      <c r="O7" s="959" t="s">
        <v>1437</v>
      </c>
    </row>
    <row r="8" spans="1:16">
      <c r="A8" s="586" t="s">
        <v>545</v>
      </c>
      <c r="O8" s="789" t="s">
        <v>849</v>
      </c>
    </row>
    <row r="9" spans="1:16">
      <c r="A9" s="960" t="s">
        <v>431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61" t="str">
        <f>F.1!$F$9</f>
        <v>Witness: Waller</v>
      </c>
      <c r="P9" s="939"/>
    </row>
    <row r="10" spans="1:16">
      <c r="G10" s="955" t="s">
        <v>37</v>
      </c>
    </row>
    <row r="11" spans="1:16">
      <c r="A11" s="124" t="s">
        <v>94</v>
      </c>
      <c r="M11" s="121" t="s">
        <v>45</v>
      </c>
      <c r="O11" s="121" t="s">
        <v>44</v>
      </c>
    </row>
    <row r="12" spans="1:16">
      <c r="A12" s="956" t="s">
        <v>57</v>
      </c>
      <c r="B12" s="956" t="s">
        <v>993</v>
      </c>
      <c r="C12" s="962">
        <v>2012</v>
      </c>
      <c r="D12" s="651" t="s">
        <v>497</v>
      </c>
      <c r="E12" s="962">
        <v>2013</v>
      </c>
      <c r="F12" s="651" t="s">
        <v>497</v>
      </c>
      <c r="G12" s="962">
        <v>2014</v>
      </c>
      <c r="H12" s="651" t="s">
        <v>497</v>
      </c>
      <c r="I12" s="962">
        <v>2015</v>
      </c>
      <c r="J12" s="651" t="s">
        <v>497</v>
      </c>
      <c r="K12" s="962">
        <v>2016</v>
      </c>
      <c r="L12" s="651" t="s">
        <v>497</v>
      </c>
      <c r="M12" s="651" t="s">
        <v>543</v>
      </c>
      <c r="N12" s="651" t="s">
        <v>497</v>
      </c>
      <c r="O12" s="651" t="s">
        <v>543</v>
      </c>
      <c r="P12" s="939"/>
    </row>
    <row r="14" spans="1:16">
      <c r="A14" s="767">
        <f t="shared" ref="A14:A50" si="0">+A13+1</f>
        <v>1</v>
      </c>
    </row>
    <row r="15" spans="1:16">
      <c r="A15" s="767">
        <f t="shared" si="0"/>
        <v>2</v>
      </c>
      <c r="C15" s="124"/>
      <c r="E15" s="124"/>
      <c r="F15" s="124"/>
      <c r="G15" s="124"/>
      <c r="I15" s="124"/>
      <c r="K15" s="124"/>
      <c r="M15" s="124"/>
      <c r="O15" s="124"/>
    </row>
    <row r="16" spans="1:16">
      <c r="A16" s="767">
        <f t="shared" si="0"/>
        <v>3</v>
      </c>
      <c r="B16" s="957" t="s">
        <v>747</v>
      </c>
      <c r="C16" s="131"/>
      <c r="E16" s="131"/>
      <c r="F16" s="131"/>
      <c r="G16" s="131"/>
      <c r="I16" s="131"/>
      <c r="K16" s="131"/>
      <c r="M16" s="131"/>
      <c r="O16" s="131"/>
    </row>
    <row r="17" spans="1:19">
      <c r="A17" s="767">
        <f t="shared" si="0"/>
        <v>4</v>
      </c>
      <c r="B17" s="789" t="s">
        <v>796</v>
      </c>
      <c r="C17" s="131">
        <v>437473</v>
      </c>
      <c r="D17" s="579">
        <f>ROUND((E17-C17)/C17,4)</f>
        <v>-6.0900000000000003E-2</v>
      </c>
      <c r="E17" s="131">
        <v>410825.02</v>
      </c>
      <c r="F17" s="579">
        <f>ROUND((G17-E17)/E17,4)</f>
        <v>-1.6000000000000001E-3</v>
      </c>
      <c r="G17" s="131">
        <v>410170.87</v>
      </c>
      <c r="H17" s="579">
        <f>ROUND((I17-G17)/G17,4)</f>
        <v>-1.6000000000000001E-3</v>
      </c>
      <c r="I17" s="131">
        <v>409514.33200000058</v>
      </c>
      <c r="J17" s="579">
        <f>ROUND((O17-I17)/I17,4)</f>
        <v>0.10730000000000001</v>
      </c>
      <c r="K17" s="131">
        <v>417832.19999999827</v>
      </c>
      <c r="L17" s="579">
        <f>ROUND((M17-K17)/K17,4)</f>
        <v>8.5199999999999998E-2</v>
      </c>
      <c r="M17" s="131">
        <f>M49*52*40</f>
        <v>453440</v>
      </c>
      <c r="N17" s="579">
        <f>ROUND((O17-M17)/M17,4)</f>
        <v>0</v>
      </c>
      <c r="O17" s="131">
        <f>O49*52*40</f>
        <v>453440</v>
      </c>
    </row>
    <row r="18" spans="1:19">
      <c r="A18" s="767">
        <f t="shared" si="0"/>
        <v>5</v>
      </c>
      <c r="B18" s="789" t="s">
        <v>17</v>
      </c>
      <c r="C18" s="647">
        <v>18161</v>
      </c>
      <c r="D18" s="579">
        <f>ROUND((E18-C18)/C18,4)</f>
        <v>1.72E-2</v>
      </c>
      <c r="E18" s="647">
        <v>18473.259999999998</v>
      </c>
      <c r="F18" s="579">
        <f>ROUND((G18-E18)/E18,4)</f>
        <v>0.15010000000000001</v>
      </c>
      <c r="G18" s="647">
        <v>21245.75</v>
      </c>
      <c r="H18" s="579">
        <f>ROUND((I18-G18)/G18,4)</f>
        <v>6.6199999999999995E-2</v>
      </c>
      <c r="I18" s="647">
        <v>22652.999999999996</v>
      </c>
      <c r="J18" s="579">
        <f>ROUND((O18-I18)/I18,4)</f>
        <v>0.1328</v>
      </c>
      <c r="K18" s="647">
        <v>24168.75</v>
      </c>
      <c r="L18" s="579">
        <f>ROUND((M18-K18)/K18,4)</f>
        <v>6.1800000000000001E-2</v>
      </c>
      <c r="M18" s="647">
        <f>($I$18+$K$18)/($I$17+$K$17)*M17</f>
        <v>25661.380689754351</v>
      </c>
      <c r="N18" s="579">
        <f>ROUND((O18-M18)/M18,4)</f>
        <v>0</v>
      </c>
      <c r="O18" s="647">
        <f>($I$18+$K$18)/($I$17+$K$17)*O17</f>
        <v>25661.380689754351</v>
      </c>
    </row>
    <row r="19" spans="1:19">
      <c r="A19" s="767">
        <f t="shared" si="0"/>
        <v>6</v>
      </c>
      <c r="B19" s="789" t="s">
        <v>981</v>
      </c>
      <c r="C19" s="113">
        <f>(C17+C18)</f>
        <v>455634</v>
      </c>
      <c r="D19" s="579">
        <f>ROUND((E19-C19)/C19,4)</f>
        <v>-5.7799999999999997E-2</v>
      </c>
      <c r="E19" s="113">
        <f>(E17+E18)</f>
        <v>429298.28</v>
      </c>
      <c r="F19" s="579">
        <f>ROUND((G19-E19)/E19,4)</f>
        <v>4.8999999999999998E-3</v>
      </c>
      <c r="G19" s="113">
        <f>(G17+G18)</f>
        <v>431416.62</v>
      </c>
      <c r="H19" s="579">
        <f>ROUND((I19-G19)/G19,4)</f>
        <v>1.6999999999999999E-3</v>
      </c>
      <c r="I19" s="113">
        <f>(I17+I18)</f>
        <v>432167.33200000058</v>
      </c>
      <c r="J19" s="579">
        <f>ROUND((O19-I19)/I19,4)</f>
        <v>0.1086</v>
      </c>
      <c r="K19" s="113">
        <f>(K17+K18)</f>
        <v>442000.94999999827</v>
      </c>
      <c r="L19" s="579">
        <f>ROUND((M19-K19)/K19,4)</f>
        <v>8.3900000000000002E-2</v>
      </c>
      <c r="M19" s="113">
        <f>(M17+M18)</f>
        <v>479101.38068975433</v>
      </c>
      <c r="N19" s="579">
        <f>ROUND((O19-M19)/M19,4)</f>
        <v>0</v>
      </c>
      <c r="O19" s="113">
        <f>(O17+O18)</f>
        <v>479101.38068975433</v>
      </c>
    </row>
    <row r="20" spans="1:19">
      <c r="A20" s="767">
        <f t="shared" si="0"/>
        <v>7</v>
      </c>
      <c r="B20" s="789" t="s">
        <v>18</v>
      </c>
    </row>
    <row r="21" spans="1:19">
      <c r="A21" s="767">
        <f t="shared" si="0"/>
        <v>8</v>
      </c>
      <c r="B21" s="789" t="s">
        <v>61</v>
      </c>
      <c r="C21" s="132">
        <f>ROUND((C18/C17),5)</f>
        <v>4.1509999999999998E-2</v>
      </c>
      <c r="E21" s="132">
        <f>ROUND((E18/E17),5)</f>
        <v>4.4970000000000003E-2</v>
      </c>
      <c r="G21" s="132">
        <f>ROUND((G18/G17),5)</f>
        <v>5.1799999999999999E-2</v>
      </c>
      <c r="I21" s="132">
        <f>ROUND((I18/I17),5)</f>
        <v>5.5320000000000001E-2</v>
      </c>
      <c r="K21" s="132">
        <f>ROUND((K18/K17),5)</f>
        <v>5.7840000000000003E-2</v>
      </c>
      <c r="M21" s="132">
        <f>ROUND((M18/M17),5)</f>
        <v>5.6590000000000001E-2</v>
      </c>
      <c r="O21" s="132">
        <f>ROUND((O18/O17),5)</f>
        <v>5.6590000000000001E-2</v>
      </c>
    </row>
    <row r="22" spans="1:19">
      <c r="A22" s="767">
        <f t="shared" si="0"/>
        <v>9</v>
      </c>
      <c r="C22" s="131"/>
      <c r="E22" s="131"/>
      <c r="G22" s="131"/>
      <c r="I22" s="131"/>
      <c r="K22" s="131"/>
      <c r="M22" s="131"/>
      <c r="O22" s="131"/>
    </row>
    <row r="23" spans="1:19">
      <c r="A23" s="767">
        <f t="shared" si="0"/>
        <v>10</v>
      </c>
      <c r="B23" s="957" t="s">
        <v>748</v>
      </c>
      <c r="C23" s="131"/>
      <c r="E23" s="131"/>
      <c r="G23" s="131"/>
      <c r="I23" s="131"/>
      <c r="K23" s="131"/>
      <c r="M23" s="131"/>
      <c r="O23" s="131"/>
    </row>
    <row r="24" spans="1:19">
      <c r="A24" s="767">
        <f t="shared" si="0"/>
        <v>11</v>
      </c>
      <c r="B24" s="789" t="s">
        <v>749</v>
      </c>
      <c r="C24" s="131">
        <v>9862636</v>
      </c>
      <c r="D24" s="579">
        <f>ROUND((E24-C24)/C24,4)</f>
        <v>6.1100000000000002E-2</v>
      </c>
      <c r="E24" s="131">
        <v>10464861.35</v>
      </c>
      <c r="F24" s="579">
        <f>ROUND((G24-E24)/E24,4)</f>
        <v>1.29E-2</v>
      </c>
      <c r="G24" s="131">
        <v>10599619.02</v>
      </c>
      <c r="H24" s="579">
        <f>ROUND((I24-G24)/G24,4)</f>
        <v>3.5400000000000001E-2</v>
      </c>
      <c r="I24" s="131">
        <v>10974506.419999918</v>
      </c>
      <c r="J24" s="579">
        <f>ROUND((O24-I24)/I24,4)</f>
        <v>5.8900000000000001E-2</v>
      </c>
      <c r="K24" s="131">
        <v>11761378.790000012</v>
      </c>
      <c r="L24" s="579">
        <f>ROUND((M24-K24)/K24,4)</f>
        <v>-4.3099999999999999E-2</v>
      </c>
      <c r="M24" s="639">
        <f>M26-M25</f>
        <v>11254150.376277549</v>
      </c>
      <c r="N24" s="579">
        <f>ROUND((O24-M24)/M24,4)</f>
        <v>3.2599999999999997E-2</v>
      </c>
      <c r="O24" s="639">
        <f>O26-O25</f>
        <v>11620882.173126006</v>
      </c>
    </row>
    <row r="25" spans="1:19">
      <c r="A25" s="767">
        <f t="shared" si="0"/>
        <v>12</v>
      </c>
      <c r="B25" s="789" t="s">
        <v>19</v>
      </c>
      <c r="C25" s="647">
        <v>585480</v>
      </c>
      <c r="D25" s="579">
        <f>ROUND((E25-C25)/C25,4)</f>
        <v>0.12330000000000001</v>
      </c>
      <c r="E25" s="647">
        <v>657641.64</v>
      </c>
      <c r="F25" s="579">
        <f>ROUND((G25-E25)/E25,4)</f>
        <v>0.15989999999999999</v>
      </c>
      <c r="G25" s="647">
        <v>762823.65</v>
      </c>
      <c r="H25" s="579">
        <f>ROUND((I25-G25)/G25,4)</f>
        <v>9.9099999999999994E-2</v>
      </c>
      <c r="I25" s="647">
        <v>838414.80999999994</v>
      </c>
      <c r="J25" s="579">
        <f>ROUND((O25-I25)/I25,4)</f>
        <v>0.2359</v>
      </c>
      <c r="K25" s="647">
        <v>932823.32999999973</v>
      </c>
      <c r="L25" s="579">
        <f>ROUND((M25-K25)/K25,4)</f>
        <v>1.8599999999999998E-2</v>
      </c>
      <c r="M25" s="646">
        <f>AVERAGE(I28,K28)*M26</f>
        <v>950167.14024918934</v>
      </c>
      <c r="N25" s="579">
        <f>ROUND((O25-M25)/M25,4)</f>
        <v>9.06E-2</v>
      </c>
      <c r="O25" s="646">
        <f>AVERAGE(K28,M28)*O26</f>
        <v>1036238.4667899166</v>
      </c>
    </row>
    <row r="26" spans="1:19">
      <c r="A26" s="767">
        <f t="shared" si="0"/>
        <v>13</v>
      </c>
      <c r="B26" s="789" t="s">
        <v>794</v>
      </c>
      <c r="C26" s="113">
        <f>(C24+C25)</f>
        <v>10448116</v>
      </c>
      <c r="D26" s="579">
        <f>ROUND((E26-C26)/C26,4)</f>
        <v>6.4500000000000002E-2</v>
      </c>
      <c r="E26" s="113">
        <f>(E24+E25)</f>
        <v>11122502.99</v>
      </c>
      <c r="F26" s="579">
        <f>ROUND((G26-E26)/E26,4)</f>
        <v>2.1600000000000001E-2</v>
      </c>
      <c r="G26" s="113">
        <f>(G24+G25)</f>
        <v>11362442.67</v>
      </c>
      <c r="H26" s="579">
        <f>ROUND((I26-G26)/G26,4)</f>
        <v>3.9600000000000003E-2</v>
      </c>
      <c r="I26" s="113">
        <f>(I24+I25)</f>
        <v>11812921.229999918</v>
      </c>
      <c r="J26" s="579">
        <f>ROUND((O26-I26)/I26,4)</f>
        <v>7.1499999999999994E-2</v>
      </c>
      <c r="K26" s="113">
        <f>(K24+K25)</f>
        <v>12694202.120000012</v>
      </c>
      <c r="L26" s="579">
        <f>ROUND((M26-K26)/K26,4)</f>
        <v>-3.8600000000000002E-2</v>
      </c>
      <c r="M26" s="639">
        <v>12204317.516526738</v>
      </c>
      <c r="N26" s="579">
        <f>ROUND((O26-M26)/M26,4)</f>
        <v>3.7100000000000001E-2</v>
      </c>
      <c r="O26" s="639">
        <v>12657120.639915923</v>
      </c>
      <c r="R26" s="425"/>
      <c r="S26" s="425"/>
    </row>
    <row r="27" spans="1:19">
      <c r="A27" s="767">
        <f t="shared" si="0"/>
        <v>14</v>
      </c>
      <c r="B27" s="789" t="s">
        <v>20</v>
      </c>
    </row>
    <row r="28" spans="1:19">
      <c r="A28" s="767">
        <f t="shared" si="0"/>
        <v>15</v>
      </c>
      <c r="B28" s="789" t="s">
        <v>1048</v>
      </c>
      <c r="C28" s="132">
        <f>ROUND((C25/C24),5)</f>
        <v>5.9360000000000003E-2</v>
      </c>
      <c r="E28" s="132">
        <f>ROUND((E25/E24),5)</f>
        <v>6.2839999999999993E-2</v>
      </c>
      <c r="G28" s="132">
        <f>ROUND((G25/G24),5)</f>
        <v>7.1970000000000006E-2</v>
      </c>
      <c r="I28" s="132">
        <f>ROUND((I25/I24),5)</f>
        <v>7.6399999999999996E-2</v>
      </c>
      <c r="K28" s="132">
        <f>ROUND((K25/K24),5)</f>
        <v>7.9310000000000005E-2</v>
      </c>
      <c r="M28" s="132">
        <f>ROUND((M25/M24),5)</f>
        <v>8.4430000000000005E-2</v>
      </c>
      <c r="O28" s="132">
        <f>ROUND((O25/O24),5)</f>
        <v>8.9169999999999999E-2</v>
      </c>
    </row>
    <row r="29" spans="1:19">
      <c r="A29" s="767">
        <f t="shared" si="0"/>
        <v>16</v>
      </c>
      <c r="C29" s="131"/>
      <c r="E29" s="131"/>
      <c r="G29" s="131"/>
      <c r="I29" s="131"/>
      <c r="K29" s="131"/>
      <c r="M29" s="131"/>
      <c r="O29" s="131"/>
    </row>
    <row r="30" spans="1:19">
      <c r="A30" s="767">
        <f t="shared" si="0"/>
        <v>17</v>
      </c>
      <c r="B30" s="789" t="s">
        <v>62</v>
      </c>
      <c r="C30" s="131">
        <v>4728247</v>
      </c>
      <c r="D30" s="579">
        <f>ROUND((E30-C30)/C30,4)</f>
        <v>7.7399999999999997E-2</v>
      </c>
      <c r="E30" s="131">
        <v>5094063.0600000005</v>
      </c>
      <c r="F30" s="579">
        <f>ROUND((G30-E30)/E30,4)</f>
        <v>-1.84E-2</v>
      </c>
      <c r="G30" s="131">
        <v>5000231.1099999994</v>
      </c>
      <c r="H30" s="579">
        <f>ROUND((I30-G30)/G30,4)</f>
        <v>1.61E-2</v>
      </c>
      <c r="I30" s="131">
        <v>5080811.6300000008</v>
      </c>
      <c r="J30" s="579">
        <f>ROUND((O30-I30)/I30,4)</f>
        <v>-1.2800000000000001E-2</v>
      </c>
      <c r="K30" s="131">
        <v>5185743.3400000017</v>
      </c>
      <c r="L30" s="579">
        <f>ROUND((M30-K30)/K30,4)</f>
        <v>-3.8100000000000002E-2</v>
      </c>
      <c r="M30" s="131">
        <v>4988281.5248999996</v>
      </c>
      <c r="N30" s="579">
        <f>ROUND((O30-M30)/M30,4)</f>
        <v>5.4999999999999997E-3</v>
      </c>
      <c r="O30" s="131">
        <v>5015768.4274629997</v>
      </c>
    </row>
    <row r="31" spans="1:19">
      <c r="A31" s="767">
        <f t="shared" si="0"/>
        <v>18</v>
      </c>
      <c r="B31" s="789" t="s">
        <v>63</v>
      </c>
    </row>
    <row r="32" spans="1:19">
      <c r="A32" s="767">
        <f t="shared" si="0"/>
        <v>19</v>
      </c>
      <c r="B32" s="789" t="s">
        <v>622</v>
      </c>
      <c r="C32" s="132">
        <f>ROUND((C30/C26),5)</f>
        <v>0.45255000000000001</v>
      </c>
      <c r="E32" s="132">
        <f>ROUND((E30/E26),5)</f>
        <v>0.45800000000000002</v>
      </c>
      <c r="G32" s="132">
        <f>ROUND((G30/G26),5)</f>
        <v>0.44007000000000002</v>
      </c>
      <c r="I32" s="132">
        <f>ROUND((I30/I26),5)</f>
        <v>0.43010999999999999</v>
      </c>
      <c r="K32" s="132">
        <f>ROUND((K30/K26),5)</f>
        <v>0.40850999999999998</v>
      </c>
      <c r="M32" s="132">
        <f>ROUND((M30/M26),5)</f>
        <v>0.40872999999999998</v>
      </c>
      <c r="O32" s="132">
        <f>ROUND((O30/O26),5)</f>
        <v>0.39628000000000002</v>
      </c>
    </row>
    <row r="33" spans="1:16">
      <c r="A33" s="767">
        <f t="shared" si="0"/>
        <v>20</v>
      </c>
    </row>
    <row r="34" spans="1:16">
      <c r="A34" s="767">
        <f t="shared" si="0"/>
        <v>21</v>
      </c>
      <c r="B34" s="957" t="s">
        <v>623</v>
      </c>
      <c r="C34" s="131"/>
      <c r="E34" s="131"/>
      <c r="G34" s="131"/>
      <c r="I34" s="131"/>
      <c r="K34" s="131"/>
      <c r="M34" s="131"/>
      <c r="O34" s="131"/>
    </row>
    <row r="35" spans="1:16">
      <c r="A35" s="767">
        <f t="shared" si="0"/>
        <v>22</v>
      </c>
      <c r="B35" s="789" t="s">
        <v>742</v>
      </c>
      <c r="C35" s="108">
        <v>4453878</v>
      </c>
      <c r="D35" s="579">
        <f>ROUND((E35-C35)/C35,4)</f>
        <v>0.36120000000000002</v>
      </c>
      <c r="E35" s="108">
        <v>6062525.1250055488</v>
      </c>
      <c r="F35" s="579">
        <f>ROUND((G35-E35)/E35,4)</f>
        <v>1.4200000000000001E-2</v>
      </c>
      <c r="G35" s="108">
        <v>6148915.5516105723</v>
      </c>
      <c r="H35" s="579">
        <f>ROUND((I35-G35)/G35,4)</f>
        <v>-0.14269999999999999</v>
      </c>
      <c r="I35" s="108">
        <v>5271507.9448322468</v>
      </c>
      <c r="J35" s="579">
        <f>ROUND((O35-I35)/I35,4)</f>
        <v>-0.16650000000000001</v>
      </c>
      <c r="K35" s="108">
        <v>4546845.1048137397</v>
      </c>
      <c r="L35" s="579">
        <f>ROUND((M35-K35)/K35,4)</f>
        <v>-2.2499999999999999E-2</v>
      </c>
      <c r="M35" s="108">
        <f>M36/M32</f>
        <v>4444639.6770484177</v>
      </c>
      <c r="N35" s="579">
        <f>ROUND((O35-M35)/M35,4)</f>
        <v>-1.14E-2</v>
      </c>
      <c r="O35" s="108">
        <f>O36/O32</f>
        <v>4393757.0920093106</v>
      </c>
      <c r="P35" s="108"/>
    </row>
    <row r="36" spans="1:16">
      <c r="A36" s="767">
        <f t="shared" si="0"/>
        <v>23</v>
      </c>
      <c r="B36" s="789" t="s">
        <v>743</v>
      </c>
      <c r="C36" s="131">
        <v>2157841</v>
      </c>
      <c r="D36" s="579">
        <f>ROUND((E36-C36)/C36,4)</f>
        <v>0.3775</v>
      </c>
      <c r="E36" s="131">
        <v>2972341.1200000118</v>
      </c>
      <c r="F36" s="579">
        <f>ROUND((G36-E36)/E36,4)</f>
        <v>-5.5399999999999998E-2</v>
      </c>
      <c r="G36" s="131">
        <v>2807745.5500000049</v>
      </c>
      <c r="H36" s="579">
        <f>ROUND((I36-G36)/G36,4)</f>
        <v>-0.184</v>
      </c>
      <c r="I36" s="131">
        <v>2291156.16</v>
      </c>
      <c r="J36" s="579">
        <f>ROUND((O36-I36)/I36,4)</f>
        <v>-0.24010000000000001</v>
      </c>
      <c r="K36" s="131">
        <v>1929817.6199999994</v>
      </c>
      <c r="L36" s="579">
        <f>ROUND((M36-K36)/K36,4)</f>
        <v>-5.8599999999999999E-2</v>
      </c>
      <c r="M36" s="131">
        <v>1816657.5751999998</v>
      </c>
      <c r="N36" s="579">
        <f>ROUND((O36-M36)/M36,4)</f>
        <v>-4.1599999999999998E-2</v>
      </c>
      <c r="O36" s="131">
        <v>1741158.0604214496</v>
      </c>
      <c r="P36" s="108"/>
    </row>
    <row r="37" spans="1:16">
      <c r="A37" s="767">
        <f t="shared" si="0"/>
        <v>24</v>
      </c>
      <c r="B37" s="789" t="s">
        <v>802</v>
      </c>
    </row>
    <row r="38" spans="1:16">
      <c r="A38" s="767">
        <f t="shared" si="0"/>
        <v>25</v>
      </c>
      <c r="B38" s="586" t="s">
        <v>803</v>
      </c>
      <c r="C38" s="425"/>
      <c r="E38" s="425"/>
      <c r="G38" s="425"/>
      <c r="I38" s="425"/>
      <c r="K38" s="425"/>
    </row>
    <row r="39" spans="1:16">
      <c r="A39" s="767">
        <f t="shared" si="0"/>
        <v>26</v>
      </c>
      <c r="B39" s="789" t="s">
        <v>804</v>
      </c>
      <c r="C39" s="132">
        <f>ROUND((C36/C35),5)</f>
        <v>0.48448999999999998</v>
      </c>
      <c r="E39" s="132">
        <f>ROUND((E36/E35),5)</f>
        <v>0.49027999999999999</v>
      </c>
      <c r="G39" s="132">
        <f>ROUND((G36/G35),5)</f>
        <v>0.45662000000000003</v>
      </c>
      <c r="I39" s="132">
        <f>ROUND((I36/I35),5)</f>
        <v>0.43463000000000002</v>
      </c>
      <c r="K39" s="132">
        <f>ROUND((K36/K35),5)</f>
        <v>0.42442999999999997</v>
      </c>
      <c r="M39" s="132">
        <f>ROUND((M36/M35),5)</f>
        <v>0.40872999999999998</v>
      </c>
      <c r="O39" s="132">
        <f>ROUND((O36/O35),5)</f>
        <v>0.39628000000000002</v>
      </c>
    </row>
    <row r="40" spans="1:16">
      <c r="A40" s="767">
        <f t="shared" si="0"/>
        <v>27</v>
      </c>
    </row>
    <row r="41" spans="1:16">
      <c r="A41" s="767">
        <f t="shared" si="0"/>
        <v>28</v>
      </c>
      <c r="B41" s="622" t="s">
        <v>805</v>
      </c>
    </row>
    <row r="42" spans="1:16">
      <c r="A42" s="767">
        <f t="shared" si="0"/>
        <v>29</v>
      </c>
      <c r="B42" s="789" t="s">
        <v>638</v>
      </c>
      <c r="C42" s="108">
        <v>889257</v>
      </c>
      <c r="D42" s="579">
        <f>ROUND((E42-C42)/C42,4)</f>
        <v>-5.21E-2</v>
      </c>
      <c r="E42" s="108">
        <v>842967.71</v>
      </c>
      <c r="F42" s="579">
        <f>ROUND((G42-E42)/E42,4)</f>
        <v>0.3266</v>
      </c>
      <c r="G42" s="108">
        <v>1118267.5799999991</v>
      </c>
      <c r="H42" s="579">
        <f>ROUND((I42-G42)/G42,4)</f>
        <v>-0.1988</v>
      </c>
      <c r="I42" s="108">
        <v>895950.11999999988</v>
      </c>
      <c r="J42" s="579">
        <f>ROUND((O42-I42)/I42,4)</f>
        <v>7.9600000000000004E-2</v>
      </c>
      <c r="K42" s="108">
        <v>991045.14</v>
      </c>
      <c r="L42" s="579">
        <f>ROUND((M42-K42)/K42,4)</f>
        <v>-8.8900000000000007E-2</v>
      </c>
      <c r="M42" s="108">
        <f>M43/M32</f>
        <v>902948.00968854746</v>
      </c>
      <c r="N42" s="579">
        <f>ROUND((O42-M42)/M42,4)</f>
        <v>7.1199999999999999E-2</v>
      </c>
      <c r="O42" s="108">
        <f>O43/O32</f>
        <v>967252.22611537296</v>
      </c>
      <c r="P42" s="108"/>
    </row>
    <row r="43" spans="1:16">
      <c r="A43" s="767">
        <f t="shared" si="0"/>
        <v>30</v>
      </c>
      <c r="B43" s="789" t="s">
        <v>1113</v>
      </c>
      <c r="C43" s="131">
        <v>338313</v>
      </c>
      <c r="D43" s="579">
        <f>ROUND((E43-C43)/C43,4)</f>
        <v>-9.7000000000000003E-3</v>
      </c>
      <c r="E43" s="131">
        <v>335033.08</v>
      </c>
      <c r="F43" s="579">
        <f>ROUND((G43-E43)/E43,4)</f>
        <v>8.0000000000000004E-4</v>
      </c>
      <c r="G43" s="131">
        <v>335294.49000000005</v>
      </c>
      <c r="H43" s="579">
        <f>ROUND((I43-G43)/G43,4)</f>
        <v>4.1200000000000001E-2</v>
      </c>
      <c r="I43" s="131">
        <v>349096.97</v>
      </c>
      <c r="J43" s="579">
        <f>ROUND((O43-I43)/I43,4)</f>
        <v>9.8000000000000004E-2</v>
      </c>
      <c r="K43" s="131">
        <v>377117.52</v>
      </c>
      <c r="L43" s="579">
        <f>ROUND((M43-K43)/K43,4)</f>
        <v>-2.1399999999999999E-2</v>
      </c>
      <c r="M43" s="108">
        <f>SUM('C.2.3 B'!O12:O14)</f>
        <v>369061.94</v>
      </c>
      <c r="N43" s="579">
        <f>ROUND((O43-M43)/M43,4)</f>
        <v>3.8600000000000002E-2</v>
      </c>
      <c r="O43" s="108">
        <f>SUM('C.2.3 F'!O13:O15)</f>
        <v>383302.71216500003</v>
      </c>
      <c r="P43" s="108"/>
    </row>
    <row r="44" spans="1:16">
      <c r="A44" s="767">
        <f t="shared" si="0"/>
        <v>31</v>
      </c>
      <c r="B44" s="789" t="s">
        <v>635</v>
      </c>
    </row>
    <row r="45" spans="1:16">
      <c r="A45" s="767">
        <f t="shared" si="0"/>
        <v>32</v>
      </c>
      <c r="B45" s="789" t="s">
        <v>636</v>
      </c>
    </row>
    <row r="46" spans="1:16">
      <c r="A46" s="767">
        <f t="shared" si="0"/>
        <v>33</v>
      </c>
      <c r="B46" s="586" t="s">
        <v>640</v>
      </c>
      <c r="C46" s="132">
        <f>ROUND((C43/C42),5)</f>
        <v>0.38044</v>
      </c>
      <c r="E46" s="132">
        <f>ROUND((E43/E42),5)</f>
        <v>0.39744000000000002</v>
      </c>
      <c r="F46" s="132"/>
      <c r="G46" s="132">
        <f>ROUND((G43/G42),5)</f>
        <v>0.29982999999999999</v>
      </c>
      <c r="I46" s="132">
        <f>ROUND((I43/I42),5)</f>
        <v>0.38963999999999999</v>
      </c>
      <c r="K46" s="132">
        <f>ROUND((K43/K42),5)</f>
        <v>0.38052999999999998</v>
      </c>
      <c r="M46" s="132">
        <f>ROUND((M43/M42),5)</f>
        <v>0.40872999999999998</v>
      </c>
      <c r="O46" s="132">
        <f>ROUND((O43/O42),5)</f>
        <v>0.39628000000000002</v>
      </c>
    </row>
    <row r="47" spans="1:16">
      <c r="A47" s="767">
        <f t="shared" si="0"/>
        <v>34</v>
      </c>
    </row>
    <row r="48" spans="1:16">
      <c r="A48" s="767">
        <f t="shared" si="0"/>
        <v>35</v>
      </c>
      <c r="B48" s="957" t="s">
        <v>1168</v>
      </c>
    </row>
    <row r="49" spans="1:19">
      <c r="A49" s="767">
        <f t="shared" si="0"/>
        <v>36</v>
      </c>
      <c r="B49" s="789" t="s">
        <v>1169</v>
      </c>
      <c r="C49" s="103">
        <v>209</v>
      </c>
      <c r="D49" s="579">
        <f>ROUND((E49-C49)/C49,4)</f>
        <v>9.5999999999999992E-3</v>
      </c>
      <c r="E49" s="103">
        <v>211</v>
      </c>
      <c r="F49" s="133">
        <f>ROUND((G49-E49)/E49,4)</f>
        <v>1.9E-2</v>
      </c>
      <c r="G49" s="103">
        <v>215</v>
      </c>
      <c r="H49" s="579">
        <f>ROUND((I49-G49)/G49,4)</f>
        <v>-1.8599999999999998E-2</v>
      </c>
      <c r="I49" s="103">
        <v>211</v>
      </c>
      <c r="J49" s="579">
        <f>ROUND((K49-I49)/I49,4)</f>
        <v>1.9E-2</v>
      </c>
      <c r="K49" s="103">
        <v>215</v>
      </c>
      <c r="L49" s="579">
        <f>ROUND((M49-K49)/K49,4)</f>
        <v>1.4E-2</v>
      </c>
      <c r="M49" s="963">
        <f>M50</f>
        <v>218</v>
      </c>
      <c r="N49" s="579">
        <f>ROUND((O49-M49)/M49,4)</f>
        <v>0</v>
      </c>
      <c r="O49" s="963">
        <f>O50</f>
        <v>218</v>
      </c>
    </row>
    <row r="50" spans="1:19">
      <c r="A50" s="767">
        <f t="shared" si="0"/>
        <v>37</v>
      </c>
      <c r="B50" s="789" t="s">
        <v>1170</v>
      </c>
      <c r="C50" s="133">
        <v>209</v>
      </c>
      <c r="D50" s="579">
        <f>ROUND((E50-C50)/C50,4)</f>
        <v>1.9099999999999999E-2</v>
      </c>
      <c r="E50" s="133">
        <v>213</v>
      </c>
      <c r="F50" s="133">
        <f>ROUND((G50-E50)/E50,4)</f>
        <v>2.35E-2</v>
      </c>
      <c r="G50" s="133">
        <v>218</v>
      </c>
      <c r="H50" s="579">
        <f>ROUND((I50-G50)/G50,4)</f>
        <v>-2.29E-2</v>
      </c>
      <c r="I50" s="133">
        <v>213</v>
      </c>
      <c r="J50" s="579">
        <f>ROUND((K50-I50)/I50,4)</f>
        <v>2.35E-2</v>
      </c>
      <c r="K50" s="133">
        <v>218</v>
      </c>
      <c r="L50" s="579">
        <f>ROUND((M50-K50)/K50,4)</f>
        <v>0</v>
      </c>
      <c r="M50" s="963">
        <v>218</v>
      </c>
      <c r="N50" s="579">
        <f>ROUND((O50-M50)/M50,4)</f>
        <v>0</v>
      </c>
      <c r="O50" s="963">
        <v>218</v>
      </c>
    </row>
    <row r="52" spans="1:19">
      <c r="R52" s="108"/>
    </row>
    <row r="53" spans="1:19">
      <c r="R53" s="108"/>
    </row>
    <row r="54" spans="1:19">
      <c r="B54" s="661" t="s">
        <v>240</v>
      </c>
    </row>
    <row r="55" spans="1:19">
      <c r="B55" s="661" t="s">
        <v>1416</v>
      </c>
    </row>
    <row r="58" spans="1:19">
      <c r="B58" s="103" t="s">
        <v>1246</v>
      </c>
      <c r="R58" s="108"/>
      <c r="S58" s="108"/>
    </row>
    <row r="59" spans="1:19">
      <c r="B59" s="661" t="s">
        <v>1323</v>
      </c>
      <c r="R59" s="108"/>
      <c r="S59" s="108"/>
    </row>
    <row r="60" spans="1:19">
      <c r="B60" s="103" t="s">
        <v>1652</v>
      </c>
    </row>
    <row r="61" spans="1:19">
      <c r="B61" s="103" t="s">
        <v>1651</v>
      </c>
    </row>
    <row r="67" spans="1:15">
      <c r="A67" s="124"/>
    </row>
    <row r="68" spans="1:15">
      <c r="A68" s="124"/>
      <c r="B68" s="124"/>
      <c r="G68" s="958"/>
      <c r="I68" s="958"/>
      <c r="K68" s="958"/>
      <c r="M68" s="958"/>
      <c r="O68" s="958"/>
    </row>
    <row r="69" spans="1:15">
      <c r="G69" s="131"/>
    </row>
    <row r="70" spans="1:15">
      <c r="A70" s="124"/>
    </row>
    <row r="71" spans="1:15">
      <c r="A71" s="124"/>
    </row>
    <row r="95" spans="7:17">
      <c r="G95" s="131"/>
      <c r="I95" s="131"/>
      <c r="K95" s="131"/>
      <c r="M95" s="131"/>
      <c r="O95" s="131"/>
      <c r="Q95" s="131"/>
    </row>
    <row r="96" spans="7:17">
      <c r="G96" s="131"/>
      <c r="I96" s="131"/>
      <c r="K96" s="131"/>
      <c r="M96" s="131"/>
      <c r="O96" s="131"/>
      <c r="Q96" s="131"/>
    </row>
    <row r="97" spans="7:17">
      <c r="G97" s="131"/>
      <c r="I97" s="131"/>
      <c r="K97" s="131"/>
      <c r="M97" s="131"/>
      <c r="O97" s="131"/>
      <c r="Q97" s="131"/>
    </row>
    <row r="98" spans="7:17">
      <c r="G98" s="131"/>
      <c r="I98" s="131"/>
      <c r="K98" s="131"/>
      <c r="M98" s="131"/>
      <c r="O98" s="131"/>
      <c r="Q98" s="131"/>
    </row>
    <row r="99" spans="7:17">
      <c r="G99" s="131"/>
      <c r="I99" s="131"/>
      <c r="K99" s="131"/>
      <c r="M99" s="131"/>
      <c r="O99" s="131"/>
      <c r="Q99" s="131"/>
    </row>
  </sheetData>
  <phoneticPr fontId="22" type="noConversion"/>
  <pageMargins left="0.5" right="0.5" top="0.75" bottom="0.5" header="0.5" footer="0.5"/>
  <pageSetup scale="58" orientation="landscape" verticalDpi="300" r:id="rId1"/>
  <headerFooter alignWithMargins="0">
    <oddFooter>&amp;RSchedule &amp;A
Page &amp;P of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Q66"/>
  <sheetViews>
    <sheetView view="pageBreakPreview" topLeftCell="A7" zoomScale="60" zoomScaleNormal="90" workbookViewId="0">
      <selection activeCell="F45" sqref="F45"/>
    </sheetView>
  </sheetViews>
  <sheetFormatPr defaultColWidth="8.44140625" defaultRowHeight="15"/>
  <cols>
    <col min="1" max="1" width="7.5546875" style="1" customWidth="1"/>
    <col min="2" max="2" width="3.33203125" style="1" customWidth="1"/>
    <col min="3" max="3" width="47.44140625" style="1" customWidth="1"/>
    <col min="4" max="4" width="3" style="1" customWidth="1"/>
    <col min="5" max="5" width="7.33203125" style="1" customWidth="1"/>
    <col min="6" max="7" width="9.88671875" style="1" customWidth="1"/>
    <col min="8" max="8" width="14.88671875" style="1" bestFit="1" customWidth="1"/>
    <col min="9" max="9" width="6" style="1" bestFit="1" customWidth="1"/>
    <col min="10" max="10" width="11.88671875" style="1" customWidth="1"/>
    <col min="11" max="11" width="3.77734375" style="1" customWidth="1"/>
    <col min="12" max="12" width="15.77734375" style="1" customWidth="1"/>
    <col min="13" max="14" width="9.33203125" style="1" customWidth="1"/>
    <col min="15" max="15" width="8.6640625" style="1" customWidth="1"/>
    <col min="16" max="16" width="8" style="1" customWidth="1"/>
    <col min="17" max="17" width="10.77734375" style="1" customWidth="1"/>
    <col min="18" max="18" width="10.21875" style="1" customWidth="1"/>
    <col min="19" max="16384" width="8.44140625" style="1"/>
  </cols>
  <sheetData>
    <row r="1" spans="1:16">
      <c r="A1" s="172" t="str">
        <f>'Table of Contents'!A1:C1</f>
        <v>Atmos Energy Corporation, Kentucky/Mid-States Division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/>
      <c r="P1"/>
    </row>
    <row r="2" spans="1:16">
      <c r="A2" s="172" t="str">
        <f>'Table of Contents'!A2:C2</f>
        <v>Kentucky Jurisdiction Case No. 2017-00349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/>
      <c r="P2"/>
    </row>
    <row r="3" spans="1:16">
      <c r="A3" s="89" t="s">
        <v>498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/>
      <c r="P3"/>
    </row>
    <row r="4" spans="1:16">
      <c r="A4" s="89" t="str">
        <f>'Table of Contents'!A3:C3</f>
        <v>Base Period: Twelve Months Ended December 31, 2017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/>
      <c r="P4"/>
    </row>
    <row r="5" spans="1:16">
      <c r="A5" s="89" t="str">
        <f>'Table of Contents'!A4:C4</f>
        <v>Forecasted Test Period: Twelve Months Ended March 31, 2019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/>
      <c r="P5"/>
    </row>
    <row r="6" spans="1:16">
      <c r="A6" s="174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/>
      <c r="P6"/>
    </row>
    <row r="7" spans="1:16">
      <c r="A7" s="90" t="s">
        <v>199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377" t="s">
        <v>1437</v>
      </c>
      <c r="M7" s="92"/>
      <c r="N7" s="92"/>
      <c r="O7"/>
      <c r="P7"/>
    </row>
    <row r="8" spans="1:16">
      <c r="A8" s="90" t="s">
        <v>1131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562" t="s">
        <v>631</v>
      </c>
      <c r="M8" s="92"/>
      <c r="N8" s="92"/>
      <c r="O8"/>
      <c r="P8"/>
    </row>
    <row r="9" spans="1:16">
      <c r="A9" s="91" t="s">
        <v>369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608" t="str">
        <f>F.1!$F$9</f>
        <v>Witness: Waller</v>
      </c>
      <c r="M9" s="93"/>
      <c r="N9" s="803"/>
      <c r="O9"/>
      <c r="P9"/>
    </row>
    <row r="10" spans="1:16" ht="15.75">
      <c r="A10" s="92"/>
      <c r="B10" s="92"/>
      <c r="C10" s="115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3"/>
      <c r="O10"/>
      <c r="P10"/>
    </row>
    <row r="11" spans="1:16">
      <c r="A11" s="92"/>
      <c r="B11" s="92"/>
      <c r="C11" s="92"/>
      <c r="D11" s="92"/>
      <c r="E11" s="92"/>
      <c r="F11" s="92"/>
      <c r="G11" s="92"/>
      <c r="H11" s="401" t="s">
        <v>328</v>
      </c>
      <c r="I11" s="93"/>
      <c r="J11" s="93"/>
      <c r="K11" s="93"/>
      <c r="L11" s="401" t="s">
        <v>329</v>
      </c>
      <c r="M11" s="93"/>
      <c r="N11" s="93"/>
      <c r="O11"/>
      <c r="P11"/>
    </row>
    <row r="12" spans="1:16">
      <c r="A12" s="100" t="s">
        <v>94</v>
      </c>
      <c r="B12" s="92"/>
      <c r="C12" s="92"/>
      <c r="D12" s="648"/>
      <c r="E12" s="648" t="s">
        <v>1250</v>
      </c>
      <c r="F12" s="648"/>
      <c r="G12" s="648"/>
      <c r="H12" s="401" t="s">
        <v>103</v>
      </c>
      <c r="I12" s="93"/>
      <c r="J12" s="93"/>
      <c r="K12" s="93"/>
      <c r="L12" s="401" t="s">
        <v>103</v>
      </c>
      <c r="M12" s="92"/>
      <c r="N12" s="92"/>
      <c r="O12"/>
      <c r="P12"/>
    </row>
    <row r="13" spans="1:16">
      <c r="A13" s="101" t="s">
        <v>100</v>
      </c>
      <c r="B13" s="92"/>
      <c r="C13" s="101" t="s">
        <v>993</v>
      </c>
      <c r="D13" s="401"/>
      <c r="E13" s="405" t="s">
        <v>1248</v>
      </c>
      <c r="F13" s="401"/>
      <c r="G13" s="401"/>
      <c r="H13" s="101" t="s">
        <v>467</v>
      </c>
      <c r="I13" s="92"/>
      <c r="J13" s="101" t="s">
        <v>995</v>
      </c>
      <c r="K13" s="92"/>
      <c r="L13" s="101" t="s">
        <v>467</v>
      </c>
      <c r="M13" s="92"/>
      <c r="N13" s="92"/>
      <c r="O13"/>
      <c r="P13"/>
    </row>
    <row r="14" spans="1:16">
      <c r="A14" s="92"/>
      <c r="B14" s="92"/>
      <c r="C14" s="92"/>
      <c r="D14" s="92"/>
      <c r="E14" s="92"/>
      <c r="F14" s="92"/>
      <c r="G14" s="92"/>
      <c r="H14" s="100"/>
      <c r="I14" s="92"/>
      <c r="J14" s="100"/>
      <c r="K14" s="90"/>
      <c r="L14" s="100"/>
      <c r="M14" s="92"/>
      <c r="N14" s="92"/>
      <c r="O14"/>
      <c r="P14"/>
    </row>
    <row r="15" spans="1:16">
      <c r="A15" s="100" t="s">
        <v>370</v>
      </c>
      <c r="B15" s="92"/>
      <c r="C15" s="16" t="s">
        <v>1673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/>
      <c r="P15"/>
    </row>
    <row r="16" spans="1:16">
      <c r="A16" s="100">
        <f>A15+1</f>
        <v>2</v>
      </c>
      <c r="B16" s="92"/>
      <c r="C16" s="92"/>
      <c r="D16" s="92"/>
      <c r="E16" s="92"/>
      <c r="F16" s="92"/>
      <c r="G16" s="92"/>
      <c r="H16" s="103"/>
      <c r="I16" s="92"/>
      <c r="J16" s="92"/>
      <c r="K16" s="92"/>
      <c r="L16" s="103"/>
      <c r="M16" s="92"/>
      <c r="N16" s="92"/>
      <c r="O16"/>
      <c r="P16"/>
    </row>
    <row r="17" spans="1:17">
      <c r="A17" s="100">
        <f t="shared" ref="A17:A32" si="0">A16+1</f>
        <v>3</v>
      </c>
      <c r="B17" s="92"/>
      <c r="C17" s="16" t="s">
        <v>422</v>
      </c>
      <c r="D17" s="92"/>
      <c r="E17" s="92"/>
      <c r="F17" s="92"/>
      <c r="G17" s="92"/>
      <c r="H17" s="429"/>
      <c r="I17" s="92"/>
      <c r="J17" s="92"/>
      <c r="K17" s="92"/>
      <c r="L17" s="103"/>
      <c r="M17" s="92"/>
      <c r="N17" s="92"/>
      <c r="O17"/>
      <c r="P17"/>
    </row>
    <row r="18" spans="1:17">
      <c r="A18" s="100">
        <f t="shared" si="0"/>
        <v>4</v>
      </c>
      <c r="B18" s="92"/>
      <c r="C18" s="90" t="s">
        <v>1106</v>
      </c>
      <c r="D18" s="92"/>
      <c r="E18" s="92"/>
      <c r="F18" s="92"/>
      <c r="G18" s="92"/>
      <c r="H18" s="574">
        <v>2988233.1100000003</v>
      </c>
      <c r="I18" s="103"/>
      <c r="J18" s="574">
        <f>L18-H18</f>
        <v>119529.32440000027</v>
      </c>
      <c r="K18" s="103"/>
      <c r="L18" s="574">
        <f>H18*1.04</f>
        <v>3107762.4344000006</v>
      </c>
      <c r="M18" s="55"/>
      <c r="N18" s="55"/>
      <c r="O18"/>
      <c r="P18" s="594"/>
      <c r="Q18" s="594"/>
    </row>
    <row r="19" spans="1:17">
      <c r="A19" s="100">
        <f t="shared" si="0"/>
        <v>5</v>
      </c>
      <c r="B19" s="92"/>
      <c r="C19" s="90" t="s">
        <v>1107</v>
      </c>
      <c r="D19" s="92"/>
      <c r="E19" s="92"/>
      <c r="F19" s="92"/>
      <c r="G19" s="92"/>
      <c r="H19" s="108">
        <v>7179963.5133100003</v>
      </c>
      <c r="I19" s="103"/>
      <c r="J19" s="109">
        <f>L19-H19</f>
        <v>287198.5405323999</v>
      </c>
      <c r="K19" s="103"/>
      <c r="L19" s="574">
        <f>H19*1.04</f>
        <v>7467162.0538424002</v>
      </c>
      <c r="M19" s="90"/>
      <c r="N19" s="90"/>
      <c r="O19"/>
      <c r="P19" s="645"/>
      <c r="Q19" s="645"/>
    </row>
    <row r="20" spans="1:17">
      <c r="A20" s="100">
        <f t="shared" si="0"/>
        <v>6</v>
      </c>
      <c r="B20" s="92"/>
      <c r="C20" s="90" t="s">
        <v>1108</v>
      </c>
      <c r="D20" s="92"/>
      <c r="E20" s="92"/>
      <c r="F20" s="92"/>
      <c r="G20" s="92"/>
      <c r="H20" s="704">
        <f>SUM(H18:H19)</f>
        <v>10168196.62331</v>
      </c>
      <c r="I20" s="103"/>
      <c r="J20" s="574">
        <f>SUM(J18:J19)</f>
        <v>406727.86493240017</v>
      </c>
      <c r="K20" s="103"/>
      <c r="L20" s="704">
        <f>SUM(L18:L19)</f>
        <v>10574924.488242401</v>
      </c>
      <c r="M20" s="92"/>
      <c r="O20"/>
      <c r="P20" s="645"/>
      <c r="Q20" s="645"/>
    </row>
    <row r="21" spans="1:17">
      <c r="A21" s="100">
        <f t="shared" si="0"/>
        <v>7</v>
      </c>
      <c r="B21" s="92"/>
      <c r="C21" s="92"/>
      <c r="D21" s="92"/>
      <c r="E21" s="92"/>
      <c r="F21" s="92"/>
      <c r="G21" s="92"/>
      <c r="H21" s="108"/>
      <c r="I21" s="103"/>
      <c r="J21" s="108"/>
      <c r="K21" s="103"/>
      <c r="L21" s="108"/>
      <c r="M21" s="92"/>
      <c r="O21"/>
      <c r="P21" s="645"/>
      <c r="Q21" s="645"/>
    </row>
    <row r="22" spans="1:17">
      <c r="A22" s="100">
        <f t="shared" si="0"/>
        <v>8</v>
      </c>
      <c r="B22" s="92"/>
      <c r="C22" s="16" t="s">
        <v>623</v>
      </c>
      <c r="D22" s="594"/>
      <c r="E22" s="92" t="s">
        <v>1694</v>
      </c>
      <c r="F22" s="92" t="s">
        <v>1695</v>
      </c>
      <c r="G22" s="92" t="s">
        <v>1696</v>
      </c>
      <c r="H22" s="103"/>
      <c r="I22" s="103"/>
      <c r="J22" s="103"/>
      <c r="K22" s="103"/>
      <c r="L22" s="103"/>
      <c r="M22" s="92"/>
    </row>
    <row r="23" spans="1:17">
      <c r="A23" s="100">
        <f t="shared" si="0"/>
        <v>9</v>
      </c>
      <c r="B23" s="92"/>
      <c r="C23" s="90" t="s">
        <v>1109</v>
      </c>
      <c r="D23" s="645"/>
      <c r="E23" s="55">
        <v>7.3999999999999996E-2</v>
      </c>
      <c r="F23" s="55">
        <v>0.06</v>
      </c>
      <c r="G23" s="55">
        <v>6.3500000000000001E-2</v>
      </c>
      <c r="H23" s="574">
        <f>H$18*G23</f>
        <v>189752.80248500002</v>
      </c>
      <c r="I23" s="103"/>
      <c r="J23" s="574">
        <f>L23-H23</f>
        <v>7590.112099400023</v>
      </c>
      <c r="K23" s="103"/>
      <c r="L23" s="574">
        <f>L$18*G23</f>
        <v>197342.91458440004</v>
      </c>
      <c r="M23" s="92"/>
      <c r="P23" s="645"/>
      <c r="Q23" s="645"/>
    </row>
    <row r="24" spans="1:17">
      <c r="A24" s="100">
        <f t="shared" si="0"/>
        <v>10</v>
      </c>
      <c r="B24" s="92"/>
      <c r="C24" s="90" t="s">
        <v>1653</v>
      </c>
      <c r="D24" s="645"/>
      <c r="E24" s="55"/>
      <c r="F24" s="55"/>
      <c r="G24" s="55"/>
      <c r="H24" s="574">
        <v>4157744.0100000002</v>
      </c>
      <c r="I24" s="103"/>
      <c r="J24" s="686">
        <f>L24-H24</f>
        <v>166309.76040000049</v>
      </c>
      <c r="K24" s="103"/>
      <c r="L24" s="574">
        <f>H24*1.04</f>
        <v>4324053.7704000007</v>
      </c>
      <c r="M24" s="92"/>
      <c r="P24" s="645"/>
      <c r="Q24" s="645"/>
    </row>
    <row r="25" spans="1:17">
      <c r="A25" s="100">
        <f t="shared" si="0"/>
        <v>11</v>
      </c>
      <c r="B25" s="92"/>
      <c r="C25" s="90" t="s">
        <v>1110</v>
      </c>
      <c r="D25" s="645"/>
      <c r="E25" s="55">
        <v>0.27700000000000002</v>
      </c>
      <c r="F25" s="55">
        <v>0.27999999999999997</v>
      </c>
      <c r="G25" s="55">
        <v>0.27925</v>
      </c>
      <c r="H25" s="109">
        <f>H$18*G25</f>
        <v>834464.09596750012</v>
      </c>
      <c r="I25" s="103"/>
      <c r="J25" s="109">
        <f>L25-H25</f>
        <v>33378.563838700065</v>
      </c>
      <c r="K25" s="103"/>
      <c r="L25" s="109">
        <f>L$18*G25</f>
        <v>867842.65980620019</v>
      </c>
      <c r="M25" s="92"/>
      <c r="P25" s="645"/>
    </row>
    <row r="26" spans="1:17">
      <c r="A26" s="100">
        <f t="shared" si="0"/>
        <v>12</v>
      </c>
      <c r="B26" s="92"/>
      <c r="C26" s="90" t="s">
        <v>1111</v>
      </c>
      <c r="D26" s="92"/>
      <c r="E26" s="92"/>
      <c r="F26" s="92"/>
      <c r="G26" s="92"/>
      <c r="H26" s="574">
        <f>SUM(H23:H25)</f>
        <v>5181960.9084525006</v>
      </c>
      <c r="I26" s="103"/>
      <c r="J26" s="574">
        <f>SUM(J23:J25)</f>
        <v>207278.43633810058</v>
      </c>
      <c r="K26" s="103"/>
      <c r="L26" s="574">
        <f>SUM(L23:L25)</f>
        <v>5389239.3447906012</v>
      </c>
      <c r="M26" s="92"/>
      <c r="O26"/>
      <c r="P26"/>
    </row>
    <row r="27" spans="1:17">
      <c r="A27" s="100">
        <f t="shared" si="0"/>
        <v>13</v>
      </c>
      <c r="B27" s="92"/>
      <c r="C27" s="92"/>
      <c r="D27" s="92"/>
      <c r="E27" s="92"/>
      <c r="F27" s="92"/>
      <c r="G27" s="92"/>
      <c r="H27" s="103"/>
      <c r="I27" s="103"/>
      <c r="J27" s="103"/>
      <c r="K27" s="103"/>
      <c r="L27" s="103"/>
      <c r="M27" s="92"/>
      <c r="O27"/>
      <c r="P27"/>
    </row>
    <row r="28" spans="1:17">
      <c r="A28" s="100">
        <f t="shared" si="0"/>
        <v>14</v>
      </c>
      <c r="B28" s="92"/>
      <c r="C28" s="16" t="s">
        <v>805</v>
      </c>
      <c r="D28" s="92"/>
      <c r="E28" s="92"/>
      <c r="F28" s="92"/>
      <c r="G28" s="92"/>
      <c r="H28" s="108"/>
      <c r="I28" s="425"/>
      <c r="J28" s="108"/>
      <c r="K28" s="103"/>
      <c r="L28" s="108" t="s">
        <v>327</v>
      </c>
      <c r="M28" s="92"/>
      <c r="N28" s="645"/>
      <c r="O28"/>
      <c r="P28"/>
    </row>
    <row r="29" spans="1:17">
      <c r="A29" s="100">
        <f t="shared" si="0"/>
        <v>15</v>
      </c>
      <c r="B29" s="92"/>
      <c r="C29" s="90" t="s">
        <v>1655</v>
      </c>
      <c r="D29" s="92"/>
      <c r="E29" s="92"/>
      <c r="F29" s="92"/>
      <c r="G29" s="92"/>
      <c r="H29" s="574">
        <v>254050.24</v>
      </c>
      <c r="I29" s="425"/>
      <c r="J29" s="574">
        <f>L29-H29</f>
        <v>10162.00959999999</v>
      </c>
      <c r="K29" s="103"/>
      <c r="L29" s="574">
        <v>264212.24959999998</v>
      </c>
      <c r="M29" s="92"/>
      <c r="N29" s="645"/>
      <c r="O29"/>
      <c r="P29"/>
    </row>
    <row r="30" spans="1:17">
      <c r="A30" s="100">
        <f t="shared" si="0"/>
        <v>16</v>
      </c>
      <c r="B30" s="92"/>
      <c r="C30" s="90" t="s">
        <v>689</v>
      </c>
      <c r="D30" s="92"/>
      <c r="E30" s="92"/>
      <c r="F30" s="92"/>
      <c r="G30" s="92"/>
      <c r="H30" s="704">
        <f>SUM(H29:H29)</f>
        <v>254050.24</v>
      </c>
      <c r="I30" s="92"/>
      <c r="J30" s="574">
        <f>SUM(J29:J29)</f>
        <v>10162.00959999999</v>
      </c>
      <c r="K30" s="92"/>
      <c r="L30" s="704">
        <f>SUM(L29:L29)</f>
        <v>264212.24959999998</v>
      </c>
      <c r="M30" s="92"/>
      <c r="N30" s="92"/>
      <c r="O30"/>
      <c r="P30"/>
    </row>
    <row r="31" spans="1:17">
      <c r="A31" s="100">
        <f t="shared" si="0"/>
        <v>17</v>
      </c>
      <c r="B31" s="92"/>
      <c r="C31" s="92"/>
      <c r="D31" s="92"/>
      <c r="E31" s="92"/>
      <c r="F31" s="92"/>
      <c r="G31" s="92"/>
      <c r="H31" s="108"/>
      <c r="I31" s="92"/>
      <c r="J31" s="108"/>
      <c r="K31" s="92"/>
      <c r="L31" s="108" t="s">
        <v>327</v>
      </c>
      <c r="M31" s="92"/>
      <c r="N31" s="92"/>
      <c r="O31"/>
      <c r="P31"/>
    </row>
    <row r="32" spans="1:17" ht="15.75" thickBot="1">
      <c r="A32" s="100">
        <f t="shared" si="0"/>
        <v>18</v>
      </c>
      <c r="B32" s="92"/>
      <c r="C32" s="90" t="s">
        <v>690</v>
      </c>
      <c r="D32" s="92"/>
      <c r="E32" s="92"/>
      <c r="F32" s="92"/>
      <c r="G32" s="92"/>
      <c r="H32" s="706">
        <f>(+H20+H26+H30)</f>
        <v>15604207.7717625</v>
      </c>
      <c r="I32" s="92"/>
      <c r="J32" s="706">
        <f>(+J20+J26+J30)</f>
        <v>624168.31087050075</v>
      </c>
      <c r="K32" s="92"/>
      <c r="L32" s="706">
        <f>(+L20+L26+L30)</f>
        <v>16228376.082633004</v>
      </c>
      <c r="M32" s="92"/>
      <c r="N32" s="92"/>
      <c r="O32"/>
      <c r="P32"/>
    </row>
    <row r="33" spans="1:16" ht="15.75" thickTop="1">
      <c r="A33" s="92"/>
      <c r="B33" s="92"/>
      <c r="C33" s="92"/>
      <c r="D33" s="92"/>
      <c r="E33" s="92"/>
      <c r="F33" s="92"/>
      <c r="G33" s="92"/>
      <c r="H33" s="106"/>
      <c r="I33" s="92"/>
      <c r="J33" s="106"/>
      <c r="K33" s="92"/>
      <c r="L33" s="134" t="s">
        <v>327</v>
      </c>
      <c r="M33" s="92"/>
      <c r="N33" s="92"/>
      <c r="O33"/>
      <c r="P33"/>
    </row>
    <row r="34" spans="1:16">
      <c r="A34" t="s">
        <v>841</v>
      </c>
      <c r="B34" s="90"/>
      <c r="C34" s="92"/>
      <c r="D34" s="92"/>
      <c r="E34" s="92"/>
      <c r="F34" s="92"/>
      <c r="G34" s="92"/>
      <c r="H34" s="106"/>
      <c r="I34" s="92"/>
      <c r="J34" s="106"/>
      <c r="K34" s="92"/>
      <c r="L34" s="106"/>
      <c r="M34" s="92"/>
      <c r="N34" s="92"/>
      <c r="O34"/>
      <c r="P34"/>
    </row>
    <row r="35" spans="1:16">
      <c r="B35" s="90"/>
      <c r="C35" s="92"/>
      <c r="D35" s="92"/>
      <c r="E35" s="92"/>
      <c r="F35" s="92"/>
      <c r="G35" s="92"/>
      <c r="H35" s="106"/>
      <c r="I35" s="92"/>
      <c r="J35" s="106"/>
      <c r="K35" s="92"/>
      <c r="L35" s="106"/>
      <c r="M35" s="92"/>
      <c r="N35" s="92"/>
      <c r="O35"/>
      <c r="P35"/>
    </row>
    <row r="36" spans="1:16">
      <c r="A36" s="650" t="s">
        <v>396</v>
      </c>
      <c r="C36" s="90"/>
      <c r="D36" s="92"/>
      <c r="E36" s="594"/>
      <c r="F36" s="92"/>
      <c r="G36" s="92"/>
      <c r="H36" s="108"/>
      <c r="I36" s="92"/>
      <c r="J36" s="108"/>
      <c r="K36" s="92"/>
      <c r="L36" s="108"/>
      <c r="M36" s="92"/>
      <c r="N36" s="92"/>
      <c r="O36"/>
      <c r="P36"/>
    </row>
    <row r="37" spans="1:16">
      <c r="A37" s="92" t="s">
        <v>1674</v>
      </c>
      <c r="C37" s="92"/>
      <c r="D37" s="92"/>
      <c r="E37" s="92"/>
      <c r="F37" s="92"/>
      <c r="G37" s="92"/>
      <c r="H37" s="106"/>
      <c r="I37" s="92"/>
      <c r="J37" s="106"/>
      <c r="K37" s="92"/>
      <c r="L37" s="106"/>
      <c r="M37" s="92"/>
      <c r="N37" s="92"/>
      <c r="O37"/>
      <c r="P37"/>
    </row>
    <row r="38" spans="1:16">
      <c r="A38" s="92" t="s">
        <v>1675</v>
      </c>
      <c r="C38" s="92"/>
      <c r="D38" s="92"/>
      <c r="E38" s="92"/>
      <c r="F38" s="92"/>
      <c r="G38" s="92"/>
      <c r="H38" s="106"/>
      <c r="I38" s="92"/>
      <c r="J38" s="106"/>
      <c r="K38" s="92"/>
      <c r="L38" s="106"/>
      <c r="M38" s="92"/>
      <c r="N38" s="92"/>
      <c r="O38"/>
      <c r="P38"/>
    </row>
    <row r="39" spans="1:16">
      <c r="A39" s="92" t="s">
        <v>1676</v>
      </c>
      <c r="C39" s="92"/>
      <c r="D39" s="92"/>
      <c r="E39" s="92"/>
      <c r="F39" s="92"/>
      <c r="G39" s="92"/>
      <c r="H39" s="92"/>
      <c r="I39" s="55"/>
      <c r="J39" s="92"/>
      <c r="K39" s="92"/>
      <c r="L39" s="92"/>
      <c r="M39" s="92"/>
      <c r="N39" s="92"/>
      <c r="O39"/>
      <c r="P39"/>
    </row>
    <row r="40" spans="1:16">
      <c r="A40" s="92" t="s">
        <v>1677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/>
      <c r="P40"/>
    </row>
    <row r="41" spans="1:16">
      <c r="A41" s="92" t="s">
        <v>1678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/>
      <c r="P41"/>
    </row>
    <row r="42" spans="1:16">
      <c r="A42" s="92" t="s">
        <v>1679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/>
      <c r="P42"/>
    </row>
    <row r="43" spans="1:16">
      <c r="A43" s="1" t="s">
        <v>1680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/>
      <c r="P43"/>
    </row>
    <row r="44" spans="1:16"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798"/>
      <c r="P44" s="798"/>
    </row>
    <row r="45" spans="1:16">
      <c r="A45" s="236" t="s">
        <v>397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/>
      <c r="P45"/>
    </row>
    <row r="46" spans="1:16">
      <c r="A46" s="92" t="s">
        <v>1654</v>
      </c>
      <c r="B46"/>
      <c r="C46"/>
      <c r="D46"/>
      <c r="E46"/>
      <c r="F46"/>
      <c r="G46" s="798"/>
      <c r="H46"/>
      <c r="I46"/>
      <c r="J46"/>
      <c r="K46"/>
      <c r="L46"/>
      <c r="M46"/>
      <c r="N46"/>
      <c r="O46"/>
      <c r="P46"/>
    </row>
    <row r="47" spans="1:16">
      <c r="B47"/>
      <c r="C47"/>
      <c r="D47"/>
      <c r="E47"/>
      <c r="F47"/>
      <c r="G47" s="798"/>
      <c r="H47"/>
      <c r="I47"/>
      <c r="J47"/>
      <c r="K47"/>
      <c r="L47"/>
      <c r="M47"/>
      <c r="N47"/>
      <c r="O47"/>
      <c r="P47"/>
    </row>
    <row r="48" spans="1:16">
      <c r="A48" t="s">
        <v>1247</v>
      </c>
      <c r="B48"/>
      <c r="D48"/>
      <c r="E48"/>
      <c r="F48"/>
      <c r="G48" s="798"/>
      <c r="H48"/>
      <c r="I48"/>
      <c r="J48"/>
      <c r="K48"/>
      <c r="L48"/>
      <c r="M48"/>
      <c r="N48"/>
      <c r="O48"/>
      <c r="P48"/>
    </row>
    <row r="49" spans="1:16">
      <c r="A49" s="705" t="s">
        <v>1669</v>
      </c>
      <c r="B49" s="80"/>
      <c r="C49" s="81"/>
      <c r="D49" s="80"/>
      <c r="E49" s="80"/>
      <c r="F49" s="80"/>
      <c r="G49" s="80"/>
      <c r="H49" s="80"/>
      <c r="I49"/>
      <c r="J49"/>
      <c r="K49"/>
      <c r="L49" s="594"/>
      <c r="M49"/>
      <c r="N49"/>
      <c r="O49"/>
      <c r="P49"/>
    </row>
    <row r="50" spans="1:16">
      <c r="A50"/>
      <c r="B50"/>
      <c r="C50" s="644"/>
      <c r="D50"/>
      <c r="E50"/>
      <c r="F50"/>
      <c r="G50" s="798"/>
      <c r="H50"/>
      <c r="I50"/>
      <c r="J50"/>
      <c r="K50"/>
      <c r="L50"/>
      <c r="M50"/>
      <c r="N50"/>
      <c r="O50"/>
      <c r="P50"/>
    </row>
    <row r="51" spans="1:16">
      <c r="A51"/>
      <c r="B51"/>
      <c r="C51"/>
      <c r="D51"/>
      <c r="E51"/>
      <c r="F51"/>
      <c r="G51" s="798"/>
      <c r="H51"/>
      <c r="I51"/>
      <c r="J51"/>
      <c r="K51"/>
      <c r="L51"/>
      <c r="M51"/>
      <c r="N51"/>
      <c r="O51"/>
      <c r="P51"/>
    </row>
    <row r="52" spans="1:16">
      <c r="A52"/>
      <c r="B52"/>
      <c r="C52"/>
      <c r="D52"/>
      <c r="E52"/>
      <c r="F52"/>
      <c r="G52" s="798"/>
      <c r="H52"/>
      <c r="I52"/>
      <c r="J52"/>
      <c r="K52"/>
      <c r="L52"/>
      <c r="M52"/>
      <c r="N52"/>
      <c r="O52"/>
      <c r="P52"/>
    </row>
    <row r="53" spans="1:16">
      <c r="A53"/>
      <c r="B53"/>
      <c r="C53"/>
      <c r="D53"/>
      <c r="E53"/>
      <c r="F53"/>
      <c r="G53" s="798"/>
      <c r="H53"/>
      <c r="I53"/>
      <c r="J53"/>
      <c r="K53"/>
      <c r="L53"/>
      <c r="M53"/>
      <c r="N53"/>
      <c r="O53"/>
      <c r="P53"/>
    </row>
    <row r="54" spans="1:16">
      <c r="A54"/>
      <c r="B54"/>
      <c r="C54"/>
      <c r="D54"/>
      <c r="E54"/>
      <c r="F54"/>
      <c r="G54" s="798"/>
      <c r="H54"/>
      <c r="I54"/>
      <c r="J54"/>
      <c r="K54"/>
      <c r="L54"/>
      <c r="M54"/>
      <c r="N54"/>
      <c r="O54"/>
      <c r="P54"/>
    </row>
    <row r="55" spans="1:16">
      <c r="A55"/>
      <c r="B55"/>
      <c r="C55"/>
      <c r="D55"/>
      <c r="E55"/>
      <c r="F55"/>
      <c r="G55" s="798"/>
      <c r="H55"/>
      <c r="I55"/>
      <c r="J55"/>
      <c r="K55"/>
      <c r="L55"/>
      <c r="M55"/>
      <c r="N55"/>
      <c r="O55"/>
      <c r="P55"/>
    </row>
    <row r="56" spans="1:16">
      <c r="A56"/>
      <c r="B56"/>
      <c r="C56"/>
      <c r="D56"/>
      <c r="E56"/>
      <c r="F56"/>
      <c r="G56" s="798"/>
      <c r="H56"/>
      <c r="I56"/>
      <c r="J56"/>
      <c r="K56"/>
      <c r="L56"/>
      <c r="M56"/>
      <c r="N56"/>
      <c r="O56"/>
      <c r="P56"/>
    </row>
    <row r="57" spans="1:16">
      <c r="A57"/>
      <c r="B57"/>
      <c r="C57"/>
      <c r="D57"/>
      <c r="E57"/>
      <c r="F57"/>
      <c r="G57" s="798"/>
      <c r="H57"/>
      <c r="I57"/>
      <c r="J57"/>
      <c r="K57"/>
      <c r="L57"/>
      <c r="M57"/>
      <c r="N57"/>
      <c r="O57"/>
      <c r="P57"/>
    </row>
    <row r="58" spans="1:16">
      <c r="A58"/>
      <c r="B58"/>
      <c r="C58"/>
      <c r="D58"/>
      <c r="E58"/>
      <c r="F58"/>
      <c r="G58" s="798"/>
      <c r="H58"/>
      <c r="I58"/>
      <c r="J58"/>
      <c r="K58"/>
      <c r="L58"/>
      <c r="M58"/>
      <c r="N58"/>
      <c r="O58"/>
      <c r="P58"/>
    </row>
    <row r="59" spans="1:16">
      <c r="A59"/>
      <c r="B59"/>
      <c r="C59"/>
      <c r="D59"/>
      <c r="E59"/>
      <c r="F59"/>
      <c r="G59" s="798"/>
      <c r="H59"/>
      <c r="I59"/>
      <c r="J59"/>
      <c r="K59"/>
      <c r="L59"/>
      <c r="M59"/>
      <c r="N59"/>
      <c r="O59"/>
      <c r="P59"/>
    </row>
    <row r="60" spans="1:16">
      <c r="A60"/>
      <c r="B60"/>
      <c r="C60"/>
      <c r="D60"/>
      <c r="E60"/>
      <c r="F60"/>
      <c r="G60" s="798"/>
      <c r="H60"/>
      <c r="I60"/>
      <c r="J60"/>
      <c r="K60"/>
      <c r="L60"/>
      <c r="M60"/>
      <c r="N60"/>
      <c r="O60"/>
      <c r="P60"/>
    </row>
    <row r="61" spans="1:16">
      <c r="A61"/>
      <c r="B61"/>
      <c r="C61"/>
      <c r="D61"/>
      <c r="E61"/>
      <c r="F61"/>
      <c r="G61" s="798"/>
      <c r="H61"/>
      <c r="I61"/>
      <c r="J61"/>
      <c r="K61"/>
      <c r="L61"/>
      <c r="M61"/>
      <c r="N61"/>
      <c r="O61"/>
      <c r="P61"/>
    </row>
    <row r="62" spans="1:16">
      <c r="A62"/>
      <c r="B62"/>
      <c r="C62"/>
      <c r="D62"/>
      <c r="E62"/>
      <c r="F62"/>
      <c r="G62" s="798"/>
      <c r="H62"/>
      <c r="I62"/>
      <c r="J62"/>
      <c r="K62"/>
      <c r="L62"/>
      <c r="M62"/>
      <c r="N62"/>
      <c r="O62"/>
      <c r="P62"/>
    </row>
    <row r="63" spans="1:16">
      <c r="A63"/>
      <c r="B63"/>
      <c r="C63"/>
      <c r="D63"/>
      <c r="E63"/>
      <c r="F63"/>
      <c r="G63" s="798"/>
      <c r="H63"/>
      <c r="I63"/>
      <c r="J63"/>
      <c r="K63"/>
      <c r="L63"/>
      <c r="M63"/>
      <c r="N63"/>
      <c r="O63"/>
      <c r="P63"/>
    </row>
    <row r="64" spans="1:16">
      <c r="A64"/>
      <c r="B64"/>
      <c r="C64"/>
      <c r="D64"/>
      <c r="E64"/>
      <c r="F64"/>
      <c r="G64" s="798"/>
      <c r="H64"/>
      <c r="I64"/>
      <c r="J64"/>
      <c r="K64"/>
      <c r="L64"/>
      <c r="M64"/>
      <c r="N64"/>
      <c r="O64"/>
      <c r="P64"/>
    </row>
    <row r="65" spans="1:16">
      <c r="A65"/>
      <c r="B65"/>
      <c r="C65"/>
      <c r="D65"/>
      <c r="E65"/>
      <c r="F65"/>
      <c r="G65" s="798"/>
      <c r="H65"/>
      <c r="I65"/>
      <c r="J65"/>
      <c r="K65"/>
      <c r="L65"/>
      <c r="M65"/>
      <c r="N65"/>
      <c r="O65"/>
      <c r="P65"/>
    </row>
    <row r="66" spans="1:16">
      <c r="A66"/>
      <c r="B66"/>
      <c r="C66"/>
      <c r="D66"/>
      <c r="E66"/>
      <c r="F66"/>
      <c r="G66" s="798"/>
      <c r="H66"/>
      <c r="I66"/>
      <c r="J66"/>
      <c r="K66"/>
      <c r="L66"/>
      <c r="M66"/>
      <c r="N66"/>
      <c r="O66"/>
      <c r="P66"/>
    </row>
  </sheetData>
  <phoneticPr fontId="22" type="noConversion"/>
  <printOptions horizontalCentered="1"/>
  <pageMargins left="0.5" right="0.5" top="0.75" bottom="0.52" header="0.25" footer="0.25"/>
  <pageSetup scale="75" orientation="landscape" verticalDpi="300" r:id="rId1"/>
  <headerFooter alignWithMargins="0">
    <oddFooter>&amp;RSchedule &amp;A
Page &amp;P of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G44"/>
  <sheetViews>
    <sheetView view="pageBreakPreview" zoomScale="80" zoomScaleNormal="100" zoomScaleSheetLayoutView="80" workbookViewId="0">
      <selection activeCell="F45" sqref="F45"/>
    </sheetView>
  </sheetViews>
  <sheetFormatPr defaultColWidth="9.6640625" defaultRowHeight="15"/>
  <cols>
    <col min="1" max="1" width="9.6640625" style="1"/>
    <col min="2" max="2" width="34.77734375" style="1" customWidth="1"/>
    <col min="3" max="3" width="6.77734375" style="1" customWidth="1"/>
    <col min="4" max="4" width="15.88671875" style="1" customWidth="1"/>
    <col min="5" max="5" width="15.77734375" style="1" customWidth="1"/>
    <col min="6" max="16384" width="9.6640625" style="1"/>
  </cols>
  <sheetData>
    <row r="1" spans="1:7">
      <c r="A1" s="1172" t="str">
        <f>'Table of Contents'!A1:C1</f>
        <v>Atmos Energy Corporation, Kentucky/Mid-States Division</v>
      </c>
      <c r="B1" s="1172"/>
      <c r="C1" s="1172"/>
      <c r="D1" s="1172"/>
      <c r="E1" s="1172"/>
    </row>
    <row r="2" spans="1:7">
      <c r="A2" s="1172" t="str">
        <f>'Table of Contents'!A2:C2</f>
        <v>Kentucky Jurisdiction Case No. 2017-00349</v>
      </c>
      <c r="B2" s="1172"/>
      <c r="C2" s="1172"/>
      <c r="D2" s="1172"/>
      <c r="E2" s="1172"/>
    </row>
    <row r="3" spans="1:7">
      <c r="A3" s="1172" t="s">
        <v>617</v>
      </c>
      <c r="B3" s="1172"/>
      <c r="C3" s="1172"/>
      <c r="D3" s="1172"/>
      <c r="E3" s="1172"/>
    </row>
    <row r="4" spans="1:7">
      <c r="A4" s="1172" t="str">
        <f>'Table of Contents'!A3:C3</f>
        <v>Base Period: Twelve Months Ended December 31, 2017</v>
      </c>
      <c r="B4" s="1172"/>
      <c r="C4" s="1172"/>
      <c r="D4" s="1172"/>
      <c r="E4" s="1172"/>
    </row>
    <row r="5" spans="1:7">
      <c r="A5" s="1172" t="str">
        <f>'Table of Contents'!A4:C4</f>
        <v>Forecasted Test Period: Twelve Months Ended March 31, 2019</v>
      </c>
      <c r="B5" s="1172"/>
      <c r="C5" s="1172"/>
      <c r="D5" s="1172"/>
      <c r="E5" s="1172"/>
    </row>
    <row r="6" spans="1:7">
      <c r="A6" s="169"/>
      <c r="B6" s="169"/>
      <c r="C6" s="169"/>
      <c r="D6" s="169"/>
      <c r="E6" s="169"/>
      <c r="G6" s="799"/>
    </row>
    <row r="8" spans="1:7">
      <c r="A8" s="4" t="s">
        <v>199</v>
      </c>
      <c r="E8" s="377" t="s">
        <v>1438</v>
      </c>
    </row>
    <row r="9" spans="1:7">
      <c r="A9" s="66" t="s">
        <v>621</v>
      </c>
      <c r="E9" s="490" t="s">
        <v>36</v>
      </c>
    </row>
    <row r="10" spans="1:7">
      <c r="A10" s="5" t="s">
        <v>431</v>
      </c>
      <c r="B10" s="6"/>
      <c r="C10" s="6"/>
      <c r="D10" s="6"/>
      <c r="E10" s="551" t="s">
        <v>1326</v>
      </c>
    </row>
    <row r="12" spans="1:7" ht="15.75">
      <c r="D12" s="300" t="s">
        <v>1137</v>
      </c>
      <c r="E12" s="300" t="s">
        <v>129</v>
      </c>
    </row>
    <row r="13" spans="1:7">
      <c r="D13" s="2" t="s">
        <v>901</v>
      </c>
      <c r="E13" s="2" t="s">
        <v>901</v>
      </c>
    </row>
    <row r="14" spans="1:7">
      <c r="A14" s="2" t="s">
        <v>94</v>
      </c>
      <c r="D14" s="2" t="s">
        <v>902</v>
      </c>
      <c r="E14" s="2" t="s">
        <v>902</v>
      </c>
    </row>
    <row r="15" spans="1:7">
      <c r="A15" s="32" t="s">
        <v>100</v>
      </c>
      <c r="B15" s="411" t="s">
        <v>993</v>
      </c>
      <c r="C15" s="33"/>
      <c r="D15" s="32" t="s">
        <v>126</v>
      </c>
      <c r="E15" s="32" t="s">
        <v>126</v>
      </c>
    </row>
    <row r="17" spans="1:7">
      <c r="A17" s="2" t="s">
        <v>370</v>
      </c>
      <c r="B17" s="4" t="s">
        <v>745</v>
      </c>
      <c r="D17" s="24">
        <v>1</v>
      </c>
      <c r="E17" s="24">
        <v>1</v>
      </c>
    </row>
    <row r="19" spans="1:7">
      <c r="A19" s="2" t="s">
        <v>372</v>
      </c>
      <c r="B19" s="4" t="s">
        <v>903</v>
      </c>
      <c r="D19" s="578">
        <v>5.0000000000000001E-3</v>
      </c>
      <c r="E19" s="578">
        <v>5.0000000000000001E-3</v>
      </c>
    </row>
    <row r="21" spans="1:7">
      <c r="A21" s="2" t="s">
        <v>374</v>
      </c>
      <c r="B21" s="4" t="s">
        <v>904</v>
      </c>
      <c r="D21" s="845">
        <v>1.9959999999999999E-3</v>
      </c>
      <c r="E21" s="845">
        <v>1.9959999999999999E-3</v>
      </c>
      <c r="G21" s="799"/>
    </row>
    <row r="23" spans="1:7">
      <c r="A23" s="2" t="s">
        <v>375</v>
      </c>
      <c r="B23" s="4" t="s">
        <v>905</v>
      </c>
      <c r="D23" s="24">
        <f>D17-D19-D21</f>
        <v>0.993004</v>
      </c>
      <c r="E23" s="24">
        <f>E17-E19-E21</f>
        <v>0.993004</v>
      </c>
    </row>
    <row r="25" spans="1:7">
      <c r="A25" s="2" t="s">
        <v>376</v>
      </c>
      <c r="B25" s="4" t="s">
        <v>255</v>
      </c>
      <c r="C25" s="67">
        <v>0.06</v>
      </c>
      <c r="D25" s="25">
        <f>ROUND(D23*C25,8)</f>
        <v>5.958024E-2</v>
      </c>
      <c r="E25" s="25">
        <f>ROUND(E23*C25,8)</f>
        <v>5.958024E-2</v>
      </c>
    </row>
    <row r="27" spans="1:7">
      <c r="A27" s="2" t="s">
        <v>377</v>
      </c>
      <c r="B27" s="4" t="s">
        <v>906</v>
      </c>
      <c r="D27" s="24">
        <f>(D23-D25)</f>
        <v>0.93342376000000005</v>
      </c>
      <c r="E27" s="24">
        <f>(E23-E25)</f>
        <v>0.93342376000000005</v>
      </c>
    </row>
    <row r="29" spans="1:7">
      <c r="A29" s="2" t="s">
        <v>378</v>
      </c>
      <c r="B29" s="66" t="s">
        <v>170</v>
      </c>
      <c r="C29" s="68">
        <v>0.35</v>
      </c>
      <c r="D29" s="69">
        <f>ROUND(D27*C29,6)</f>
        <v>0.32669799999999999</v>
      </c>
      <c r="E29" s="69">
        <f>ROUND(E27*C29,6)</f>
        <v>0.32669799999999999</v>
      </c>
    </row>
    <row r="31" spans="1:7">
      <c r="A31" s="2" t="s">
        <v>380</v>
      </c>
      <c r="B31" s="4" t="s">
        <v>390</v>
      </c>
      <c r="D31" s="24">
        <f>D27-D29</f>
        <v>0.60672576</v>
      </c>
      <c r="E31" s="24">
        <f>E27-E29</f>
        <v>0.60672576</v>
      </c>
    </row>
    <row r="33" spans="1:5">
      <c r="A33" s="2" t="s">
        <v>381</v>
      </c>
      <c r="B33" s="4" t="s">
        <v>127</v>
      </c>
    </row>
    <row r="34" spans="1:5">
      <c r="A34" s="2" t="s">
        <v>382</v>
      </c>
      <c r="B34" s="4" t="s">
        <v>907</v>
      </c>
      <c r="D34" s="412">
        <f>ROUND(1/$D$31,6)</f>
        <v>1.648191</v>
      </c>
      <c r="E34" s="412">
        <f>ROUND(1/$E$31,6)</f>
        <v>1.648191</v>
      </c>
    </row>
    <row r="37" spans="1:5">
      <c r="B37" s="4"/>
    </row>
    <row r="44" spans="1:5">
      <c r="A44" s="4" t="s">
        <v>569</v>
      </c>
    </row>
  </sheetData>
  <mergeCells count="5">
    <mergeCell ref="A5:E5"/>
    <mergeCell ref="A1:E1"/>
    <mergeCell ref="A2:E2"/>
    <mergeCell ref="A3:E3"/>
    <mergeCell ref="A4:E4"/>
  </mergeCells>
  <phoneticPr fontId="22" type="noConversion"/>
  <pageMargins left="0.83" right="0.5" top="1.0900000000000001" bottom="0.5" header="0.5" footer="0.5"/>
  <pageSetup scale="92" orientation="portrait" verticalDpi="300" r:id="rId1"/>
  <headerFooter alignWithMargins="0">
    <oddFooter>&amp;RSchedule &amp;A
Page &amp;P of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U58"/>
  <sheetViews>
    <sheetView view="pageBreakPreview" zoomScale="70" zoomScaleNormal="80" zoomScaleSheetLayoutView="70" workbookViewId="0">
      <pane xSplit="3" ySplit="13" topLeftCell="D14" activePane="bottomRight" state="frozen"/>
      <selection activeCell="F45" sqref="F45"/>
      <selection pane="topRight" activeCell="F45" sqref="F45"/>
      <selection pane="bottomLeft" activeCell="F45" sqref="F45"/>
      <selection pane="bottomRight" activeCell="S31" sqref="S31"/>
    </sheetView>
  </sheetViews>
  <sheetFormatPr defaultColWidth="7.109375" defaultRowHeight="15"/>
  <cols>
    <col min="1" max="1" width="5.109375" style="103" customWidth="1"/>
    <col min="2" max="2" width="18.109375" style="103" customWidth="1"/>
    <col min="3" max="3" width="5" style="103" customWidth="1"/>
    <col min="4" max="6" width="10.33203125" style="103" customWidth="1"/>
    <col min="7" max="7" width="11.44140625" style="103" bestFit="1" customWidth="1"/>
    <col min="8" max="8" width="10.44140625" style="103" customWidth="1"/>
    <col min="9" max="9" width="1.6640625" style="103" customWidth="1"/>
    <col min="10" max="10" width="10.6640625" style="103" bestFit="1" customWidth="1"/>
    <col min="11" max="11" width="1.109375" style="103" customWidth="1"/>
    <col min="12" max="12" width="10.21875" style="103" customWidth="1"/>
    <col min="13" max="13" width="1.6640625" style="103" customWidth="1"/>
    <col min="14" max="14" width="10.44140625" style="103" bestFit="1" customWidth="1"/>
    <col min="15" max="15" width="8.21875" style="103" customWidth="1"/>
    <col min="16" max="16" width="8.77734375" style="103" customWidth="1"/>
    <col min="17" max="17" width="8.88671875" style="103" bestFit="1" customWidth="1"/>
    <col min="18" max="19" width="8" style="103" bestFit="1" customWidth="1"/>
    <col min="20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</row>
    <row r="3" spans="1:21">
      <c r="A3" s="1185" t="s">
        <v>618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</row>
    <row r="6" spans="1:21">
      <c r="A6" s="767"/>
      <c r="B6" s="767"/>
      <c r="C6" s="767"/>
      <c r="D6" s="767"/>
      <c r="E6" s="767"/>
      <c r="F6" s="767"/>
      <c r="G6" s="767"/>
      <c r="H6" s="767"/>
      <c r="I6" s="767"/>
      <c r="J6" s="767"/>
      <c r="K6" s="767"/>
      <c r="L6" s="767"/>
      <c r="M6" s="767"/>
      <c r="N6" s="767"/>
      <c r="O6" s="767"/>
      <c r="P6" s="767"/>
      <c r="U6" s="103" t="s">
        <v>327</v>
      </c>
    </row>
    <row r="7" spans="1:21">
      <c r="A7" s="586" t="s">
        <v>686</v>
      </c>
      <c r="P7" s="959" t="s">
        <v>1465</v>
      </c>
    </row>
    <row r="8" spans="1:21">
      <c r="A8" s="586" t="s">
        <v>621</v>
      </c>
      <c r="P8" s="966" t="s">
        <v>1146</v>
      </c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56"/>
      <c r="N9" s="967"/>
      <c r="O9" s="967"/>
      <c r="P9" s="968" t="s">
        <v>1687</v>
      </c>
    </row>
    <row r="10" spans="1:21">
      <c r="D10" s="1184" t="s">
        <v>1171</v>
      </c>
      <c r="E10" s="1184"/>
      <c r="F10" s="1184"/>
      <c r="G10" s="1184"/>
      <c r="H10" s="1184"/>
      <c r="J10" s="969" t="s">
        <v>1137</v>
      </c>
      <c r="K10" s="767"/>
      <c r="L10" s="969" t="s">
        <v>129</v>
      </c>
      <c r="N10" s="970"/>
      <c r="O10" s="970"/>
      <c r="P10" s="970"/>
    </row>
    <row r="12" spans="1:21">
      <c r="D12" s="636"/>
      <c r="E12" s="636"/>
      <c r="F12" s="636"/>
      <c r="G12" s="636"/>
      <c r="H12" s="636"/>
      <c r="J12" s="971"/>
      <c r="K12" s="972"/>
      <c r="L12" s="971"/>
    </row>
    <row r="13" spans="1:21">
      <c r="A13" s="973"/>
      <c r="B13" s="973"/>
      <c r="C13" s="973"/>
      <c r="D13" s="637" t="s">
        <v>1414</v>
      </c>
      <c r="E13" s="637" t="s">
        <v>1371</v>
      </c>
      <c r="F13" s="637" t="s">
        <v>1415</v>
      </c>
      <c r="G13" s="637" t="s">
        <v>1613</v>
      </c>
      <c r="H13" s="637" t="s">
        <v>1612</v>
      </c>
      <c r="J13" s="974">
        <v>43100</v>
      </c>
      <c r="K13" s="975"/>
      <c r="L13" s="974">
        <v>43555</v>
      </c>
      <c r="N13" s="642">
        <v>2019</v>
      </c>
      <c r="O13" s="637" t="s">
        <v>1656</v>
      </c>
      <c r="P13" s="637" t="s">
        <v>1657</v>
      </c>
      <c r="Q13" s="973"/>
      <c r="R13" s="973"/>
      <c r="S13" s="973"/>
      <c r="T13" s="973"/>
      <c r="U13" s="973"/>
    </row>
    <row r="14" spans="1:21">
      <c r="A14" s="103" t="s">
        <v>603</v>
      </c>
      <c r="D14" s="767" t="s">
        <v>147</v>
      </c>
      <c r="E14" s="767" t="s">
        <v>147</v>
      </c>
      <c r="F14" s="767" t="s">
        <v>147</v>
      </c>
      <c r="G14" s="767" t="s">
        <v>147</v>
      </c>
      <c r="H14" s="767"/>
      <c r="J14" s="767" t="s">
        <v>147</v>
      </c>
      <c r="L14" s="767" t="s">
        <v>147</v>
      </c>
      <c r="N14" s="767" t="s">
        <v>147</v>
      </c>
      <c r="O14" s="767" t="s">
        <v>147</v>
      </c>
      <c r="P14" s="767" t="s">
        <v>147</v>
      </c>
    </row>
    <row r="15" spans="1:21">
      <c r="A15" s="103" t="s">
        <v>604</v>
      </c>
    </row>
    <row r="16" spans="1:21">
      <c r="B16" s="103" t="s">
        <v>605</v>
      </c>
      <c r="D16" s="638">
        <v>121689.04076999999</v>
      </c>
      <c r="E16" s="638">
        <v>148864.67317000002</v>
      </c>
      <c r="F16" s="638">
        <v>180147.32215999995</v>
      </c>
      <c r="G16" s="638">
        <v>153227.91774999999</v>
      </c>
      <c r="H16" s="638">
        <v>129826.66337000002</v>
      </c>
      <c r="I16" s="638"/>
      <c r="J16" s="638">
        <f>'C.2.1 B'!D23/1000</f>
        <v>137671.43518861925</v>
      </c>
      <c r="K16" s="638"/>
      <c r="L16" s="638">
        <f>'C.2.1 F'!D19/1000</f>
        <v>151149.11087877443</v>
      </c>
      <c r="M16" s="638"/>
      <c r="N16" s="638">
        <v>150715.87304581597</v>
      </c>
      <c r="O16" s="638">
        <v>149327.24276938336</v>
      </c>
      <c r="P16" s="638">
        <v>149157.51587125679</v>
      </c>
      <c r="Q16" s="638"/>
    </row>
    <row r="17" spans="1:18">
      <c r="B17" s="103" t="s">
        <v>181</v>
      </c>
      <c r="D17" s="638">
        <v>11315.066650000001</v>
      </c>
      <c r="E17" s="638">
        <v>12586.588680000001</v>
      </c>
      <c r="F17" s="638">
        <v>14310.851760000001</v>
      </c>
      <c r="G17" s="638">
        <v>15087.053259999999</v>
      </c>
      <c r="H17" s="638">
        <v>15747.936089999999</v>
      </c>
      <c r="I17" s="638"/>
      <c r="J17" s="638">
        <f>('C.2.1 B'!D28)/1000</f>
        <v>15830.893886251401</v>
      </c>
      <c r="K17" s="638"/>
      <c r="L17" s="638">
        <f>('C.2.1 F'!D24)/1000</f>
        <v>15202.087192665644</v>
      </c>
      <c r="M17" s="638"/>
      <c r="N17" s="638">
        <v>15202.087192665644</v>
      </c>
      <c r="O17" s="638">
        <v>15202.087192665644</v>
      </c>
      <c r="P17" s="638">
        <v>15202.087192665644</v>
      </c>
      <c r="Q17" s="638"/>
      <c r="R17" s="807"/>
    </row>
    <row r="18" spans="1:18">
      <c r="B18" s="103" t="s">
        <v>606</v>
      </c>
      <c r="D18" s="646">
        <v>1773.7464399999999</v>
      </c>
      <c r="E18" s="646">
        <v>1517.1913500000001</v>
      </c>
      <c r="F18" s="646">
        <v>2423.5631400000002</v>
      </c>
      <c r="G18" s="646">
        <v>2152.5820800000001</v>
      </c>
      <c r="H18" s="646">
        <v>1856.60124</v>
      </c>
      <c r="I18" s="646"/>
      <c r="J18" s="646">
        <f>('C.2.1 B'!D26+'C.2.1 B'!D27+'C.2.1 B'!D29)/1000</f>
        <v>3210.9178060851568</v>
      </c>
      <c r="K18" s="646"/>
      <c r="L18" s="646">
        <f>('C.2.1 F'!D22+'C.2.1 F'!D23+'C.2.1 F'!D25)/1000</f>
        <v>4378.0778399806186</v>
      </c>
      <c r="M18" s="646"/>
      <c r="N18" s="646">
        <f t="shared" ref="N18:P18" si="0">N19-N16-N17</f>
        <v>4374.8961074321087</v>
      </c>
      <c r="O18" s="646">
        <f t="shared" si="0"/>
        <v>4362.7967202192776</v>
      </c>
      <c r="P18" s="646">
        <f t="shared" si="0"/>
        <v>4361.3432839682755</v>
      </c>
      <c r="Q18" s="638"/>
    </row>
    <row r="19" spans="1:18">
      <c r="A19" s="103" t="s">
        <v>607</v>
      </c>
      <c r="D19" s="638">
        <f>SUM(D16:D18)</f>
        <v>134777.85385999997</v>
      </c>
      <c r="E19" s="638">
        <f>SUM(E16:E18)</f>
        <v>162968.45320000002</v>
      </c>
      <c r="F19" s="638">
        <f>SUM(F16:F18)</f>
        <v>196881.73705999996</v>
      </c>
      <c r="G19" s="638">
        <f>SUM(G16:G18)</f>
        <v>170467.55308999997</v>
      </c>
      <c r="H19" s="638">
        <f>SUM(H16:H18)</f>
        <v>147431.20070000002</v>
      </c>
      <c r="I19" s="638"/>
      <c r="J19" s="638">
        <f>SUM(J16:J18)</f>
        <v>156713.24688095582</v>
      </c>
      <c r="K19" s="638"/>
      <c r="L19" s="638">
        <f>SUM(L16:L18)</f>
        <v>170729.2759114207</v>
      </c>
      <c r="M19" s="638"/>
      <c r="N19" s="638">
        <v>170292.85634591372</v>
      </c>
      <c r="O19" s="638">
        <v>168892.12668226828</v>
      </c>
      <c r="P19" s="638">
        <v>168720.94634789071</v>
      </c>
      <c r="Q19" s="638"/>
    </row>
    <row r="20" spans="1:18"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</row>
    <row r="21" spans="1:18">
      <c r="A21" s="103" t="s">
        <v>608</v>
      </c>
      <c r="D21" s="638">
        <v>70662.981899999999</v>
      </c>
      <c r="E21" s="638">
        <v>94656.999469999981</v>
      </c>
      <c r="F21" s="638">
        <v>118107.39396</v>
      </c>
      <c r="G21" s="638">
        <v>87746.322199999995</v>
      </c>
      <c r="H21" s="638">
        <v>61180.230949999997</v>
      </c>
      <c r="I21" s="646"/>
      <c r="J21" s="646">
        <f>'C.2.1 B'!D104/1000</f>
        <v>65546.014381216271</v>
      </c>
      <c r="K21" s="646"/>
      <c r="L21" s="646">
        <f>'C.2.1 F'!D100/1000</f>
        <v>78709.117242809036</v>
      </c>
      <c r="M21" s="646"/>
      <c r="N21" s="638">
        <v>78235.802071391736</v>
      </c>
      <c r="O21" s="638">
        <v>76749.216804471449</v>
      </c>
      <c r="P21" s="638">
        <v>76481.534142260978</v>
      </c>
      <c r="Q21" s="638"/>
    </row>
    <row r="22" spans="1:18">
      <c r="A22" s="103" t="s">
        <v>114</v>
      </c>
      <c r="D22" s="639">
        <f>+D19-D21</f>
        <v>64114.871959999975</v>
      </c>
      <c r="E22" s="639">
        <f>+E19-E21</f>
        <v>68311.453730000037</v>
      </c>
      <c r="F22" s="639">
        <f>+F19-F21</f>
        <v>78774.343099999955</v>
      </c>
      <c r="G22" s="639">
        <f>+G19-G21</f>
        <v>82721.230889999977</v>
      </c>
      <c r="H22" s="639">
        <f>+H19-H21</f>
        <v>86250.969750000018</v>
      </c>
      <c r="I22" s="638"/>
      <c r="J22" s="638">
        <f>+J19-J21</f>
        <v>91167.232499739548</v>
      </c>
      <c r="K22" s="638"/>
      <c r="L22" s="638">
        <f>+L19-L21</f>
        <v>92020.158668611664</v>
      </c>
      <c r="M22" s="638"/>
      <c r="N22" s="639">
        <f>+N19-N21</f>
        <v>92057.054274521986</v>
      </c>
      <c r="O22" s="639">
        <f>+O19-O21</f>
        <v>92142.909877796832</v>
      </c>
      <c r="P22" s="639">
        <f>+P19-P21</f>
        <v>92239.412205629735</v>
      </c>
      <c r="Q22" s="638"/>
    </row>
    <row r="23" spans="1:18"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</row>
    <row r="24" spans="1:18">
      <c r="A24" s="103" t="s">
        <v>998</v>
      </c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8"/>
      <c r="P24" s="638"/>
      <c r="Q24" s="638"/>
    </row>
    <row r="25" spans="1:18">
      <c r="B25" s="103" t="s">
        <v>115</v>
      </c>
      <c r="D25" s="638">
        <v>12979.823540000001</v>
      </c>
      <c r="E25" s="638">
        <v>14376.623550000002</v>
      </c>
      <c r="F25" s="638">
        <v>14815.001260000003</v>
      </c>
      <c r="G25" s="638">
        <v>14926.689049999994</v>
      </c>
      <c r="H25" s="638">
        <v>14518.409320000001</v>
      </c>
      <c r="I25" s="638"/>
      <c r="J25" s="638">
        <f>(SUM('C.2.2 B 09'!P46:P109)-'C.2.2 B 09'!P100)/1000</f>
        <v>13435.811581799993</v>
      </c>
      <c r="K25" s="638"/>
      <c r="L25" s="638">
        <f>C.1!F19/1000-I.1!L26</f>
        <v>12209.92124773726</v>
      </c>
      <c r="M25" s="638"/>
      <c r="N25" s="638">
        <v>17267</v>
      </c>
      <c r="O25" s="638">
        <v>17484</v>
      </c>
      <c r="P25" s="638">
        <v>17707</v>
      </c>
      <c r="Q25" s="638"/>
    </row>
    <row r="26" spans="1:18">
      <c r="B26" s="103" t="s">
        <v>567</v>
      </c>
      <c r="D26" s="638">
        <v>10085.67484</v>
      </c>
      <c r="E26" s="638">
        <v>11534.019540000001</v>
      </c>
      <c r="F26" s="638">
        <v>12035.970230000001</v>
      </c>
      <c r="G26" s="638">
        <v>12874.015009999999</v>
      </c>
      <c r="H26" s="638">
        <v>12708.20644</v>
      </c>
      <c r="I26" s="638"/>
      <c r="J26" s="638">
        <f>'C.2.2 B 09'!P100/1000</f>
        <v>13282.577856594393</v>
      </c>
      <c r="K26" s="638"/>
      <c r="L26" s="638">
        <f>'C.2.2-F 09'!P100/1000</f>
        <v>13586.874539393659</v>
      </c>
      <c r="M26" s="638"/>
      <c r="N26" s="638">
        <v>10868</v>
      </c>
      <c r="O26" s="638">
        <v>11079</v>
      </c>
      <c r="P26" s="638">
        <v>11463</v>
      </c>
      <c r="Q26" s="638"/>
    </row>
    <row r="27" spans="1:18">
      <c r="B27" s="103" t="s">
        <v>116</v>
      </c>
      <c r="D27" s="638">
        <v>13981.399549999998</v>
      </c>
      <c r="E27" s="638">
        <v>14919.020950000002</v>
      </c>
      <c r="F27" s="638">
        <v>16845.712130000004</v>
      </c>
      <c r="G27" s="638">
        <v>18635.692589999995</v>
      </c>
      <c r="H27" s="638">
        <v>19120.630430000001</v>
      </c>
      <c r="I27" s="638"/>
      <c r="J27" s="638">
        <f>'C.2.1 B'!D175/1000</f>
        <v>18849.734532483872</v>
      </c>
      <c r="K27" s="638"/>
      <c r="L27" s="638">
        <f>C.2!K26/1000</f>
        <v>21502.805826149899</v>
      </c>
      <c r="M27" s="638"/>
      <c r="N27" s="638">
        <v>23286</v>
      </c>
      <c r="O27" s="638">
        <v>26472</v>
      </c>
      <c r="P27" s="638">
        <v>30012</v>
      </c>
      <c r="Q27" s="638"/>
    </row>
    <row r="28" spans="1:18">
      <c r="B28" s="103" t="s">
        <v>117</v>
      </c>
      <c r="D28" s="638">
        <v>4317.3126800000009</v>
      </c>
      <c r="E28" s="638">
        <v>3871.4445599999999</v>
      </c>
      <c r="F28" s="638">
        <v>4647.8071999999993</v>
      </c>
      <c r="G28" s="638">
        <v>7342.9721099999997</v>
      </c>
      <c r="H28" s="638">
        <v>5919.1201500000006</v>
      </c>
      <c r="I28" s="646"/>
      <c r="J28" s="646">
        <f>'C.2.1 B'!D176/1000</f>
        <v>4827.1521770496229</v>
      </c>
      <c r="K28" s="646"/>
      <c r="L28" s="646">
        <f>'C.2.1 F'!D172/1000</f>
        <v>6550.5831270826175</v>
      </c>
      <c r="M28" s="646"/>
      <c r="N28" s="646">
        <v>7349</v>
      </c>
      <c r="O28" s="646">
        <v>8469</v>
      </c>
      <c r="P28" s="646">
        <v>9714</v>
      </c>
      <c r="Q28" s="638"/>
    </row>
    <row r="29" spans="1:18">
      <c r="A29" s="103" t="s">
        <v>1130</v>
      </c>
      <c r="D29" s="639">
        <f>SUM(D25:D28)</f>
        <v>41364.210610000002</v>
      </c>
      <c r="E29" s="639">
        <f>SUM(E25:E28)</f>
        <v>44701.108600000007</v>
      </c>
      <c r="F29" s="639">
        <f>SUM(F25:F28)</f>
        <v>48344.490820000006</v>
      </c>
      <c r="G29" s="639">
        <f>SUM(G25:G28)</f>
        <v>53779.36875999999</v>
      </c>
      <c r="H29" s="639">
        <f>SUM(H25:H28)</f>
        <v>52266.366340000008</v>
      </c>
      <c r="I29" s="638"/>
      <c r="J29" s="638">
        <f>SUM(J25:J28)</f>
        <v>50395.276147927878</v>
      </c>
      <c r="K29" s="638"/>
      <c r="L29" s="638">
        <f>SUM(L25:L28)</f>
        <v>53850.184740363431</v>
      </c>
      <c r="M29" s="638"/>
      <c r="N29" s="638">
        <f>SUM(N25:N28)</f>
        <v>58770</v>
      </c>
      <c r="O29" s="638">
        <f>SUM(O25:O28)</f>
        <v>63504</v>
      </c>
      <c r="P29" s="638">
        <f>SUM(P25:P28)</f>
        <v>68896</v>
      </c>
      <c r="Q29" s="638"/>
    </row>
    <row r="30" spans="1:18">
      <c r="D30" s="646"/>
      <c r="E30" s="646"/>
      <c r="F30" s="646"/>
      <c r="G30" s="646"/>
      <c r="H30" s="646"/>
      <c r="I30" s="646"/>
      <c r="J30" s="646"/>
      <c r="K30" s="646"/>
      <c r="L30" s="646"/>
      <c r="M30" s="646"/>
      <c r="N30" s="646"/>
      <c r="O30" s="646"/>
      <c r="P30" s="646"/>
      <c r="Q30" s="638"/>
    </row>
    <row r="31" spans="1:18">
      <c r="A31" s="103" t="s">
        <v>587</v>
      </c>
      <c r="D31" s="638">
        <f>+D22-D29</f>
        <v>22750.661349999973</v>
      </c>
      <c r="E31" s="638">
        <f>+E22-E29</f>
        <v>23610.345130000031</v>
      </c>
      <c r="F31" s="638">
        <f>+F22-F29</f>
        <v>30429.852279999948</v>
      </c>
      <c r="G31" s="638">
        <f>+G22-G29</f>
        <v>28941.862129999987</v>
      </c>
      <c r="H31" s="638">
        <f>+H22-H29</f>
        <v>33984.603410000011</v>
      </c>
      <c r="I31" s="638"/>
      <c r="J31" s="638">
        <f>+J22-J29</f>
        <v>40771.95635181167</v>
      </c>
      <c r="K31" s="638"/>
      <c r="L31" s="638">
        <f>+L22-L29</f>
        <v>38169.973928248233</v>
      </c>
      <c r="M31" s="638"/>
      <c r="N31" s="638">
        <f>+N22-N29</f>
        <v>33287.054274521986</v>
      </c>
      <c r="O31" s="638">
        <f>+O22-O29</f>
        <v>28638.909877796832</v>
      </c>
      <c r="P31" s="638">
        <f>+P22-P29</f>
        <v>23343.412205629735</v>
      </c>
      <c r="Q31" s="638"/>
    </row>
    <row r="32" spans="1:18"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  <c r="Q32" s="638"/>
    </row>
    <row r="33" spans="1:18">
      <c r="A33" s="103" t="s">
        <v>588</v>
      </c>
      <c r="D33" s="638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</row>
    <row r="34" spans="1:18">
      <c r="B34" s="103" t="s">
        <v>806</v>
      </c>
      <c r="D34" s="638">
        <v>63.590940000000003</v>
      </c>
      <c r="E34" s="638">
        <v>82.738509999999991</v>
      </c>
      <c r="F34" s="638">
        <v>69.150829999999999</v>
      </c>
      <c r="G34" s="638">
        <v>39.563759999999995</v>
      </c>
      <c r="H34" s="638">
        <v>42.014340000000004</v>
      </c>
      <c r="I34" s="638"/>
      <c r="J34" s="638">
        <f>H34</f>
        <v>42.014340000000004</v>
      </c>
      <c r="K34" s="638"/>
      <c r="L34" s="638">
        <f>J34</f>
        <v>42.014340000000004</v>
      </c>
      <c r="M34" s="638"/>
      <c r="N34" s="638">
        <v>52</v>
      </c>
      <c r="O34" s="638">
        <v>46</v>
      </c>
      <c r="P34" s="638">
        <v>41</v>
      </c>
      <c r="Q34" s="638"/>
    </row>
    <row r="35" spans="1:18">
      <c r="B35" s="103" t="s">
        <v>51</v>
      </c>
      <c r="D35" s="638">
        <v>2702.1011899999999</v>
      </c>
      <c r="E35" s="638">
        <v>2658.6314700000003</v>
      </c>
      <c r="F35" s="638">
        <v>2704.8019899999999</v>
      </c>
      <c r="G35" s="638">
        <v>2795.0063499999997</v>
      </c>
      <c r="H35" s="638">
        <v>2791.57728</v>
      </c>
      <c r="I35" s="638"/>
      <c r="J35" s="638">
        <f>H35</f>
        <v>2791.57728</v>
      </c>
      <c r="K35" s="638"/>
      <c r="L35" s="638">
        <f t="shared" ref="L35:L36" si="1">J35</f>
        <v>2791.57728</v>
      </c>
      <c r="M35" s="638"/>
      <c r="N35" s="638">
        <v>2500</v>
      </c>
      <c r="O35" s="638">
        <v>2500</v>
      </c>
      <c r="P35" s="638">
        <v>2500</v>
      </c>
      <c r="R35" s="638"/>
    </row>
    <row r="36" spans="1:18">
      <c r="B36" s="103" t="s">
        <v>1619</v>
      </c>
      <c r="D36" s="638">
        <v>-328.98149999999998</v>
      </c>
      <c r="E36" s="638">
        <v>-193.89732000000001</v>
      </c>
      <c r="F36" s="638">
        <v>-298.85159999999996</v>
      </c>
      <c r="G36" s="638">
        <v>-427.16967999999997</v>
      </c>
      <c r="H36" s="638">
        <v>-354.79807</v>
      </c>
      <c r="I36" s="638"/>
      <c r="J36" s="638">
        <f>H36</f>
        <v>-354.79807</v>
      </c>
      <c r="K36" s="638"/>
      <c r="L36" s="638">
        <f t="shared" si="1"/>
        <v>-354.79807</v>
      </c>
      <c r="M36" s="638"/>
      <c r="N36" s="638">
        <f>L36</f>
        <v>-354.79807</v>
      </c>
      <c r="O36" s="638">
        <f>N36</f>
        <v>-354.79807</v>
      </c>
      <c r="P36" s="638">
        <f t="shared" ref="P36" si="2">N36</f>
        <v>-354.79807</v>
      </c>
      <c r="R36" s="638"/>
    </row>
    <row r="37" spans="1:18">
      <c r="B37" s="103" t="s">
        <v>589</v>
      </c>
      <c r="D37" s="638">
        <v>-390.74576999999999</v>
      </c>
      <c r="E37" s="638">
        <v>-514.19116999999994</v>
      </c>
      <c r="F37" s="638">
        <v>-455.90368999999998</v>
      </c>
      <c r="G37" s="638">
        <v>-344.33965000000001</v>
      </c>
      <c r="H37" s="638">
        <v>-391.44265999999999</v>
      </c>
      <c r="I37" s="646"/>
      <c r="J37" s="646">
        <f>H37</f>
        <v>-391.44265999999999</v>
      </c>
      <c r="K37" s="646"/>
      <c r="L37" s="646">
        <f>J37</f>
        <v>-391.44265999999999</v>
      </c>
      <c r="M37" s="646"/>
      <c r="N37" s="646">
        <f>N38-N36-N35-N34</f>
        <v>-351.20193000000017</v>
      </c>
      <c r="O37" s="646">
        <f t="shared" ref="O37:P37" si="3">O38-O36-O35-O34</f>
        <v>-350.20193000000017</v>
      </c>
      <c r="P37" s="646">
        <f t="shared" si="3"/>
        <v>-350.20193000000017</v>
      </c>
      <c r="Q37" s="638"/>
    </row>
    <row r="38" spans="1:18">
      <c r="A38" s="103" t="s">
        <v>52</v>
      </c>
      <c r="D38" s="639">
        <f>D34+D35+D37-D36</f>
        <v>2703.9278599999998</v>
      </c>
      <c r="E38" s="639">
        <f t="shared" ref="E38:H38" si="4">E34+E35+E37-E36</f>
        <v>2421.0761300000004</v>
      </c>
      <c r="F38" s="639">
        <f t="shared" si="4"/>
        <v>2616.9007299999998</v>
      </c>
      <c r="G38" s="639">
        <f t="shared" si="4"/>
        <v>2917.4001399999997</v>
      </c>
      <c r="H38" s="639">
        <f t="shared" si="4"/>
        <v>2796.9470299999998</v>
      </c>
      <c r="I38" s="638"/>
      <c r="J38" s="638">
        <f>SUM(J34:J37)</f>
        <v>2087.3508900000002</v>
      </c>
      <c r="K38" s="638"/>
      <c r="L38" s="638">
        <f>SUM(L34:L37)</f>
        <v>2087.3508900000002</v>
      </c>
      <c r="M38" s="638"/>
      <c r="N38" s="638">
        <v>1846</v>
      </c>
      <c r="O38" s="638">
        <v>1841</v>
      </c>
      <c r="P38" s="638">
        <v>1836</v>
      </c>
      <c r="Q38" s="638"/>
    </row>
    <row r="39" spans="1:18">
      <c r="D39" s="638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</row>
    <row r="40" spans="1:18">
      <c r="A40" s="103" t="s">
        <v>997</v>
      </c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</row>
    <row r="41" spans="1:18">
      <c r="A41" s="103" t="s">
        <v>729</v>
      </c>
      <c r="D41" s="640">
        <v>5510.9806100000005</v>
      </c>
      <c r="E41" s="640">
        <v>6436.1180700000004</v>
      </c>
      <c r="F41" s="640">
        <v>6419.0697699999992</v>
      </c>
      <c r="G41" s="640">
        <v>6743.6427100000001</v>
      </c>
      <c r="H41" s="640">
        <v>7377.4536399999997</v>
      </c>
      <c r="I41" s="640"/>
      <c r="J41" s="640">
        <f>E!E32/1000</f>
        <v>8242.3254719855431</v>
      </c>
      <c r="K41" s="640"/>
      <c r="L41" s="640">
        <f>E!G32/1000</f>
        <v>9888.6462299706327</v>
      </c>
      <c r="M41" s="640"/>
      <c r="N41" s="640">
        <v>9234.2297497154977</v>
      </c>
      <c r="O41" s="640">
        <v>9911.4857940153634</v>
      </c>
      <c r="P41" s="640">
        <v>11131.60946837807</v>
      </c>
      <c r="Q41" s="638"/>
    </row>
    <row r="42" spans="1:18">
      <c r="A42" s="103" t="s">
        <v>730</v>
      </c>
      <c r="D42" s="640">
        <f>+D31+D38-D41</f>
        <v>19943.60859999997</v>
      </c>
      <c r="E42" s="640">
        <f>+E31+E38-E41</f>
        <v>19595.303190000031</v>
      </c>
      <c r="F42" s="640">
        <f>+F31+F38-F41</f>
        <v>26627.683239999951</v>
      </c>
      <c r="G42" s="640">
        <f>+G31+G38-G41</f>
        <v>25115.619559999985</v>
      </c>
      <c r="H42" s="640">
        <f>+H31+H38-H41</f>
        <v>29404.096800000014</v>
      </c>
      <c r="I42" s="640"/>
      <c r="J42" s="640">
        <f>+J31+J38-J41</f>
        <v>34616.981769826132</v>
      </c>
      <c r="K42" s="640"/>
      <c r="L42" s="640">
        <f>+L31+L38-L41</f>
        <v>30368.678588277602</v>
      </c>
      <c r="M42" s="640"/>
      <c r="N42" s="640">
        <f>+N31+N38-N41</f>
        <v>25898.824524806489</v>
      </c>
      <c r="O42" s="640">
        <f>+O31+O38-O41</f>
        <v>20568.424083781469</v>
      </c>
      <c r="P42" s="640">
        <f>+P31+P38-P41</f>
        <v>14047.802737251664</v>
      </c>
      <c r="Q42" s="638"/>
    </row>
    <row r="43" spans="1:18">
      <c r="B43" s="103" t="s">
        <v>731</v>
      </c>
      <c r="D43" s="640">
        <v>5350.1074900000003</v>
      </c>
      <c r="E43" s="640">
        <v>7419.8234199999997</v>
      </c>
      <c r="F43" s="640">
        <v>9671.5353700000014</v>
      </c>
      <c r="G43" s="640">
        <v>9884.3428100000001</v>
      </c>
      <c r="H43" s="640">
        <v>9516.4333000000006</v>
      </c>
      <c r="I43" s="640"/>
      <c r="J43" s="640">
        <f>J42*E!$G$21</f>
        <v>13466.005908462366</v>
      </c>
      <c r="K43" s="640"/>
      <c r="L43" s="640">
        <f>L42*E!$G$21</f>
        <v>11813.415970839987</v>
      </c>
      <c r="M43" s="640"/>
      <c r="N43" s="640">
        <f>N42*E!$G$21</f>
        <v>10074.642740149724</v>
      </c>
      <c r="O43" s="640">
        <f>O42*E!$G$21</f>
        <v>8001.1169685909917</v>
      </c>
      <c r="P43" s="640">
        <f>P42*E!$G$21</f>
        <v>5464.595264790898</v>
      </c>
      <c r="Q43" s="638"/>
    </row>
    <row r="44" spans="1:18">
      <c r="D44" s="638"/>
      <c r="E44" s="638"/>
      <c r="F44" s="638"/>
      <c r="G44" s="638"/>
      <c r="H44" s="638"/>
      <c r="I44" s="638"/>
      <c r="J44" s="638"/>
      <c r="K44" s="638"/>
      <c r="L44" s="638"/>
      <c r="M44" s="638"/>
      <c r="N44" s="638"/>
      <c r="O44" s="638"/>
      <c r="P44" s="638"/>
      <c r="Q44" s="638"/>
    </row>
    <row r="45" spans="1:18" ht="15.75" thickBot="1">
      <c r="A45" s="103" t="s">
        <v>173</v>
      </c>
      <c r="D45" s="641">
        <f>+D42-D43</f>
        <v>14593.50110999997</v>
      </c>
      <c r="E45" s="641">
        <f>+E42-E43</f>
        <v>12175.479770000031</v>
      </c>
      <c r="F45" s="641">
        <f>+F42-F43</f>
        <v>16956.14786999995</v>
      </c>
      <c r="G45" s="641">
        <f>+G42-G43</f>
        <v>15231.276749999985</v>
      </c>
      <c r="H45" s="641">
        <f>+H42-H43</f>
        <v>19887.663500000013</v>
      </c>
      <c r="I45" s="641"/>
      <c r="J45" s="641">
        <f>+J42-J43</f>
        <v>21150.975861363768</v>
      </c>
      <c r="K45" s="641"/>
      <c r="L45" s="641">
        <f>+L42-L43</f>
        <v>18555.262617437613</v>
      </c>
      <c r="M45" s="641"/>
      <c r="N45" s="641">
        <f>+N42-N43</f>
        <v>15824.181784656765</v>
      </c>
      <c r="O45" s="641">
        <f>+O42-O43</f>
        <v>12567.307115190477</v>
      </c>
      <c r="P45" s="641">
        <f>+P42-P43</f>
        <v>8583.2074724607664</v>
      </c>
      <c r="Q45" s="638"/>
    </row>
    <row r="46" spans="1:18" ht="15.75" thickTop="1">
      <c r="D46" s="429"/>
      <c r="E46" s="429"/>
      <c r="F46" s="429"/>
      <c r="G46" s="429"/>
      <c r="H46" s="429"/>
      <c r="I46" s="638"/>
      <c r="J46" s="429"/>
      <c r="K46" s="429"/>
      <c r="L46" s="429"/>
      <c r="M46" s="429"/>
      <c r="N46" s="429"/>
      <c r="O46" s="429"/>
      <c r="P46" s="429"/>
      <c r="Q46" s="429"/>
      <c r="R46" s="103" t="s">
        <v>327</v>
      </c>
    </row>
    <row r="47" spans="1:18">
      <c r="B47" s="964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</row>
    <row r="48" spans="1:18">
      <c r="B48" s="964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131"/>
    </row>
    <row r="49" spans="4:18"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131"/>
      <c r="R49" s="108"/>
    </row>
    <row r="50" spans="4:18">
      <c r="D50" s="638"/>
      <c r="E50" s="638"/>
      <c r="F50" s="638"/>
      <c r="G50" s="638"/>
      <c r="H50" s="638"/>
      <c r="I50" s="638"/>
      <c r="J50" s="638"/>
      <c r="K50" s="638"/>
      <c r="L50" s="638"/>
      <c r="M50" s="638"/>
      <c r="N50" s="638"/>
      <c r="O50" s="638"/>
      <c r="P50" s="638"/>
      <c r="Q50" s="131"/>
      <c r="R50" s="108"/>
    </row>
    <row r="51" spans="4:18">
      <c r="D51" s="638"/>
      <c r="E51" s="638"/>
      <c r="F51" s="638"/>
      <c r="G51" s="638"/>
      <c r="H51" s="638"/>
      <c r="I51" s="638"/>
      <c r="J51" s="638"/>
      <c r="K51" s="638"/>
      <c r="L51" s="638"/>
      <c r="M51" s="638"/>
      <c r="N51" s="638"/>
      <c r="O51" s="638"/>
      <c r="P51" s="638"/>
      <c r="Q51" s="638"/>
    </row>
    <row r="52" spans="4:18"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  <c r="O52" s="638"/>
      <c r="P52" s="638"/>
      <c r="Q52" s="638"/>
    </row>
    <row r="53" spans="4:18"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108"/>
    </row>
    <row r="54" spans="4:18"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</row>
    <row r="55" spans="4:18">
      <c r="D55" s="638"/>
      <c r="E55" s="638"/>
      <c r="F55" s="638"/>
      <c r="G55" s="638"/>
      <c r="H55" s="638"/>
      <c r="I55" s="638"/>
      <c r="J55" s="638"/>
      <c r="K55" s="638"/>
      <c r="L55" s="638"/>
      <c r="M55" s="638"/>
      <c r="N55" s="108"/>
      <c r="O55" s="108"/>
      <c r="P55" s="638"/>
      <c r="Q55" s="638"/>
    </row>
    <row r="56" spans="4:18">
      <c r="D56" s="638"/>
      <c r="E56" s="638"/>
      <c r="F56" s="638"/>
      <c r="G56" s="638"/>
      <c r="H56" s="638"/>
      <c r="I56" s="638"/>
      <c r="J56" s="638"/>
      <c r="K56" s="638"/>
      <c r="L56" s="638"/>
      <c r="M56" s="638"/>
      <c r="N56" s="108"/>
      <c r="O56" s="108"/>
      <c r="P56" s="638"/>
      <c r="Q56" s="638"/>
    </row>
    <row r="57" spans="4:18"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</row>
    <row r="58" spans="4:18"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</row>
  </sheetData>
  <mergeCells count="6">
    <mergeCell ref="D10:H10"/>
    <mergeCell ref="A1:P1"/>
    <mergeCell ref="A2:P2"/>
    <mergeCell ref="A3:P3"/>
    <mergeCell ref="A4:P4"/>
    <mergeCell ref="A5:P5"/>
  </mergeCells>
  <phoneticPr fontId="22" type="noConversion"/>
  <printOptions horizontalCentered="1"/>
  <pageMargins left="0.5" right="0.5" top="0.66" bottom="0.5" header="0.5" footer="0.5"/>
  <pageSetup scale="70" orientation="landscape" verticalDpi="300" r:id="rId1"/>
  <headerFooter alignWithMargins="0">
    <oddFooter>&amp;RSchedule &amp;A
Page &amp;P of &amp;N</oddFooter>
  </headerFooter>
  <ignoredErrors>
    <ignoredError sqref="O36" formula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F45" sqref="F45"/>
      <selection pane="topRight" activeCell="F45" sqref="F45"/>
      <selection pane="bottomLeft" activeCell="F45" sqref="F45"/>
      <selection pane="bottomRight" activeCell="V21" sqref="V21"/>
    </sheetView>
  </sheetViews>
  <sheetFormatPr defaultColWidth="7.109375" defaultRowHeight="15"/>
  <cols>
    <col min="1" max="1" width="4.44140625" style="103" customWidth="1"/>
    <col min="2" max="2" width="0" style="103" hidden="1" customWidth="1"/>
    <col min="3" max="3" width="12.33203125" style="103" customWidth="1"/>
    <col min="4" max="4" width="7.109375" style="103"/>
    <col min="5" max="5" width="4.44140625" style="103" customWidth="1"/>
    <col min="6" max="6" width="1.44140625" style="103" customWidth="1"/>
    <col min="7" max="7" width="13.33203125" style="103" bestFit="1" customWidth="1"/>
    <col min="8" max="8" width="12.88671875" style="103" customWidth="1"/>
    <col min="9" max="10" width="13.33203125" style="103" bestFit="1" customWidth="1"/>
    <col min="11" max="11" width="13.33203125" style="103" customWidth="1"/>
    <col min="12" max="12" width="1.44140625" style="103" customWidth="1"/>
    <col min="13" max="13" width="13.109375" style="103" bestFit="1" customWidth="1"/>
    <col min="14" max="14" width="1.44140625" style="103" customWidth="1"/>
    <col min="15" max="15" width="13.109375" style="103" bestFit="1" customWidth="1"/>
    <col min="16" max="16" width="1.44140625" style="103" customWidth="1"/>
    <col min="17" max="17" width="13.44140625" style="103" customWidth="1"/>
    <col min="18" max="19" width="13.5546875" style="103" customWidth="1"/>
    <col min="20" max="20" width="9.33203125" style="103" customWidth="1"/>
    <col min="21" max="22" width="11.44140625" style="103" bestFit="1" customWidth="1"/>
    <col min="23" max="16384" width="7.109375" style="103"/>
  </cols>
  <sheetData>
    <row r="1" spans="1:21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767"/>
    </row>
    <row r="2" spans="1:21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767"/>
    </row>
    <row r="3" spans="1:21">
      <c r="A3" s="1185" t="s">
        <v>317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767"/>
    </row>
    <row r="4" spans="1:21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767"/>
    </row>
    <row r="5" spans="1:21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767"/>
    </row>
    <row r="6" spans="1:21">
      <c r="T6" s="807"/>
      <c r="U6" s="807"/>
    </row>
    <row r="7" spans="1:21">
      <c r="A7" s="586" t="s">
        <v>686</v>
      </c>
      <c r="R7" s="103" t="s">
        <v>1466</v>
      </c>
      <c r="T7" s="807"/>
      <c r="U7" s="807"/>
    </row>
    <row r="8" spans="1:21">
      <c r="A8" s="586" t="s">
        <v>545</v>
      </c>
      <c r="Q8" s="586"/>
      <c r="R8" s="586" t="s">
        <v>1146</v>
      </c>
      <c r="T8" s="807"/>
      <c r="U8" s="807"/>
    </row>
    <row r="9" spans="1:21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60"/>
      <c r="R9" s="960" t="s">
        <v>1683</v>
      </c>
      <c r="S9" s="807"/>
      <c r="T9" s="807"/>
      <c r="U9" s="807"/>
    </row>
    <row r="10" spans="1:21">
      <c r="M10" s="121" t="s">
        <v>45</v>
      </c>
      <c r="O10" s="121" t="s">
        <v>44</v>
      </c>
      <c r="P10" s="121"/>
      <c r="T10" s="807"/>
      <c r="U10" s="807"/>
    </row>
    <row r="11" spans="1:21">
      <c r="A11" s="586" t="s">
        <v>94</v>
      </c>
      <c r="G11" s="1186" t="s">
        <v>1171</v>
      </c>
      <c r="H11" s="1186"/>
      <c r="I11" s="1186"/>
      <c r="J11" s="1186"/>
      <c r="K11" s="1186"/>
      <c r="M11" s="121" t="s">
        <v>543</v>
      </c>
      <c r="O11" s="121" t="s">
        <v>543</v>
      </c>
      <c r="P11" s="121"/>
      <c r="Q11" s="1186" t="s">
        <v>1040</v>
      </c>
      <c r="R11" s="1186"/>
      <c r="S11" s="1186"/>
      <c r="T11" s="807"/>
      <c r="U11" s="807"/>
    </row>
    <row r="12" spans="1:21">
      <c r="A12" s="960" t="s">
        <v>100</v>
      </c>
      <c r="B12" s="939"/>
      <c r="C12" s="651" t="s">
        <v>993</v>
      </c>
      <c r="D12" s="939"/>
      <c r="E12" s="939"/>
      <c r="F12" s="939"/>
      <c r="G12" s="642" t="str">
        <f>I.1!D13</f>
        <v>2012</v>
      </c>
      <c r="H12" s="642" t="str">
        <f>I.1!E13</f>
        <v>2013</v>
      </c>
      <c r="I12" s="642" t="str">
        <f>I.1!F13</f>
        <v>2014</v>
      </c>
      <c r="J12" s="642" t="str">
        <f>I.1!G13</f>
        <v>2015</v>
      </c>
      <c r="K12" s="642" t="str">
        <f>I.1!H13</f>
        <v>2016</v>
      </c>
      <c r="L12" s="976"/>
      <c r="M12" s="974">
        <f>I.1!J13</f>
        <v>43100</v>
      </c>
      <c r="N12" s="975"/>
      <c r="O12" s="974">
        <f>I.1!L13</f>
        <v>43555</v>
      </c>
      <c r="P12" s="977"/>
      <c r="Q12" s="642">
        <f>I.1!N13</f>
        <v>2019</v>
      </c>
      <c r="R12" s="642" t="str">
        <f>I.1!O13</f>
        <v>2020</v>
      </c>
      <c r="S12" s="642" t="str">
        <f>I.1!P13</f>
        <v>2021</v>
      </c>
      <c r="T12" s="807"/>
      <c r="U12" s="807"/>
    </row>
    <row r="13" spans="1:21">
      <c r="G13" s="121"/>
      <c r="H13" s="121"/>
      <c r="I13" s="121"/>
      <c r="J13" s="121"/>
      <c r="K13" s="121"/>
      <c r="M13" s="121"/>
      <c r="O13" s="121"/>
      <c r="P13" s="121"/>
      <c r="Q13" s="121"/>
      <c r="R13" s="121"/>
      <c r="S13" s="121"/>
      <c r="T13" s="807"/>
      <c r="U13" s="807"/>
    </row>
    <row r="14" spans="1:21">
      <c r="T14" s="807"/>
      <c r="U14" s="807"/>
    </row>
    <row r="15" spans="1:21">
      <c r="A15" s="121" t="s">
        <v>370</v>
      </c>
      <c r="C15" s="586" t="s">
        <v>723</v>
      </c>
      <c r="M15" s="103" t="s">
        <v>327</v>
      </c>
      <c r="T15" s="807"/>
      <c r="U15" s="807"/>
    </row>
    <row r="16" spans="1:21">
      <c r="A16" s="121" t="s">
        <v>372</v>
      </c>
      <c r="C16" s="586" t="s">
        <v>131</v>
      </c>
      <c r="G16" s="574">
        <v>78630274.98999998</v>
      </c>
      <c r="H16" s="574">
        <v>96055210.370000005</v>
      </c>
      <c r="I16" s="574">
        <v>115327134.43999998</v>
      </c>
      <c r="J16" s="574">
        <v>97211019.359999999</v>
      </c>
      <c r="K16" s="574">
        <v>85596831.810000017</v>
      </c>
      <c r="M16" s="574">
        <f>'C.2.1 B'!D15+'C.2.1 B'!D16</f>
        <v>87967889.343029201</v>
      </c>
      <c r="O16" s="574">
        <f>'C.2.1 F'!D15</f>
        <v>98377919.415192276</v>
      </c>
      <c r="Q16" s="574">
        <v>98211507.954418644</v>
      </c>
      <c r="R16" s="574">
        <v>97443624.928845793</v>
      </c>
      <c r="S16" s="574">
        <v>97406846.124352798</v>
      </c>
      <c r="T16" s="686"/>
      <c r="U16" s="807"/>
    </row>
    <row r="17" spans="1:22">
      <c r="A17" s="121" t="s">
        <v>374</v>
      </c>
      <c r="C17" s="586" t="s">
        <v>132</v>
      </c>
      <c r="D17" s="121"/>
      <c r="G17" s="108">
        <v>31478562.100000001</v>
      </c>
      <c r="H17" s="108">
        <v>39938783.520000003</v>
      </c>
      <c r="I17" s="108">
        <v>49294803.939999998</v>
      </c>
      <c r="J17" s="108">
        <v>42476905.359999992</v>
      </c>
      <c r="K17" s="108">
        <v>34032004.469999999</v>
      </c>
      <c r="M17" s="108">
        <f>'C.2.1 B'!D17+'C.2.1 B'!D19</f>
        <v>36918736.901499577</v>
      </c>
      <c r="O17" s="108">
        <f>'C.2.1 F'!D16</f>
        <v>40637063.73720403</v>
      </c>
      <c r="Q17" s="574">
        <v>40456028.424050696</v>
      </c>
      <c r="R17" s="574">
        <v>40007807.519311324</v>
      </c>
      <c r="S17" s="574">
        <v>39910195.540734909</v>
      </c>
      <c r="T17" s="686"/>
      <c r="U17" s="807"/>
    </row>
    <row r="18" spans="1:22">
      <c r="A18" s="121" t="s">
        <v>375</v>
      </c>
      <c r="C18" s="586" t="s">
        <v>133</v>
      </c>
      <c r="D18" s="121"/>
      <c r="G18" s="108">
        <v>4926384.9400000004</v>
      </c>
      <c r="H18" s="108">
        <v>4796885.17</v>
      </c>
      <c r="I18" s="108">
        <v>5845776.3600000003</v>
      </c>
      <c r="J18" s="108">
        <v>5705426.8300000001</v>
      </c>
      <c r="K18" s="108">
        <v>4441439.42</v>
      </c>
      <c r="M18" s="108">
        <f>'C.2.1 B'!D18+'C.2.1 B'!D20</f>
        <v>6716990.634743318</v>
      </c>
      <c r="O18" s="108">
        <f>'C.2.1 F'!D17</f>
        <v>5286755.3393530753</v>
      </c>
      <c r="Q18" s="574">
        <v>5232280.628185886</v>
      </c>
      <c r="R18" s="574">
        <v>5149116.8401296604</v>
      </c>
      <c r="S18" s="574">
        <v>5133564.2935704105</v>
      </c>
      <c r="T18" s="686"/>
      <c r="U18" s="807"/>
    </row>
    <row r="19" spans="1:22">
      <c r="A19" s="121" t="s">
        <v>376</v>
      </c>
      <c r="C19" s="586" t="s">
        <v>164</v>
      </c>
      <c r="D19" s="121"/>
      <c r="G19" s="108">
        <v>6653818.7400000002</v>
      </c>
      <c r="H19" s="108">
        <v>8073794.1100000013</v>
      </c>
      <c r="I19" s="108">
        <v>9679607.4199999999</v>
      </c>
      <c r="J19" s="108">
        <v>7834566.2000000002</v>
      </c>
      <c r="K19" s="108">
        <v>5756387.6699999999</v>
      </c>
      <c r="M19" s="108">
        <f>'C.2.1 B'!D21+'C.2.1 B'!D22</f>
        <v>6067818.3093471676</v>
      </c>
      <c r="O19" s="108">
        <f>'C.2.1 F'!D18</f>
        <v>6847372.3870250378</v>
      </c>
      <c r="Q19" s="574">
        <v>6816056.0391607247</v>
      </c>
      <c r="R19" s="574">
        <v>6726693.4810965508</v>
      </c>
      <c r="S19" s="574">
        <v>6706909.91259869</v>
      </c>
      <c r="T19" s="686"/>
      <c r="U19" s="807"/>
    </row>
    <row r="20" spans="1:22">
      <c r="A20" s="121" t="s">
        <v>377</v>
      </c>
      <c r="C20" s="586" t="s">
        <v>86</v>
      </c>
      <c r="G20" s="428"/>
      <c r="H20" s="428"/>
      <c r="I20" s="428"/>
      <c r="J20" s="428"/>
      <c r="K20" s="428"/>
      <c r="M20" s="428"/>
      <c r="N20" s="939"/>
      <c r="O20" s="109"/>
      <c r="Q20" s="109"/>
      <c r="R20" s="109"/>
      <c r="S20" s="109"/>
      <c r="T20" s="686"/>
      <c r="U20" s="807"/>
    </row>
    <row r="21" spans="1:22">
      <c r="G21" s="108"/>
      <c r="H21" s="108"/>
      <c r="I21" s="108"/>
      <c r="J21" s="108"/>
      <c r="K21" s="108"/>
      <c r="M21" s="108"/>
      <c r="O21" s="108"/>
      <c r="Q21" s="108"/>
      <c r="R21" s="108"/>
      <c r="S21" s="108"/>
      <c r="T21" s="686"/>
    </row>
    <row r="22" spans="1:22">
      <c r="A22" s="121" t="s">
        <v>378</v>
      </c>
      <c r="C22" s="586" t="s">
        <v>424</v>
      </c>
      <c r="G22" s="574">
        <f>SUM(G16:G20)</f>
        <v>121689040.76999997</v>
      </c>
      <c r="H22" s="574">
        <f>SUM(H16:H20)</f>
        <v>148864673.17000002</v>
      </c>
      <c r="I22" s="574">
        <f>SUM(I16:I20)</f>
        <v>180147322.16</v>
      </c>
      <c r="J22" s="574">
        <f>SUM(J16:J20)</f>
        <v>153227917.75</v>
      </c>
      <c r="K22" s="574">
        <f>SUM(K16:K20)</f>
        <v>129826663.37000002</v>
      </c>
      <c r="M22" s="574">
        <f>SUM(M16:M20)</f>
        <v>137671435.18861926</v>
      </c>
      <c r="N22" s="361"/>
      <c r="O22" s="574">
        <f>SUM(O16:O20)</f>
        <v>151149110.87877443</v>
      </c>
      <c r="Q22" s="574">
        <f>SUM(Q16:Q20)</f>
        <v>150715873.04581597</v>
      </c>
      <c r="R22" s="574">
        <f>SUM(R16:R20)</f>
        <v>149327242.76938337</v>
      </c>
      <c r="S22" s="574">
        <f>SUM(S16:S20)</f>
        <v>149157515.8712568</v>
      </c>
      <c r="T22" s="686"/>
      <c r="U22" s="807"/>
      <c r="V22" s="807"/>
    </row>
    <row r="23" spans="1:22">
      <c r="G23" s="108"/>
      <c r="H23" s="108"/>
      <c r="I23" s="108"/>
      <c r="J23" s="108"/>
      <c r="K23" s="108"/>
      <c r="M23" s="108"/>
      <c r="O23" s="108"/>
      <c r="Q23" s="108"/>
      <c r="R23" s="108"/>
      <c r="S23" s="108"/>
      <c r="T23" s="686"/>
    </row>
    <row r="24" spans="1:22">
      <c r="A24" s="121">
        <v>8</v>
      </c>
      <c r="C24" s="586" t="s">
        <v>165</v>
      </c>
      <c r="G24" s="108"/>
      <c r="H24" s="108"/>
      <c r="I24" s="108"/>
      <c r="J24" s="108"/>
      <c r="K24" s="108"/>
      <c r="M24" s="108"/>
      <c r="O24" s="108"/>
      <c r="Q24" s="108"/>
      <c r="R24" s="108"/>
      <c r="S24" s="108"/>
      <c r="T24" s="686"/>
      <c r="U24" s="807"/>
    </row>
    <row r="25" spans="1:22">
      <c r="A25" s="121" t="s">
        <v>381</v>
      </c>
      <c r="C25" s="586" t="s">
        <v>131</v>
      </c>
      <c r="D25" s="121" t="s">
        <v>327</v>
      </c>
      <c r="G25" s="630">
        <v>153903.75</v>
      </c>
      <c r="H25" s="630">
        <v>155702.08333333334</v>
      </c>
      <c r="I25" s="630">
        <v>155280.75</v>
      </c>
      <c r="J25" s="630">
        <v>155597.41666666666</v>
      </c>
      <c r="K25" s="630">
        <v>156173.75</v>
      </c>
      <c r="M25" s="630">
        <v>156822.25</v>
      </c>
      <c r="N25" s="619"/>
      <c r="O25" s="630">
        <v>157197.25</v>
      </c>
      <c r="Q25" s="630">
        <v>157347.25</v>
      </c>
      <c r="R25" s="630">
        <v>157647.25</v>
      </c>
      <c r="S25" s="630">
        <v>157947.25</v>
      </c>
      <c r="T25" s="686"/>
      <c r="U25" s="807"/>
    </row>
    <row r="26" spans="1:22">
      <c r="A26" s="121" t="s">
        <v>382</v>
      </c>
      <c r="C26" s="586" t="s">
        <v>132</v>
      </c>
      <c r="D26" s="121"/>
      <c r="G26" s="630">
        <v>17318</v>
      </c>
      <c r="H26" s="630">
        <v>17435.166666666668</v>
      </c>
      <c r="I26" s="630">
        <v>17333.333333333332</v>
      </c>
      <c r="J26" s="630">
        <v>17339</v>
      </c>
      <c r="K26" s="630">
        <v>17353.666666666668</v>
      </c>
      <c r="M26" s="630">
        <v>17418.583333333332</v>
      </c>
      <c r="O26" s="630">
        <v>17418.583333333332</v>
      </c>
      <c r="Q26" s="630">
        <v>17418.583333333336</v>
      </c>
      <c r="R26" s="630">
        <v>17418.583333333336</v>
      </c>
      <c r="S26" s="630">
        <v>17418.583333333336</v>
      </c>
      <c r="T26" s="686"/>
      <c r="U26" s="807"/>
    </row>
    <row r="27" spans="1:22">
      <c r="A27" s="121">
        <v>11</v>
      </c>
      <c r="C27" s="586" t="s">
        <v>133</v>
      </c>
      <c r="D27" s="121"/>
      <c r="G27" s="630">
        <v>206.91666666666666</v>
      </c>
      <c r="H27" s="630">
        <v>203.66666666666666</v>
      </c>
      <c r="I27" s="630">
        <v>201.16666666666666</v>
      </c>
      <c r="J27" s="630">
        <v>205.33333333333334</v>
      </c>
      <c r="K27" s="630">
        <v>205.83333333333334</v>
      </c>
      <c r="M27" s="630">
        <v>211.61018518518517</v>
      </c>
      <c r="O27" s="630">
        <v>211.61018518518517</v>
      </c>
      <c r="Q27" s="630">
        <v>211.6101851851852</v>
      </c>
      <c r="R27" s="630">
        <v>211.6101851851852</v>
      </c>
      <c r="S27" s="630">
        <v>211.6101851851852</v>
      </c>
      <c r="T27" s="686"/>
      <c r="U27" s="807"/>
    </row>
    <row r="28" spans="1:22">
      <c r="A28" s="121">
        <v>12</v>
      </c>
      <c r="C28" s="586" t="s">
        <v>164</v>
      </c>
      <c r="D28" s="121"/>
      <c r="G28" s="630">
        <v>1575.3333333333333</v>
      </c>
      <c r="H28" s="630">
        <v>1576.1666666666667</v>
      </c>
      <c r="I28" s="630">
        <v>1560.8333333333333</v>
      </c>
      <c r="J28" s="630">
        <v>1550</v>
      </c>
      <c r="K28" s="630">
        <v>1548.5833333333333</v>
      </c>
      <c r="M28" s="630">
        <v>1548.5833333333333</v>
      </c>
      <c r="O28" s="630">
        <v>1548.5833333333333</v>
      </c>
      <c r="Q28" s="630">
        <v>1548.5833333333333</v>
      </c>
      <c r="R28" s="630">
        <v>1548.5833333333333</v>
      </c>
      <c r="S28" s="630">
        <v>1548.5833333333333</v>
      </c>
      <c r="T28" s="686"/>
      <c r="U28" s="807"/>
    </row>
    <row r="29" spans="1:22">
      <c r="A29" s="767" t="s">
        <v>327</v>
      </c>
      <c r="G29" s="108"/>
      <c r="H29" s="108"/>
      <c r="I29" s="108"/>
      <c r="J29" s="108"/>
      <c r="K29" s="108"/>
      <c r="M29" s="108"/>
      <c r="O29" s="108"/>
      <c r="Q29" s="108"/>
      <c r="R29" s="108"/>
      <c r="S29" s="108"/>
      <c r="T29" s="108"/>
    </row>
    <row r="30" spans="1:22">
      <c r="A30" s="767">
        <v>13</v>
      </c>
      <c r="C30" s="586" t="s">
        <v>97</v>
      </c>
      <c r="D30" s="121"/>
      <c r="G30" s="630">
        <f>SUM(G25:G29)</f>
        <v>173004</v>
      </c>
      <c r="H30" s="630">
        <f>SUM(H25:H29)</f>
        <v>174917.08333333331</v>
      </c>
      <c r="I30" s="630">
        <f>SUM(I25:I29)</f>
        <v>174376.08333333334</v>
      </c>
      <c r="J30" s="630">
        <f>SUM(J25:J29)</f>
        <v>174691.75</v>
      </c>
      <c r="K30" s="630">
        <f>SUM(K25:K29)</f>
        <v>175281.83333333334</v>
      </c>
      <c r="M30" s="630">
        <f>SUM(M25:M29)</f>
        <v>176001.02685185187</v>
      </c>
      <c r="N30" s="619"/>
      <c r="O30" s="630">
        <f>SUM(O25:O29)</f>
        <v>176376.02685185187</v>
      </c>
      <c r="Q30" s="630">
        <f>SUM(Q25:Q29)</f>
        <v>176526.02685185187</v>
      </c>
      <c r="R30" s="630">
        <f>SUM(R25:R29)</f>
        <v>176826.02685185187</v>
      </c>
      <c r="S30" s="630">
        <f>SUM(S25:S29)</f>
        <v>177126.02685185187</v>
      </c>
      <c r="T30" s="108"/>
    </row>
    <row r="31" spans="1:22">
      <c r="G31" s="108"/>
      <c r="H31" s="108"/>
      <c r="I31" s="108"/>
      <c r="J31" s="108"/>
      <c r="K31" s="108"/>
      <c r="M31" s="108"/>
      <c r="O31" s="108"/>
      <c r="P31" s="108"/>
      <c r="Q31" s="108"/>
      <c r="R31" s="108"/>
      <c r="S31" s="108"/>
      <c r="T31" s="108"/>
    </row>
    <row r="32" spans="1:22">
      <c r="A32" s="121">
        <v>14</v>
      </c>
      <c r="C32" s="586" t="s">
        <v>134</v>
      </c>
      <c r="G32" s="108"/>
      <c r="H32" s="108"/>
      <c r="I32" s="108"/>
      <c r="J32" s="108"/>
      <c r="K32" s="108"/>
      <c r="M32" s="108"/>
      <c r="O32" s="108"/>
      <c r="P32" s="108"/>
      <c r="Q32" s="108"/>
      <c r="R32" s="108"/>
      <c r="S32" s="108"/>
      <c r="T32" s="108"/>
    </row>
    <row r="33" spans="1:20">
      <c r="A33" s="121">
        <v>15</v>
      </c>
      <c r="C33" s="586" t="s">
        <v>131</v>
      </c>
      <c r="G33" s="574">
        <f t="shared" ref="G33:J36" si="0">(G16/G25)</f>
        <v>510.90551718200487</v>
      </c>
      <c r="H33" s="574">
        <f t="shared" si="0"/>
        <v>616.91666748197008</v>
      </c>
      <c r="I33" s="574">
        <f t="shared" si="0"/>
        <v>742.70078190632114</v>
      </c>
      <c r="J33" s="574">
        <f t="shared" si="0"/>
        <v>624.75985426064813</v>
      </c>
      <c r="K33" s="574">
        <f t="shared" ref="K33" si="1">(K16/K25)</f>
        <v>548.08719013278494</v>
      </c>
      <c r="L33" s="361"/>
      <c r="M33" s="574">
        <f>(M16/M25)</f>
        <v>560.94010475572952</v>
      </c>
      <c r="N33" s="361"/>
      <c r="O33" s="574">
        <f>(O16/O25)</f>
        <v>625.82468468877335</v>
      </c>
      <c r="P33" s="574"/>
      <c r="Q33" s="574">
        <f t="shared" ref="Q33:R36" si="2">(Q16/Q25)</f>
        <v>624.17047615651779</v>
      </c>
      <c r="R33" s="574">
        <f t="shared" si="2"/>
        <v>618.11179661456697</v>
      </c>
      <c r="S33" s="574">
        <f t="shared" ref="S33" si="3">(S16/S25)</f>
        <v>616.70491967636531</v>
      </c>
      <c r="T33" s="108"/>
    </row>
    <row r="34" spans="1:20">
      <c r="A34" s="121">
        <v>16</v>
      </c>
      <c r="C34" s="586" t="s">
        <v>132</v>
      </c>
      <c r="G34" s="108">
        <f t="shared" si="0"/>
        <v>1817.6788370481581</v>
      </c>
      <c r="H34" s="108">
        <f t="shared" si="0"/>
        <v>2290.7027092753151</v>
      </c>
      <c r="I34" s="108">
        <f t="shared" si="0"/>
        <v>2843.9309965384614</v>
      </c>
      <c r="J34" s="108">
        <f t="shared" si="0"/>
        <v>2449.7898010265872</v>
      </c>
      <c r="K34" s="108">
        <f t="shared" ref="K34" si="4">(K17/K26)</f>
        <v>1961.0843704500487</v>
      </c>
      <c r="M34" s="108">
        <f>(M17/M26)</f>
        <v>2119.5028433138696</v>
      </c>
      <c r="O34" s="108">
        <f>(O17/O26)</f>
        <v>2332.9718014115597</v>
      </c>
      <c r="P34" s="108"/>
      <c r="Q34" s="108">
        <f t="shared" si="2"/>
        <v>2322.5785731168735</v>
      </c>
      <c r="R34" s="108">
        <f t="shared" si="2"/>
        <v>2296.8462333414782</v>
      </c>
      <c r="S34" s="108">
        <f t="shared" ref="S34" si="5">(S17/S26)</f>
        <v>2291.2423345221282</v>
      </c>
      <c r="T34" s="108"/>
    </row>
    <row r="35" spans="1:20">
      <c r="A35" s="121">
        <v>17</v>
      </c>
      <c r="C35" s="586" t="s">
        <v>133</v>
      </c>
      <c r="G35" s="108">
        <f t="shared" si="0"/>
        <v>23808.545823600485</v>
      </c>
      <c r="H35" s="108">
        <f t="shared" si="0"/>
        <v>23552.627675941079</v>
      </c>
      <c r="I35" s="108">
        <f t="shared" si="0"/>
        <v>29059.368815244412</v>
      </c>
      <c r="J35" s="108">
        <f t="shared" si="0"/>
        <v>27786.169626623374</v>
      </c>
      <c r="K35" s="108">
        <f t="shared" ref="K35" si="6">(K18/K27)</f>
        <v>21577.843336032387</v>
      </c>
      <c r="M35" s="108">
        <f>(M18/M27)</f>
        <v>31742.28418573103</v>
      </c>
      <c r="O35" s="108">
        <f>(O18/O27)</f>
        <v>24983.463507328383</v>
      </c>
      <c r="P35" s="108"/>
      <c r="Q35" s="108">
        <f t="shared" si="2"/>
        <v>24726.033974248407</v>
      </c>
      <c r="R35" s="108">
        <f t="shared" si="2"/>
        <v>24333.029318147157</v>
      </c>
      <c r="S35" s="108">
        <f t="shared" ref="S35" si="7">(S18/S27)</f>
        <v>24259.533108379939</v>
      </c>
      <c r="T35" s="108"/>
    </row>
    <row r="36" spans="1:20">
      <c r="A36" s="121">
        <v>18</v>
      </c>
      <c r="C36" s="586" t="s">
        <v>164</v>
      </c>
      <c r="G36" s="108">
        <f t="shared" si="0"/>
        <v>4223.7529030892938</v>
      </c>
      <c r="H36" s="108">
        <f t="shared" si="0"/>
        <v>5122.4240943216673</v>
      </c>
      <c r="I36" s="108">
        <f t="shared" si="0"/>
        <v>6201.5637501334759</v>
      </c>
      <c r="J36" s="108">
        <f t="shared" si="0"/>
        <v>5054.5588387096777</v>
      </c>
      <c r="K36" s="108">
        <f t="shared" ref="K36" si="8">(K19/K28)</f>
        <v>3717.1959339180971</v>
      </c>
      <c r="M36" s="108">
        <f>(M19/M28)</f>
        <v>3918.3027343360068</v>
      </c>
      <c r="O36" s="108">
        <f>(O19/O28)</f>
        <v>4421.7009441048513</v>
      </c>
      <c r="P36" s="108"/>
      <c r="Q36" s="108">
        <f t="shared" si="2"/>
        <v>4401.4783657067592</v>
      </c>
      <c r="R36" s="108">
        <f t="shared" si="2"/>
        <v>4343.7723603916811</v>
      </c>
      <c r="S36" s="108">
        <f t="shared" ref="S36" si="9">(S19/S28)</f>
        <v>4330.9970914913783</v>
      </c>
      <c r="T36" s="108"/>
    </row>
    <row r="37" spans="1:20">
      <c r="H37" s="108"/>
      <c r="I37" s="108"/>
      <c r="J37" s="108"/>
      <c r="K37" s="108"/>
      <c r="M37" s="108"/>
    </row>
    <row r="38" spans="1:20">
      <c r="A38" s="586"/>
      <c r="C38" s="586" t="s">
        <v>1242</v>
      </c>
      <c r="G38" s="108"/>
      <c r="H38" s="108"/>
      <c r="I38" s="108"/>
      <c r="J38" s="108"/>
      <c r="K38" s="108"/>
      <c r="M38" s="108"/>
      <c r="O38" s="108"/>
      <c r="P38" s="108"/>
      <c r="Q38" s="108"/>
      <c r="R38" s="108"/>
      <c r="S38" s="108"/>
      <c r="T38" s="108"/>
    </row>
    <row r="39" spans="1:20">
      <c r="C39" s="586"/>
      <c r="G39" s="108"/>
      <c r="H39" s="108"/>
      <c r="I39" s="108"/>
      <c r="J39" s="108"/>
      <c r="K39" s="108"/>
      <c r="M39" s="108"/>
      <c r="O39" s="108"/>
      <c r="P39" s="108"/>
      <c r="Q39" s="108"/>
      <c r="R39" s="108"/>
      <c r="S39" s="108"/>
      <c r="T39" s="108"/>
    </row>
    <row r="40" spans="1:20">
      <c r="R40" s="108"/>
      <c r="S40" s="108"/>
      <c r="T40" s="108"/>
    </row>
    <row r="42" spans="1:20">
      <c r="R42" s="108"/>
      <c r="S42" s="108"/>
      <c r="T42" s="108"/>
    </row>
    <row r="43" spans="1:20">
      <c r="R43" s="108"/>
      <c r="S43" s="108"/>
      <c r="T43" s="108"/>
    </row>
    <row r="71" spans="9:11">
      <c r="I71" s="108"/>
      <c r="J71" s="108"/>
      <c r="K71" s="108"/>
    </row>
    <row r="72" spans="9:11">
      <c r="I72" s="108"/>
      <c r="J72" s="108"/>
      <c r="K72" s="108"/>
    </row>
    <row r="73" spans="9:11">
      <c r="I73" s="108"/>
      <c r="J73" s="108"/>
      <c r="K73" s="108"/>
    </row>
    <row r="74" spans="9:11">
      <c r="I74" s="108"/>
      <c r="J74" s="108"/>
      <c r="K74" s="108"/>
    </row>
  </sheetData>
  <mergeCells count="7">
    <mergeCell ref="G11:K11"/>
    <mergeCell ref="Q11:S11"/>
    <mergeCell ref="A1:R1"/>
    <mergeCell ref="A2:R2"/>
    <mergeCell ref="A4:R4"/>
    <mergeCell ref="A5:R5"/>
    <mergeCell ref="A3:R3"/>
  </mergeCells>
  <phoneticPr fontId="22" type="noConversion"/>
  <pageMargins left="0.5" right="0.5" top="0.75" bottom="0.5" header="0.5" footer="0.5"/>
  <pageSetup scale="64" orientation="landscape" verticalDpi="300" r:id="rId1"/>
  <headerFooter alignWithMargins="0"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0">
    <pageSetUpPr fitToPage="1"/>
  </sheetPr>
  <dimension ref="A1:M32"/>
  <sheetViews>
    <sheetView view="pageBreakPreview" zoomScale="60" zoomScaleNormal="100" workbookViewId="0">
      <selection activeCell="F22" sqref="F22"/>
    </sheetView>
  </sheetViews>
  <sheetFormatPr defaultColWidth="8" defaultRowHeight="15"/>
  <cols>
    <col min="1" max="1" width="8" style="1" customWidth="1"/>
    <col min="2" max="2" width="45.88671875" style="1" customWidth="1"/>
    <col min="3" max="3" width="14.33203125" style="1" customWidth="1"/>
    <col min="4" max="4" width="14.44140625" style="1" customWidth="1"/>
    <col min="5" max="5" width="4.77734375" style="1" customWidth="1"/>
    <col min="6" max="6" width="15.5546875" style="1" customWidth="1"/>
    <col min="7" max="7" width="5.77734375" style="1" customWidth="1"/>
    <col min="8" max="8" width="4.44140625" style="1" customWidth="1"/>
    <col min="9" max="9" width="13.109375" style="1" bestFit="1" customWidth="1"/>
    <col min="10" max="10" width="2.44140625" style="1" customWidth="1"/>
    <col min="11" max="11" width="13.109375" style="1" bestFit="1" customWidth="1"/>
    <col min="12" max="12" width="5.5546875" style="1" customWidth="1"/>
    <col min="13" max="13" width="11" style="1" bestFit="1" customWidth="1"/>
    <col min="14" max="14" width="2.21875" style="1" customWidth="1"/>
    <col min="15" max="15" width="11" style="1" bestFit="1" customWidth="1"/>
    <col min="16" max="16384" width="8" style="1"/>
  </cols>
  <sheetData>
    <row r="1" spans="1:13">
      <c r="A1" s="167" t="str">
        <f>'Table of Contents'!A1:C1</f>
        <v>Atmos Energy Corporation, Kentucky/Mid-States Division</v>
      </c>
      <c r="B1" s="30"/>
      <c r="C1" s="30"/>
      <c r="D1" s="30"/>
      <c r="E1" s="30"/>
      <c r="F1" s="30"/>
    </row>
    <row r="2" spans="1:13">
      <c r="A2" s="167" t="str">
        <f>'Table of Contents'!A2:C2</f>
        <v>Kentucky Jurisdiction Case No. 2017-00349</v>
      </c>
      <c r="B2" s="30"/>
      <c r="C2" s="30"/>
      <c r="D2" s="30"/>
      <c r="E2" s="30"/>
      <c r="F2" s="30"/>
    </row>
    <row r="3" spans="1:13">
      <c r="A3" s="31" t="s">
        <v>1120</v>
      </c>
      <c r="B3" s="30"/>
      <c r="C3" s="30"/>
      <c r="D3" s="30"/>
      <c r="E3" s="30"/>
      <c r="F3" s="30"/>
    </row>
    <row r="4" spans="1:13">
      <c r="A4" s="31" t="s">
        <v>1533</v>
      </c>
      <c r="B4" s="30"/>
      <c r="C4" s="30"/>
      <c r="D4" s="30"/>
      <c r="E4" s="30"/>
      <c r="F4" s="30"/>
    </row>
    <row r="6" spans="1:13">
      <c r="A6" s="4" t="s">
        <v>149</v>
      </c>
      <c r="F6" s="1" t="s">
        <v>1443</v>
      </c>
      <c r="H6" s="668"/>
      <c r="I6" s="668"/>
      <c r="J6" s="668"/>
      <c r="K6" s="668"/>
      <c r="L6" s="668"/>
    </row>
    <row r="7" spans="1:13">
      <c r="A7" s="4" t="str">
        <f>A.1!A8</f>
        <v>Type of Filing:___X____Original________Updated ________Revised</v>
      </c>
      <c r="F7" s="4" t="s">
        <v>753</v>
      </c>
      <c r="H7" s="668"/>
      <c r="I7" s="668"/>
      <c r="J7" s="668"/>
      <c r="K7" s="668"/>
      <c r="L7" s="668"/>
    </row>
    <row r="8" spans="1:13">
      <c r="A8" s="5" t="s">
        <v>431</v>
      </c>
      <c r="B8" s="6"/>
      <c r="C8" s="6"/>
      <c r="D8" s="6"/>
      <c r="E8" s="33"/>
      <c r="F8" s="5" t="str">
        <f>'B.1 B'!F8</f>
        <v>Witness:   Waller</v>
      </c>
      <c r="H8" s="668"/>
      <c r="I8" s="668"/>
      <c r="J8" s="668"/>
      <c r="K8" s="668"/>
      <c r="L8" s="668"/>
    </row>
    <row r="9" spans="1:13">
      <c r="F9" s="2"/>
      <c r="H9" s="668"/>
      <c r="I9" s="668"/>
      <c r="J9" s="668"/>
      <c r="K9" s="668"/>
      <c r="L9" s="668"/>
    </row>
    <row r="10" spans="1:13">
      <c r="C10" s="2" t="s">
        <v>1195</v>
      </c>
      <c r="D10" s="2" t="s">
        <v>44</v>
      </c>
      <c r="F10" s="2" t="s">
        <v>44</v>
      </c>
      <c r="H10" s="668"/>
      <c r="I10" s="729"/>
      <c r="J10" s="668"/>
      <c r="K10" s="668"/>
      <c r="L10" s="668"/>
      <c r="M10" s="668"/>
    </row>
    <row r="11" spans="1:13">
      <c r="A11" s="2" t="s">
        <v>94</v>
      </c>
      <c r="C11" s="2" t="s">
        <v>59</v>
      </c>
      <c r="D11" s="2" t="s">
        <v>320</v>
      </c>
      <c r="F11" s="2" t="s">
        <v>320</v>
      </c>
      <c r="H11" s="668"/>
      <c r="I11" s="668"/>
      <c r="J11" s="668"/>
      <c r="K11" s="668"/>
      <c r="L11" s="668"/>
      <c r="M11" s="668"/>
    </row>
    <row r="12" spans="1:13">
      <c r="A12" s="9" t="s">
        <v>100</v>
      </c>
      <c r="B12" s="5" t="s">
        <v>1198</v>
      </c>
      <c r="C12" s="9" t="s">
        <v>102</v>
      </c>
      <c r="D12" s="9" t="s">
        <v>321</v>
      </c>
      <c r="E12" s="6"/>
      <c r="F12" s="9" t="s">
        <v>517</v>
      </c>
      <c r="H12" s="668"/>
      <c r="I12" s="729"/>
      <c r="J12" s="668"/>
      <c r="K12" s="668"/>
      <c r="L12" s="668"/>
      <c r="M12" s="668"/>
    </row>
    <row r="13" spans="1:13">
      <c r="D13" s="2"/>
      <c r="F13" s="2"/>
      <c r="H13" s="668"/>
      <c r="I13" s="729"/>
      <c r="J13" s="668"/>
      <c r="K13" s="668"/>
      <c r="L13" s="668"/>
      <c r="M13" s="668"/>
    </row>
    <row r="14" spans="1:13">
      <c r="H14" s="668"/>
      <c r="I14" s="729"/>
      <c r="J14" s="668"/>
      <c r="K14" s="668"/>
      <c r="L14" s="668"/>
      <c r="M14" s="668"/>
    </row>
    <row r="15" spans="1:13">
      <c r="A15" s="2">
        <v>1</v>
      </c>
      <c r="B15" s="4" t="s">
        <v>168</v>
      </c>
      <c r="C15" s="2" t="s">
        <v>699</v>
      </c>
      <c r="D15" s="307">
        <f>'B.2 F'!I263</f>
        <v>678604753.18741083</v>
      </c>
      <c r="E15" s="73"/>
      <c r="F15" s="307">
        <f>'B.2 F'!N263</f>
        <v>656938013.74045253</v>
      </c>
      <c r="G15" s="81"/>
      <c r="H15" s="730"/>
      <c r="I15" s="729"/>
      <c r="J15" s="668"/>
      <c r="K15" s="668"/>
      <c r="L15" s="668"/>
      <c r="M15" s="668"/>
    </row>
    <row r="16" spans="1:13">
      <c r="A16" s="2">
        <f>A15+1</f>
        <v>2</v>
      </c>
      <c r="B16" s="4" t="s">
        <v>496</v>
      </c>
      <c r="C16" s="2" t="s">
        <v>699</v>
      </c>
      <c r="D16" s="73">
        <f>'B.2 F'!I265</f>
        <v>27465677.812154312</v>
      </c>
      <c r="E16" s="73"/>
      <c r="F16" s="73">
        <f>'B.2 F'!N265</f>
        <v>27465677.812154312</v>
      </c>
      <c r="G16" s="81"/>
      <c r="H16" s="730"/>
      <c r="I16" s="729"/>
      <c r="J16" s="668"/>
      <c r="K16" s="668"/>
      <c r="L16" s="668"/>
      <c r="M16" s="668"/>
    </row>
    <row r="17" spans="1:13">
      <c r="A17" s="2">
        <f>A16+1</f>
        <v>3</v>
      </c>
      <c r="B17" s="4" t="s">
        <v>534</v>
      </c>
      <c r="C17" s="2" t="s">
        <v>700</v>
      </c>
      <c r="D17" s="85">
        <f>-'B.3 F'!I263</f>
        <v>-199674587.1944201</v>
      </c>
      <c r="E17" s="73"/>
      <c r="F17" s="85">
        <f>-'B.3 F'!N263</f>
        <v>-191575916.54202574</v>
      </c>
      <c r="G17" s="81"/>
      <c r="H17" s="730"/>
      <c r="I17" s="729"/>
      <c r="J17" s="668"/>
      <c r="K17" s="668"/>
      <c r="L17" s="668"/>
      <c r="M17" s="668"/>
    </row>
    <row r="18" spans="1:13">
      <c r="A18" s="724"/>
      <c r="B18" s="4"/>
      <c r="C18" s="724"/>
      <c r="D18" s="77"/>
      <c r="E18" s="73"/>
      <c r="F18" s="77"/>
      <c r="G18" s="81"/>
      <c r="H18" s="730"/>
      <c r="I18" s="729"/>
      <c r="J18" s="668"/>
      <c r="K18" s="668"/>
      <c r="L18" s="668"/>
      <c r="M18" s="668"/>
    </row>
    <row r="19" spans="1:13">
      <c r="A19" s="2">
        <f>+A17+1</f>
        <v>4</v>
      </c>
      <c r="B19" s="4" t="s">
        <v>159</v>
      </c>
      <c r="D19" s="307">
        <f>SUM(D15:D17)</f>
        <v>506395843.80514503</v>
      </c>
      <c r="E19" s="73"/>
      <c r="F19" s="307">
        <f>SUM(F15:F17)</f>
        <v>492827775.01058108</v>
      </c>
      <c r="G19" s="81"/>
      <c r="H19" s="730"/>
      <c r="I19" s="729"/>
      <c r="J19" s="668"/>
      <c r="K19" s="668"/>
      <c r="L19" s="668"/>
      <c r="M19" s="668"/>
    </row>
    <row r="20" spans="1:13">
      <c r="A20" s="2"/>
      <c r="B20" s="4"/>
      <c r="D20" s="73"/>
      <c r="E20" s="73"/>
      <c r="F20" s="73"/>
      <c r="G20" s="81"/>
      <c r="H20" s="730"/>
      <c r="I20" s="729"/>
      <c r="J20" s="668"/>
      <c r="K20" s="668"/>
      <c r="L20" s="668"/>
      <c r="M20" s="668"/>
    </row>
    <row r="21" spans="1:13">
      <c r="A21" s="2">
        <f>A19+1</f>
        <v>5</v>
      </c>
      <c r="B21" s="4" t="s">
        <v>793</v>
      </c>
      <c r="C21" s="2" t="s">
        <v>701</v>
      </c>
      <c r="D21" s="307">
        <f>+'B.4 F'!E14</f>
        <v>3224599.4733913648</v>
      </c>
      <c r="E21" s="73"/>
      <c r="F21" s="307">
        <f>D21</f>
        <v>3224599.4733913648</v>
      </c>
      <c r="G21" s="81"/>
      <c r="H21" s="730"/>
      <c r="I21" s="729"/>
      <c r="J21" s="668"/>
      <c r="K21" s="668"/>
      <c r="L21" s="668"/>
      <c r="M21" s="668"/>
    </row>
    <row r="22" spans="1:13">
      <c r="A22" s="2">
        <f>+A21+1</f>
        <v>6</v>
      </c>
      <c r="B22" s="4" t="s">
        <v>1067</v>
      </c>
      <c r="C22" s="2" t="s">
        <v>702</v>
      </c>
      <c r="D22" s="357">
        <f>+'B.4.1 F'!F37</f>
        <v>-2312836.0821146006</v>
      </c>
      <c r="E22" s="357"/>
      <c r="F22" s="357">
        <f>+'B.4.1 F'!K37</f>
        <v>10097519.678866701</v>
      </c>
      <c r="G22" s="81"/>
      <c r="H22" s="730"/>
      <c r="I22" s="729"/>
      <c r="J22" s="668"/>
      <c r="K22" s="668"/>
      <c r="L22" s="668"/>
      <c r="M22" s="668"/>
    </row>
    <row r="23" spans="1:13">
      <c r="A23" s="2">
        <f>+A22+1</f>
        <v>7</v>
      </c>
      <c r="B23" s="4" t="s">
        <v>639</v>
      </c>
      <c r="C23" s="2" t="s">
        <v>703</v>
      </c>
      <c r="D23" s="357">
        <f>'B.6 F'!G24</f>
        <v>-1437536.5350000001</v>
      </c>
      <c r="E23" s="357"/>
      <c r="F23" s="357">
        <f>'B.6 F'!L24</f>
        <v>-1437536.5350000001</v>
      </c>
      <c r="G23" s="81"/>
      <c r="H23" s="730"/>
      <c r="I23" s="729"/>
      <c r="J23" s="668"/>
      <c r="K23" s="668"/>
      <c r="L23" s="668"/>
      <c r="M23" s="668"/>
    </row>
    <row r="24" spans="1:13">
      <c r="A24" s="808">
        <f t="shared" ref="A24:A25" si="0">+A23+1</f>
        <v>8</v>
      </c>
      <c r="B24" s="4" t="s">
        <v>1475</v>
      </c>
      <c r="C24" s="808" t="s">
        <v>1474</v>
      </c>
      <c r="D24" s="357">
        <f>F.6!I26</f>
        <v>156942.04</v>
      </c>
      <c r="E24" s="357"/>
      <c r="F24" s="357">
        <f>F.6!I27</f>
        <v>235413.06</v>
      </c>
      <c r="G24" s="81"/>
      <c r="H24" s="730"/>
      <c r="I24" s="729"/>
      <c r="J24" s="668"/>
      <c r="K24" s="668"/>
      <c r="L24" s="668"/>
      <c r="M24" s="668"/>
    </row>
    <row r="25" spans="1:13">
      <c r="A25" s="808">
        <f t="shared" si="0"/>
        <v>9</v>
      </c>
      <c r="B25" s="88" t="s">
        <v>1142</v>
      </c>
      <c r="C25" s="117" t="s">
        <v>704</v>
      </c>
      <c r="D25" s="421">
        <f>'B.5 F'!G49</f>
        <v>-81151532.33289817</v>
      </c>
      <c r="E25" s="357" t="s">
        <v>782</v>
      </c>
      <c r="F25" s="421">
        <f>'B.5 F'!L53</f>
        <v>-77948285.404038474</v>
      </c>
      <c r="G25" s="81"/>
      <c r="H25" s="730"/>
      <c r="I25" s="729"/>
      <c r="J25" s="668"/>
      <c r="K25" s="668"/>
      <c r="L25" s="668"/>
      <c r="M25" s="668"/>
    </row>
    <row r="26" spans="1:13">
      <c r="A26" s="2"/>
      <c r="E26" s="81"/>
      <c r="G26" s="81"/>
      <c r="H26" s="730"/>
      <c r="I26" s="729"/>
      <c r="J26" s="668"/>
      <c r="K26" s="668"/>
      <c r="L26" s="668"/>
      <c r="M26" s="668"/>
    </row>
    <row r="27" spans="1:13" ht="15.75" thickBot="1">
      <c r="A27" s="2">
        <f>A25+1</f>
        <v>10</v>
      </c>
      <c r="B27" s="4" t="s">
        <v>160</v>
      </c>
      <c r="D27" s="309">
        <f>SUM(D19:D25)</f>
        <v>424875480.3685236</v>
      </c>
      <c r="E27" s="73"/>
      <c r="F27" s="309">
        <f>SUM(F19:F25)</f>
        <v>426999485.2838006</v>
      </c>
      <c r="G27" s="433"/>
      <c r="H27" s="731"/>
      <c r="I27" s="729"/>
      <c r="J27" s="668"/>
      <c r="K27" s="668"/>
      <c r="L27" s="668"/>
      <c r="M27" s="668"/>
    </row>
    <row r="28" spans="1:13" ht="15.75" thickTop="1">
      <c r="D28" s="10"/>
      <c r="E28" s="73"/>
      <c r="F28" s="10"/>
      <c r="G28" s="81"/>
      <c r="H28" s="730"/>
      <c r="J28" s="670"/>
      <c r="K28" s="668"/>
      <c r="L28" s="668"/>
    </row>
    <row r="29" spans="1:13" ht="33.75">
      <c r="B29" s="848" t="s">
        <v>1529</v>
      </c>
    </row>
    <row r="31" spans="1:13">
      <c r="D31" s="10"/>
      <c r="E31" s="10"/>
      <c r="F31" s="10"/>
    </row>
    <row r="32" spans="1:13">
      <c r="D32" s="10"/>
      <c r="E32" s="10"/>
      <c r="F32" s="10"/>
    </row>
  </sheetData>
  <phoneticPr fontId="22" type="noConversion"/>
  <printOptions horizontalCentered="1"/>
  <pageMargins left="0.72" right="0.79" top="0.74" bottom="0.5" header="0.5" footer="0.5"/>
  <pageSetup scale="98" orientation="landscape" verticalDpi="300" r:id="rId1"/>
  <headerFooter alignWithMargins="0">
    <oddFooter>&amp;RSchedule &amp;A
Page &amp;P of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T74"/>
  <sheetViews>
    <sheetView view="pageBreakPreview" zoomScale="60" zoomScaleNormal="90" workbookViewId="0">
      <pane xSplit="6" ySplit="13" topLeftCell="G14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7.109375" defaultRowHeight="15"/>
  <cols>
    <col min="1" max="1" width="4" style="96" customWidth="1"/>
    <col min="2" max="2" width="0" style="96" hidden="1" customWidth="1"/>
    <col min="3" max="3" width="16.44140625" style="96" customWidth="1"/>
    <col min="4" max="4" width="5" style="96" customWidth="1"/>
    <col min="5" max="5" width="3.21875" style="96" customWidth="1"/>
    <col min="6" max="6" width="1.44140625" style="96" customWidth="1"/>
    <col min="7" max="8" width="11.44140625" style="96" customWidth="1"/>
    <col min="9" max="9" width="12.88671875" style="96" customWidth="1"/>
    <col min="10" max="11" width="11.44140625" style="96" customWidth="1"/>
    <col min="12" max="12" width="1.44140625" style="96" customWidth="1"/>
    <col min="13" max="13" width="12.109375" style="96" customWidth="1"/>
    <col min="14" max="14" width="1.44140625" style="96" customWidth="1"/>
    <col min="15" max="15" width="12.88671875" style="96" customWidth="1"/>
    <col min="16" max="16" width="1.5546875" style="96" customWidth="1"/>
    <col min="17" max="17" width="12.33203125" style="96" customWidth="1"/>
    <col min="18" max="19" width="12.88671875" style="96" customWidth="1"/>
    <col min="20" max="20" width="9.33203125" style="96" customWidth="1"/>
    <col min="21" max="16384" width="7.109375" style="96"/>
  </cols>
  <sheetData>
    <row r="1" spans="1:20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861"/>
    </row>
    <row r="2" spans="1:20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861"/>
    </row>
    <row r="3" spans="1:20">
      <c r="A3" s="1188" t="s">
        <v>1145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861"/>
    </row>
    <row r="4" spans="1:20">
      <c r="A4" s="1188" t="str">
        <f>'Table of Contents'!A3:C3</f>
        <v>Base Period: Twelve Months Ended December 31, 2017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8"/>
      <c r="N4" s="1188"/>
      <c r="O4" s="1188"/>
      <c r="P4" s="1188"/>
      <c r="Q4" s="1188"/>
      <c r="R4" s="1188"/>
      <c r="S4" s="861"/>
    </row>
    <row r="5" spans="1:20">
      <c r="A5" s="1188" t="str">
        <f>'Table of Contents'!A4:C4</f>
        <v>Forecasted Test Period: Twelve Months Ended March 31, 2019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88"/>
      <c r="O5" s="1188"/>
      <c r="P5" s="1188"/>
      <c r="Q5" s="1188"/>
      <c r="R5" s="1188"/>
      <c r="S5" s="861"/>
    </row>
    <row r="7" spans="1:20">
      <c r="A7" s="697" t="s">
        <v>686</v>
      </c>
      <c r="R7" s="96" t="s">
        <v>1467</v>
      </c>
    </row>
    <row r="8" spans="1:20">
      <c r="A8" s="697" t="s">
        <v>545</v>
      </c>
      <c r="R8" s="697" t="s">
        <v>1146</v>
      </c>
    </row>
    <row r="9" spans="1:20">
      <c r="A9" s="978" t="s">
        <v>1143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978" t="str">
        <f>I.2!R9</f>
        <v>Witness: Gillham, Martin</v>
      </c>
      <c r="S9" s="107"/>
    </row>
    <row r="10" spans="1:20">
      <c r="M10" s="858" t="s">
        <v>45</v>
      </c>
      <c r="O10" s="858" t="s">
        <v>44</v>
      </c>
      <c r="P10" s="858"/>
    </row>
    <row r="11" spans="1:20">
      <c r="A11" s="697" t="s">
        <v>94</v>
      </c>
      <c r="G11" s="979"/>
      <c r="H11" s="980"/>
      <c r="I11" s="980" t="s">
        <v>1171</v>
      </c>
      <c r="J11" s="981"/>
      <c r="K11" s="981"/>
      <c r="M11" s="858" t="s">
        <v>543</v>
      </c>
      <c r="O11" s="858" t="s">
        <v>543</v>
      </c>
      <c r="P11" s="858"/>
      <c r="Q11" s="1187" t="s">
        <v>1040</v>
      </c>
      <c r="R11" s="1187"/>
      <c r="S11" s="1187"/>
    </row>
    <row r="12" spans="1:20">
      <c r="A12" s="978" t="s">
        <v>57</v>
      </c>
      <c r="B12" s="643"/>
      <c r="C12" s="982" t="s">
        <v>993</v>
      </c>
      <c r="D12" s="643"/>
      <c r="E12" s="643"/>
      <c r="F12" s="643"/>
      <c r="G12" s="983" t="str">
        <f>I.1!D13</f>
        <v>2012</v>
      </c>
      <c r="H12" s="983" t="str">
        <f>I.1!E13</f>
        <v>2013</v>
      </c>
      <c r="I12" s="983" t="str">
        <f>I.1!F13</f>
        <v>2014</v>
      </c>
      <c r="J12" s="983" t="str">
        <f>I.1!G13</f>
        <v>2015</v>
      </c>
      <c r="K12" s="983" t="str">
        <f>I.1!H13</f>
        <v>2016</v>
      </c>
      <c r="L12" s="984"/>
      <c r="M12" s="985">
        <f>I.1!J13</f>
        <v>43100</v>
      </c>
      <c r="N12" s="986"/>
      <c r="O12" s="985">
        <f>I.1!L13</f>
        <v>43555</v>
      </c>
      <c r="P12" s="987"/>
      <c r="Q12" s="983">
        <f>I.2!Q12</f>
        <v>2019</v>
      </c>
      <c r="R12" s="983" t="str">
        <f>I.2!R12</f>
        <v>2020</v>
      </c>
      <c r="S12" s="983" t="str">
        <f>I.2!S12</f>
        <v>2021</v>
      </c>
    </row>
    <row r="13" spans="1:20">
      <c r="G13" s="858" t="s">
        <v>570</v>
      </c>
      <c r="H13" s="858" t="s">
        <v>570</v>
      </c>
      <c r="I13" s="858" t="s">
        <v>570</v>
      </c>
      <c r="J13" s="858" t="s">
        <v>570</v>
      </c>
      <c r="K13" s="858"/>
      <c r="M13" s="858" t="s">
        <v>570</v>
      </c>
      <c r="O13" s="858" t="s">
        <v>570</v>
      </c>
      <c r="P13" s="858"/>
      <c r="Q13" s="858" t="s">
        <v>570</v>
      </c>
      <c r="R13" s="858" t="s">
        <v>570</v>
      </c>
      <c r="S13" s="858"/>
    </row>
    <row r="15" spans="1:20">
      <c r="A15" s="858">
        <v>1</v>
      </c>
      <c r="C15" s="697" t="s">
        <v>344</v>
      </c>
      <c r="M15" s="96" t="s">
        <v>327</v>
      </c>
      <c r="T15" s="86"/>
    </row>
    <row r="16" spans="1:20">
      <c r="A16" s="858">
        <v>2</v>
      </c>
      <c r="C16" s="697" t="s">
        <v>131</v>
      </c>
      <c r="G16" s="86">
        <v>8369577.9699999997</v>
      </c>
      <c r="H16" s="86">
        <v>10662876.41</v>
      </c>
      <c r="I16" s="86">
        <v>11757006.99</v>
      </c>
      <c r="J16" s="86">
        <v>10133137.57</v>
      </c>
      <c r="K16" s="86">
        <v>8859272.2200000007</v>
      </c>
      <c r="M16" s="86">
        <v>9997159.5259268768</v>
      </c>
      <c r="O16" s="86">
        <v>10026385.522694048</v>
      </c>
      <c r="Q16" s="86">
        <v>10030146.499525107</v>
      </c>
      <c r="R16" s="86">
        <v>10049272.308187226</v>
      </c>
      <c r="S16" s="86">
        <v>10068398.621149346</v>
      </c>
      <c r="T16" s="87"/>
    </row>
    <row r="17" spans="1:20">
      <c r="A17" s="858">
        <v>3</v>
      </c>
      <c r="C17" s="697" t="s">
        <v>132</v>
      </c>
      <c r="D17" s="858"/>
      <c r="G17" s="86">
        <v>3946439.65</v>
      </c>
      <c r="H17" s="86">
        <v>5112547.93</v>
      </c>
      <c r="I17" s="86">
        <v>5657641.1699999999</v>
      </c>
      <c r="J17" s="86">
        <v>4981322.42</v>
      </c>
      <c r="K17" s="86">
        <v>4436287.6000000006</v>
      </c>
      <c r="M17" s="86">
        <v>4895832.09</v>
      </c>
      <c r="O17" s="86">
        <v>4895832.09</v>
      </c>
      <c r="Q17" s="86">
        <v>4895832.09</v>
      </c>
      <c r="R17" s="86">
        <v>4895832.09</v>
      </c>
      <c r="S17" s="86">
        <v>4895832.09</v>
      </c>
      <c r="T17" s="87"/>
    </row>
    <row r="18" spans="1:20">
      <c r="A18" s="858">
        <v>4</v>
      </c>
      <c r="C18" s="697" t="s">
        <v>133</v>
      </c>
      <c r="D18" s="858"/>
      <c r="G18" s="86">
        <v>995094.70000000019</v>
      </c>
      <c r="H18" s="86">
        <v>807005.98999999987</v>
      </c>
      <c r="I18" s="86">
        <v>780038.61999999976</v>
      </c>
      <c r="J18" s="86">
        <v>706192.47</v>
      </c>
      <c r="K18" s="86">
        <v>1021717.6900000001</v>
      </c>
      <c r="M18" s="86">
        <v>972670.4600000002</v>
      </c>
      <c r="O18" s="86">
        <v>972670.46000000008</v>
      </c>
      <c r="Q18" s="86">
        <v>972670.46</v>
      </c>
      <c r="R18" s="86">
        <v>972670.46</v>
      </c>
      <c r="S18" s="86">
        <v>972670.46</v>
      </c>
      <c r="T18" s="87"/>
    </row>
    <row r="19" spans="1:20">
      <c r="A19" s="858">
        <v>5</v>
      </c>
      <c r="C19" s="697" t="s">
        <v>164</v>
      </c>
      <c r="D19" s="858"/>
      <c r="G19" s="86">
        <v>967626.79</v>
      </c>
      <c r="H19" s="86">
        <v>1185264.3900000001</v>
      </c>
      <c r="I19" s="86">
        <v>1241309.8799999999</v>
      </c>
      <c r="J19" s="86">
        <v>1055743.3699999999</v>
      </c>
      <c r="K19" s="86">
        <v>896168.19</v>
      </c>
      <c r="M19" s="86">
        <v>963106.67</v>
      </c>
      <c r="O19" s="86">
        <v>963106.67</v>
      </c>
      <c r="Q19" s="86">
        <v>963106.66999999993</v>
      </c>
      <c r="R19" s="86">
        <v>963106.66999999993</v>
      </c>
      <c r="S19" s="86">
        <v>963106.66999999993</v>
      </c>
      <c r="T19" s="87"/>
    </row>
    <row r="20" spans="1:20">
      <c r="A20" s="858">
        <v>6</v>
      </c>
      <c r="C20" s="697" t="s">
        <v>86</v>
      </c>
      <c r="G20" s="463"/>
      <c r="H20" s="463"/>
      <c r="I20" s="463"/>
      <c r="J20" s="463"/>
      <c r="K20" s="463"/>
      <c r="L20" s="643"/>
      <c r="M20" s="87"/>
      <c r="O20" s="87"/>
      <c r="Q20" s="979"/>
      <c r="R20" s="463"/>
      <c r="S20" s="463"/>
      <c r="T20" s="86"/>
    </row>
    <row r="21" spans="1:20">
      <c r="A21" s="858">
        <v>7</v>
      </c>
      <c r="G21" s="736"/>
      <c r="H21" s="736"/>
      <c r="I21" s="736"/>
      <c r="J21" s="736"/>
      <c r="K21" s="736"/>
      <c r="M21" s="736"/>
      <c r="O21" s="736"/>
      <c r="Q21" s="736"/>
      <c r="R21" s="736"/>
      <c r="S21" s="736"/>
      <c r="T21" s="86"/>
    </row>
    <row r="22" spans="1:20">
      <c r="A22" s="858">
        <v>8</v>
      </c>
      <c r="C22" s="697" t="s">
        <v>424</v>
      </c>
      <c r="G22" s="86">
        <f>SUM(G16:G20)</f>
        <v>14278739.109999999</v>
      </c>
      <c r="H22" s="86">
        <f>SUM(H16:H20)</f>
        <v>17767694.719999999</v>
      </c>
      <c r="I22" s="86">
        <f>SUM(I16:I20)</f>
        <v>19435996.66</v>
      </c>
      <c r="J22" s="86">
        <f>SUM(J16:J20)</f>
        <v>16876395.830000002</v>
      </c>
      <c r="K22" s="86">
        <f>SUM(K16:K20)</f>
        <v>15213445.699999999</v>
      </c>
      <c r="M22" s="86">
        <f>SUM(M16:M20)</f>
        <v>16828768.745926879</v>
      </c>
      <c r="O22" s="86">
        <f>SUM(O16:O20)</f>
        <v>16857994.74269405</v>
      </c>
      <c r="Q22" s="86">
        <f>SUM(Q16:Q20)</f>
        <v>16861755.719525106</v>
      </c>
      <c r="R22" s="86">
        <f>SUM(R16:R20)</f>
        <v>16880881.528187223</v>
      </c>
      <c r="S22" s="86">
        <f>SUM(S16:S20)</f>
        <v>16900007.841149345</v>
      </c>
      <c r="T22" s="86"/>
    </row>
    <row r="23" spans="1:20">
      <c r="A23" s="858">
        <v>9</v>
      </c>
      <c r="G23" s="86"/>
      <c r="H23" s="86"/>
      <c r="I23" s="86"/>
      <c r="J23" s="86"/>
      <c r="K23" s="86"/>
      <c r="M23" s="86"/>
      <c r="O23" s="86"/>
      <c r="Q23" s="86"/>
      <c r="R23" s="86"/>
      <c r="S23" s="86"/>
      <c r="T23" s="86"/>
    </row>
    <row r="24" spans="1:20">
      <c r="A24" s="858">
        <v>10</v>
      </c>
      <c r="C24" s="697" t="s">
        <v>165</v>
      </c>
      <c r="G24" s="86"/>
      <c r="H24" s="86"/>
      <c r="I24" s="86"/>
      <c r="J24" s="86"/>
      <c r="K24" s="86"/>
      <c r="M24" s="86"/>
      <c r="O24" s="86"/>
      <c r="Q24" s="86"/>
      <c r="R24" s="86"/>
      <c r="S24" s="86"/>
      <c r="T24" s="86"/>
    </row>
    <row r="25" spans="1:20">
      <c r="A25" s="858">
        <v>11</v>
      </c>
      <c r="C25" s="697" t="s">
        <v>131</v>
      </c>
      <c r="D25" s="858" t="s">
        <v>327</v>
      </c>
      <c r="G25" s="86">
        <f>I.2!G25</f>
        <v>153903.75</v>
      </c>
      <c r="H25" s="86">
        <f>I.2!H25</f>
        <v>155702.08333333334</v>
      </c>
      <c r="I25" s="86">
        <f>I.2!I25</f>
        <v>155280.75</v>
      </c>
      <c r="J25" s="86">
        <f>I.2!J25</f>
        <v>155597.41666666666</v>
      </c>
      <c r="K25" s="86">
        <f>I.2!K25</f>
        <v>156173.75</v>
      </c>
      <c r="M25" s="86">
        <f>I.2!M25</f>
        <v>156822.25</v>
      </c>
      <c r="O25" s="86">
        <f>I.2!O25</f>
        <v>157197.25</v>
      </c>
      <c r="Q25" s="86">
        <f>I.2!Q25</f>
        <v>157347.25</v>
      </c>
      <c r="R25" s="86">
        <f>I.2!R25</f>
        <v>157647.25</v>
      </c>
      <c r="S25" s="86">
        <f>I.2!S25</f>
        <v>157947.25</v>
      </c>
      <c r="T25" s="86"/>
    </row>
    <row r="26" spans="1:20">
      <c r="A26" s="858">
        <v>12</v>
      </c>
      <c r="C26" s="697" t="s">
        <v>132</v>
      </c>
      <c r="D26" s="858"/>
      <c r="G26" s="86">
        <f>I.2!G26</f>
        <v>17318</v>
      </c>
      <c r="H26" s="86">
        <f>I.2!H26</f>
        <v>17435.166666666668</v>
      </c>
      <c r="I26" s="86">
        <f>I.2!I26</f>
        <v>17333.333333333332</v>
      </c>
      <c r="J26" s="86">
        <f>I.2!J26</f>
        <v>17339</v>
      </c>
      <c r="K26" s="86">
        <f>I.2!K26</f>
        <v>17353.666666666668</v>
      </c>
      <c r="M26" s="86">
        <f>I.2!M26</f>
        <v>17418.583333333332</v>
      </c>
      <c r="O26" s="86">
        <f>I.2!O26</f>
        <v>17418.583333333332</v>
      </c>
      <c r="Q26" s="86">
        <f>I.2!Q26</f>
        <v>17418.583333333336</v>
      </c>
      <c r="R26" s="86">
        <f>I.2!R26</f>
        <v>17418.583333333336</v>
      </c>
      <c r="S26" s="86">
        <f>I.2!S26</f>
        <v>17418.583333333336</v>
      </c>
      <c r="T26" s="86"/>
    </row>
    <row r="27" spans="1:20">
      <c r="A27" s="858">
        <v>13</v>
      </c>
      <c r="C27" s="697" t="s">
        <v>133</v>
      </c>
      <c r="D27" s="858"/>
      <c r="G27" s="86">
        <f>I.2!G27</f>
        <v>206.91666666666666</v>
      </c>
      <c r="H27" s="86">
        <f>I.2!H27</f>
        <v>203.66666666666666</v>
      </c>
      <c r="I27" s="86">
        <f>I.2!I27</f>
        <v>201.16666666666666</v>
      </c>
      <c r="J27" s="86">
        <f>I.2!J27</f>
        <v>205.33333333333334</v>
      </c>
      <c r="K27" s="86">
        <f>I.2!K27</f>
        <v>205.83333333333334</v>
      </c>
      <c r="M27" s="86">
        <f>I.2!M27</f>
        <v>211.61018518518517</v>
      </c>
      <c r="O27" s="86">
        <f>I.2!O27</f>
        <v>211.61018518518517</v>
      </c>
      <c r="Q27" s="86">
        <f>I.2!Q27</f>
        <v>211.6101851851852</v>
      </c>
      <c r="R27" s="86">
        <f>I.2!R27</f>
        <v>211.6101851851852</v>
      </c>
      <c r="S27" s="86">
        <f>I.2!S27</f>
        <v>211.6101851851852</v>
      </c>
      <c r="T27" s="86"/>
    </row>
    <row r="28" spans="1:20">
      <c r="A28" s="858">
        <v>14</v>
      </c>
      <c r="C28" s="697" t="s">
        <v>164</v>
      </c>
      <c r="D28" s="858"/>
      <c r="G28" s="87">
        <f>I.2!G28</f>
        <v>1575.3333333333333</v>
      </c>
      <c r="H28" s="87">
        <f>I.2!H28</f>
        <v>1576.1666666666667</v>
      </c>
      <c r="I28" s="87">
        <f>I.2!I28</f>
        <v>1560.8333333333333</v>
      </c>
      <c r="J28" s="87">
        <f>I.2!J28</f>
        <v>1550</v>
      </c>
      <c r="K28" s="87">
        <f>I.2!K28</f>
        <v>1548.5833333333333</v>
      </c>
      <c r="M28" s="87">
        <f>I.2!M28</f>
        <v>1548.5833333333333</v>
      </c>
      <c r="O28" s="87">
        <f>I.2!O28</f>
        <v>1548.5833333333333</v>
      </c>
      <c r="Q28" s="463">
        <f>I.2!Q28</f>
        <v>1548.5833333333333</v>
      </c>
      <c r="R28" s="463">
        <f>I.2!R28</f>
        <v>1548.5833333333333</v>
      </c>
      <c r="S28" s="463">
        <f>I.2!S28</f>
        <v>1548.5833333333333</v>
      </c>
      <c r="T28" s="86"/>
    </row>
    <row r="29" spans="1:20">
      <c r="A29" s="858">
        <v>15</v>
      </c>
      <c r="G29" s="736"/>
      <c r="H29" s="736"/>
      <c r="I29" s="736"/>
      <c r="J29" s="736"/>
      <c r="K29" s="736"/>
      <c r="M29" s="736"/>
      <c r="O29" s="736"/>
      <c r="Q29" s="736"/>
      <c r="R29" s="736"/>
      <c r="S29" s="736"/>
      <c r="T29" s="86"/>
    </row>
    <row r="30" spans="1:20">
      <c r="A30" s="858">
        <v>16</v>
      </c>
      <c r="C30" s="697" t="s">
        <v>97</v>
      </c>
      <c r="D30" s="858"/>
      <c r="G30" s="86">
        <f>SUM(G25:G29)</f>
        <v>173004</v>
      </c>
      <c r="H30" s="86">
        <f>SUM(H25:H29)</f>
        <v>174917.08333333331</v>
      </c>
      <c r="I30" s="86">
        <f>SUM(I25:I29)</f>
        <v>174376.08333333334</v>
      </c>
      <c r="J30" s="86">
        <f>SUM(J25:J29)</f>
        <v>174691.75</v>
      </c>
      <c r="K30" s="86">
        <f>SUM(K25:K29)</f>
        <v>175281.83333333334</v>
      </c>
      <c r="M30" s="86">
        <f>SUM(M25:M29)</f>
        <v>176001.02685185187</v>
      </c>
      <c r="O30" s="86">
        <f>SUM(O25:O29)</f>
        <v>176376.02685185187</v>
      </c>
      <c r="Q30" s="86">
        <f>SUM(Q25:Q29)</f>
        <v>176526.02685185187</v>
      </c>
      <c r="R30" s="86">
        <f>SUM(R25:R29)</f>
        <v>176826.02685185187</v>
      </c>
      <c r="S30" s="86">
        <f>SUM(S25:S29)</f>
        <v>177126.02685185187</v>
      </c>
      <c r="T30" s="86"/>
    </row>
    <row r="31" spans="1:20">
      <c r="A31" s="858">
        <v>17</v>
      </c>
      <c r="G31" s="86"/>
      <c r="H31" s="86"/>
      <c r="I31" s="86"/>
      <c r="J31" s="86"/>
      <c r="K31" s="86"/>
      <c r="M31" s="86"/>
      <c r="O31" s="86"/>
      <c r="Q31" s="86"/>
      <c r="R31" s="86"/>
      <c r="S31" s="86"/>
      <c r="T31" s="86"/>
    </row>
    <row r="32" spans="1:20">
      <c r="A32" s="858">
        <v>18</v>
      </c>
      <c r="C32" s="697" t="s">
        <v>345</v>
      </c>
      <c r="G32" s="86"/>
      <c r="H32" s="86"/>
      <c r="I32" s="86"/>
      <c r="J32" s="86"/>
      <c r="K32" s="86"/>
      <c r="M32" s="86"/>
      <c r="O32" s="86"/>
      <c r="Q32" s="86"/>
      <c r="R32" s="86"/>
      <c r="S32" s="86"/>
      <c r="T32" s="86"/>
    </row>
    <row r="33" spans="1:20">
      <c r="A33" s="858">
        <v>19</v>
      </c>
      <c r="C33" s="697" t="s">
        <v>131</v>
      </c>
      <c r="G33" s="86">
        <f t="shared" ref="G33:J36" si="0">(G16/G25)</f>
        <v>54.381897582092705</v>
      </c>
      <c r="H33" s="86">
        <f t="shared" si="0"/>
        <v>68.482554515166512</v>
      </c>
      <c r="I33" s="86">
        <f t="shared" si="0"/>
        <v>75.714517028028268</v>
      </c>
      <c r="J33" s="86">
        <f t="shared" si="0"/>
        <v>65.124073310985779</v>
      </c>
      <c r="K33" s="86">
        <f t="shared" ref="K33" si="1">(K16/K25)</f>
        <v>56.727024996198146</v>
      </c>
      <c r="M33" s="86">
        <f>(M16/M25)</f>
        <v>63.748349012508598</v>
      </c>
      <c r="O33" s="86">
        <f>(O16/O25)</f>
        <v>63.782194171297832</v>
      </c>
      <c r="Q33" s="86">
        <f t="shared" ref="Q33:R36" si="2">(Q16/Q25)</f>
        <v>63.745292653828443</v>
      </c>
      <c r="R33" s="86">
        <f t="shared" si="2"/>
        <v>63.745306741394003</v>
      </c>
      <c r="S33" s="86">
        <f t="shared" ref="S33" si="3">(S16/S25)</f>
        <v>63.74532396828274</v>
      </c>
      <c r="T33" s="86"/>
    </row>
    <row r="34" spans="1:20">
      <c r="A34" s="858">
        <v>20</v>
      </c>
      <c r="C34" s="697" t="s">
        <v>132</v>
      </c>
      <c r="G34" s="86">
        <f t="shared" si="0"/>
        <v>227.88079743619355</v>
      </c>
      <c r="H34" s="86">
        <f t="shared" si="0"/>
        <v>293.23195055969256</v>
      </c>
      <c r="I34" s="86">
        <f t="shared" si="0"/>
        <v>326.40237519230772</v>
      </c>
      <c r="J34" s="86">
        <f t="shared" si="0"/>
        <v>287.2900640175327</v>
      </c>
      <c r="K34" s="86">
        <f t="shared" ref="K34" si="4">(K17/K26)</f>
        <v>255.63978409942186</v>
      </c>
      <c r="M34" s="86">
        <f>(M17/M26)</f>
        <v>281.06947599068047</v>
      </c>
      <c r="O34" s="86">
        <f>(O17/O26)</f>
        <v>281.06947599068047</v>
      </c>
      <c r="Q34" s="86">
        <f t="shared" si="2"/>
        <v>281.06947599068042</v>
      </c>
      <c r="R34" s="86">
        <f t="shared" si="2"/>
        <v>281.06947599068042</v>
      </c>
      <c r="S34" s="86">
        <f t="shared" ref="S34" si="5">(S17/S26)</f>
        <v>281.06947599068042</v>
      </c>
      <c r="T34" s="86"/>
    </row>
    <row r="35" spans="1:20">
      <c r="A35" s="858">
        <v>21</v>
      </c>
      <c r="C35" s="697" t="s">
        <v>133</v>
      </c>
      <c r="G35" s="86">
        <f t="shared" si="0"/>
        <v>4809.1568264196549</v>
      </c>
      <c r="H35" s="86">
        <f t="shared" si="0"/>
        <v>3962.3862029459897</v>
      </c>
      <c r="I35" s="86">
        <f t="shared" si="0"/>
        <v>3877.5739188069583</v>
      </c>
      <c r="J35" s="86">
        <f t="shared" si="0"/>
        <v>3439.2490422077917</v>
      </c>
      <c r="K35" s="86">
        <f t="shared" ref="K35" si="6">(K18/K27)</f>
        <v>4963.8106396761132</v>
      </c>
      <c r="M35" s="86">
        <f>(M18/M27)</f>
        <v>4596.5200547827735</v>
      </c>
      <c r="O35" s="86">
        <f>(O18/O27)</f>
        <v>4596.5200547827726</v>
      </c>
      <c r="Q35" s="86">
        <f t="shared" si="2"/>
        <v>4596.5200547827717</v>
      </c>
      <c r="R35" s="86">
        <f t="shared" si="2"/>
        <v>4596.5200547827717</v>
      </c>
      <c r="S35" s="86">
        <f t="shared" ref="S35" si="7">(S18/S27)</f>
        <v>4596.5200547827717</v>
      </c>
      <c r="T35" s="86"/>
    </row>
    <row r="36" spans="1:20">
      <c r="A36" s="858">
        <v>22</v>
      </c>
      <c r="C36" s="697" t="s">
        <v>164</v>
      </c>
      <c r="G36" s="86">
        <f t="shared" si="0"/>
        <v>614.23621878967424</v>
      </c>
      <c r="H36" s="86">
        <f t="shared" si="0"/>
        <v>751.99178809347575</v>
      </c>
      <c r="I36" s="86">
        <f t="shared" si="0"/>
        <v>795.28662893753335</v>
      </c>
      <c r="J36" s="86">
        <f t="shared" si="0"/>
        <v>681.12475483870958</v>
      </c>
      <c r="K36" s="86">
        <f t="shared" ref="K36" si="8">(K19/K28)</f>
        <v>578.70194694075224</v>
      </c>
      <c r="M36" s="86">
        <f>(M19/M28)</f>
        <v>621.92757036000648</v>
      </c>
      <c r="O36" s="86">
        <f>(O19/O28)</f>
        <v>621.92757036000648</v>
      </c>
      <c r="Q36" s="86">
        <f t="shared" si="2"/>
        <v>621.92757036000648</v>
      </c>
      <c r="R36" s="86">
        <f t="shared" si="2"/>
        <v>621.92757036000648</v>
      </c>
      <c r="S36" s="86">
        <f t="shared" ref="S36" si="9">(S19/S28)</f>
        <v>621.92757036000648</v>
      </c>
      <c r="T36" s="86"/>
    </row>
    <row r="37" spans="1:20">
      <c r="H37" s="86"/>
      <c r="I37" s="86"/>
      <c r="J37" s="86"/>
      <c r="K37" s="86"/>
      <c r="M37" s="86"/>
      <c r="T37" s="86"/>
    </row>
    <row r="38" spans="1:20">
      <c r="A38" s="697"/>
      <c r="C38" s="697"/>
      <c r="G38" s="86"/>
      <c r="H38" s="86"/>
      <c r="I38" s="86"/>
      <c r="J38" s="86"/>
      <c r="K38" s="86"/>
      <c r="M38" s="86"/>
      <c r="O38" s="86"/>
      <c r="Q38" s="86"/>
      <c r="R38" s="86"/>
      <c r="S38" s="86"/>
      <c r="T38" s="86"/>
    </row>
    <row r="39" spans="1:20">
      <c r="R39" s="86"/>
      <c r="S39" s="86"/>
      <c r="T39" s="86"/>
    </row>
    <row r="40" spans="1:20">
      <c r="R40" s="86"/>
      <c r="S40" s="86"/>
      <c r="T40" s="86"/>
    </row>
    <row r="42" spans="1:20">
      <c r="R42" s="86"/>
      <c r="S42" s="86"/>
      <c r="T42" s="86"/>
    </row>
    <row r="43" spans="1:20">
      <c r="R43" s="86"/>
      <c r="S43" s="86"/>
      <c r="T43" s="86"/>
    </row>
    <row r="48" spans="1:20">
      <c r="I48" s="86"/>
      <c r="J48" s="86"/>
      <c r="K48" s="86"/>
    </row>
    <row r="49" spans="9:11">
      <c r="I49" s="86"/>
      <c r="J49" s="86"/>
      <c r="K49" s="86"/>
    </row>
    <row r="50" spans="9:11">
      <c r="I50" s="86"/>
      <c r="J50" s="86"/>
      <c r="K50" s="86"/>
    </row>
    <row r="51" spans="9:11">
      <c r="I51" s="86"/>
      <c r="J51" s="86"/>
      <c r="K51" s="86"/>
    </row>
    <row r="52" spans="9:11">
      <c r="I52" s="86"/>
      <c r="J52" s="86"/>
      <c r="K52" s="86"/>
    </row>
    <row r="53" spans="9:11">
      <c r="I53" s="86"/>
      <c r="J53" s="86"/>
      <c r="K53" s="86"/>
    </row>
    <row r="54" spans="9:11">
      <c r="I54" s="86"/>
      <c r="J54" s="86"/>
      <c r="K54" s="86"/>
    </row>
    <row r="55" spans="9:11">
      <c r="I55" s="86"/>
      <c r="J55" s="86"/>
      <c r="K55" s="86"/>
    </row>
    <row r="56" spans="9:11">
      <c r="I56" s="86"/>
      <c r="J56" s="86"/>
      <c r="K56" s="86"/>
    </row>
    <row r="57" spans="9:11">
      <c r="I57" s="86"/>
      <c r="J57" s="86"/>
      <c r="K57" s="86"/>
    </row>
    <row r="58" spans="9:11">
      <c r="I58" s="86"/>
      <c r="J58" s="86"/>
      <c r="K58" s="86"/>
    </row>
    <row r="59" spans="9:11">
      <c r="I59" s="86"/>
      <c r="J59" s="86"/>
      <c r="K59" s="86"/>
    </row>
    <row r="60" spans="9:11">
      <c r="I60" s="86"/>
      <c r="J60" s="86"/>
      <c r="K60" s="86"/>
    </row>
    <row r="61" spans="9:11">
      <c r="I61" s="86"/>
      <c r="J61" s="86"/>
      <c r="K61" s="86"/>
    </row>
    <row r="62" spans="9:11">
      <c r="I62" s="86"/>
      <c r="J62" s="86"/>
      <c r="K62" s="86"/>
    </row>
    <row r="63" spans="9:11">
      <c r="I63" s="86"/>
      <c r="J63" s="86"/>
      <c r="K63" s="86"/>
    </row>
    <row r="64" spans="9:11">
      <c r="I64" s="86"/>
      <c r="J64" s="86"/>
      <c r="K64" s="86"/>
    </row>
    <row r="65" spans="9:11">
      <c r="I65" s="86"/>
      <c r="J65" s="86"/>
      <c r="K65" s="86"/>
    </row>
    <row r="66" spans="9:11">
      <c r="I66" s="86"/>
      <c r="J66" s="86"/>
      <c r="K66" s="86"/>
    </row>
    <row r="67" spans="9:11">
      <c r="I67" s="86"/>
      <c r="J67" s="86"/>
      <c r="K67" s="86"/>
    </row>
    <row r="68" spans="9:11">
      <c r="I68" s="86"/>
      <c r="J68" s="86"/>
      <c r="K68" s="86"/>
    </row>
    <row r="69" spans="9:11">
      <c r="I69" s="86"/>
      <c r="J69" s="86"/>
      <c r="K69" s="86"/>
    </row>
    <row r="70" spans="9:11">
      <c r="I70" s="86"/>
      <c r="J70" s="86"/>
      <c r="K70" s="86"/>
    </row>
    <row r="71" spans="9:11">
      <c r="I71" s="86"/>
      <c r="J71" s="86"/>
      <c r="K71" s="86"/>
    </row>
    <row r="72" spans="9:11">
      <c r="I72" s="86"/>
      <c r="J72" s="86"/>
      <c r="K72" s="86"/>
    </row>
    <row r="73" spans="9:11">
      <c r="I73" s="86"/>
      <c r="J73" s="86"/>
      <c r="K73" s="86"/>
    </row>
    <row r="74" spans="9:11">
      <c r="I74" s="86"/>
      <c r="J74" s="86"/>
      <c r="K74" s="86"/>
    </row>
  </sheetData>
  <mergeCells count="6">
    <mergeCell ref="Q11:S11"/>
    <mergeCell ref="A1:R1"/>
    <mergeCell ref="A2:R2"/>
    <mergeCell ref="A3:R3"/>
    <mergeCell ref="A4:R4"/>
    <mergeCell ref="A5:R5"/>
  </mergeCells>
  <phoneticPr fontId="22" type="noConversion"/>
  <pageMargins left="0.5" right="0.5" top="0.75" bottom="0.5" header="0.5" footer="0.5"/>
  <pageSetup scale="68" orientation="landscape" verticalDpi="300" r:id="rId1"/>
  <headerFooter alignWithMargins="0">
    <oddFooter>&amp;RSchedule &amp;A
Page &amp;P of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8"/>
  <sheetViews>
    <sheetView view="pageBreakPreview" zoomScale="80" zoomScaleNormal="90" zoomScaleSheetLayoutView="80" workbookViewId="0">
      <selection activeCell="M42" sqref="M42"/>
    </sheetView>
  </sheetViews>
  <sheetFormatPr defaultColWidth="10.109375" defaultRowHeight="15"/>
  <cols>
    <col min="1" max="1" width="5" style="1" customWidth="1"/>
    <col min="2" max="2" width="4.55468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4.8867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109375" style="1"/>
    <col min="14" max="14" width="6.6640625" style="1" customWidth="1"/>
    <col min="15" max="16" width="8.6640625" style="1" bestFit="1" customWidth="1"/>
    <col min="17" max="17" width="7.6640625" style="1" bestFit="1" customWidth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2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</row>
    <row r="2" spans="1:22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2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2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5" spans="1:22">
      <c r="A5" s="708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</row>
    <row r="6" spans="1:22">
      <c r="M6" s="1" t="s">
        <v>1440</v>
      </c>
    </row>
    <row r="7" spans="1:22">
      <c r="A7" s="4" t="s">
        <v>383</v>
      </c>
      <c r="M7" s="490" t="s">
        <v>783</v>
      </c>
    </row>
    <row r="8" spans="1:22">
      <c r="A8" s="66" t="s">
        <v>621</v>
      </c>
      <c r="M8" s="490" t="s">
        <v>860</v>
      </c>
    </row>
    <row r="9" spans="1:22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91" t="s">
        <v>1684</v>
      </c>
    </row>
    <row r="10" spans="1:22">
      <c r="L10" s="15"/>
      <c r="M10" s="15"/>
      <c r="N10" s="15"/>
      <c r="S10" s="15"/>
      <c r="T10" s="15"/>
      <c r="U10" s="15"/>
      <c r="V10" s="15"/>
    </row>
    <row r="11" spans="1:22">
      <c r="A11" s="2" t="s">
        <v>94</v>
      </c>
      <c r="E11" s="2" t="s">
        <v>96</v>
      </c>
      <c r="I11" s="2" t="s">
        <v>104</v>
      </c>
      <c r="M11" s="2" t="s">
        <v>352</v>
      </c>
    </row>
    <row r="12" spans="1:22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</row>
    <row r="13" spans="1:22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</row>
    <row r="14" spans="1:22">
      <c r="G14" s="2" t="s">
        <v>629</v>
      </c>
      <c r="I14" s="790" t="s">
        <v>150</v>
      </c>
      <c r="K14" s="2" t="s">
        <v>150</v>
      </c>
      <c r="M14" s="2" t="s">
        <v>150</v>
      </c>
    </row>
    <row r="16" spans="1:22">
      <c r="G16" s="10"/>
      <c r="K16" s="3"/>
      <c r="O16" s="10"/>
      <c r="S16" s="3"/>
    </row>
    <row r="17" spans="1:21" ht="15.75">
      <c r="C17" s="197" t="s">
        <v>1509</v>
      </c>
      <c r="G17" s="10"/>
      <c r="I17" s="11"/>
      <c r="K17" s="3"/>
      <c r="M17" s="3"/>
      <c r="O17" s="10"/>
      <c r="Q17" s="11"/>
      <c r="S17" s="3"/>
      <c r="U17" s="3"/>
    </row>
    <row r="18" spans="1:21">
      <c r="G18" s="10"/>
      <c r="K18" s="3"/>
      <c r="O18" s="10"/>
      <c r="S18" s="3"/>
    </row>
    <row r="19" spans="1:21">
      <c r="A19" s="790">
        <v>6</v>
      </c>
      <c r="C19" s="4" t="s">
        <v>273</v>
      </c>
      <c r="E19" s="21" t="s">
        <v>277</v>
      </c>
      <c r="F19" s="10"/>
      <c r="G19" s="470">
        <f>+J.1!H17</f>
        <v>242504.31246159747</v>
      </c>
      <c r="H19" s="10"/>
      <c r="I19" s="11">
        <f>+G19/G27</f>
        <v>3.3630015346410788E-2</v>
      </c>
      <c r="J19" s="10"/>
      <c r="K19" s="44">
        <f>+J.1!L17</f>
        <v>1.9898265289283203E-2</v>
      </c>
      <c r="L19" s="10"/>
      <c r="M19" s="44">
        <f>ROUND(I19*K19,4)</f>
        <v>6.9999999999999999E-4</v>
      </c>
      <c r="O19" s="10"/>
      <c r="Q19" s="10"/>
      <c r="S19" s="3"/>
      <c r="U19" s="3"/>
    </row>
    <row r="20" spans="1:21">
      <c r="E20" s="10"/>
      <c r="F20" s="10"/>
      <c r="G20" s="10"/>
      <c r="H20" s="10"/>
      <c r="I20" s="10"/>
      <c r="J20" s="10"/>
      <c r="K20" s="44"/>
      <c r="L20" s="10"/>
      <c r="M20" s="44"/>
    </row>
    <row r="21" spans="1:21">
      <c r="A21" s="790">
        <v>7</v>
      </c>
      <c r="C21" s="4" t="s">
        <v>274</v>
      </c>
      <c r="E21" s="21" t="s">
        <v>277</v>
      </c>
      <c r="F21" s="10"/>
      <c r="G21" s="73">
        <f>'J-3 B'!E34*0.001</f>
        <v>3066734.19575</v>
      </c>
      <c r="H21" s="10"/>
      <c r="I21" s="11">
        <f>+G21/G27</f>
        <v>0.42528859392043761</v>
      </c>
      <c r="J21" s="10"/>
      <c r="K21" s="44">
        <f>+J.1!L19</f>
        <v>5.1299999999999998E-2</v>
      </c>
      <c r="L21" s="10"/>
      <c r="M21" s="44">
        <f>ROUND(I21*K21,4)</f>
        <v>2.18E-2</v>
      </c>
    </row>
    <row r="22" spans="1:21">
      <c r="E22" s="10"/>
      <c r="F22" s="10"/>
      <c r="G22" s="10"/>
      <c r="H22" s="10"/>
      <c r="I22" s="10"/>
      <c r="J22" s="10"/>
      <c r="K22" s="44"/>
      <c r="L22" s="10"/>
      <c r="M22" s="44"/>
    </row>
    <row r="23" spans="1:21">
      <c r="A23" s="790">
        <v>8</v>
      </c>
      <c r="C23" s="4" t="s">
        <v>275</v>
      </c>
      <c r="E23" s="21" t="s">
        <v>278</v>
      </c>
      <c r="F23" s="10"/>
      <c r="G23" s="10">
        <f>+J.1!H23</f>
        <v>0</v>
      </c>
      <c r="H23" s="10"/>
      <c r="I23" s="11">
        <f>+G23/G27</f>
        <v>0</v>
      </c>
      <c r="J23" s="10"/>
      <c r="K23" s="44">
        <f>+J.1!L23</f>
        <v>0</v>
      </c>
      <c r="L23" s="10"/>
      <c r="M23" s="44">
        <f>ROUND(I23*K23,4)</f>
        <v>0</v>
      </c>
    </row>
    <row r="24" spans="1:21">
      <c r="E24" s="10"/>
      <c r="F24" s="10"/>
      <c r="G24" s="10"/>
      <c r="H24" s="10"/>
      <c r="I24" s="10"/>
      <c r="J24" s="10"/>
      <c r="K24" s="44"/>
      <c r="L24" s="10"/>
      <c r="M24" s="44"/>
    </row>
    <row r="25" spans="1:21">
      <c r="A25" s="790">
        <v>9</v>
      </c>
      <c r="C25" s="4" t="s">
        <v>276</v>
      </c>
      <c r="E25" s="10"/>
      <c r="F25" s="10"/>
      <c r="G25" s="575">
        <f>+J.1!H25</f>
        <v>3901710.1031300002</v>
      </c>
      <c r="H25" s="10"/>
      <c r="I25" s="23">
        <f>+G25/G27</f>
        <v>0.54108139073315165</v>
      </c>
      <c r="J25" s="10"/>
      <c r="K25" s="44">
        <f>+J.1!L25</f>
        <v>0.10299999999999999</v>
      </c>
      <c r="L25" s="10"/>
      <c r="M25" s="45">
        <f>ROUND(I25*K25,4)</f>
        <v>5.57E-2</v>
      </c>
    </row>
    <row r="26" spans="1:21">
      <c r="G26" s="10"/>
      <c r="K26" s="3"/>
    </row>
    <row r="27" spans="1:21" ht="15.75" thickBot="1">
      <c r="A27" s="2">
        <v>10</v>
      </c>
      <c r="C27" s="4" t="s">
        <v>404</v>
      </c>
      <c r="G27" s="324">
        <f>SUM(G19:G25)</f>
        <v>7210948.6113415975</v>
      </c>
      <c r="I27" s="18">
        <f>SUM(I19:I25)</f>
        <v>1</v>
      </c>
      <c r="K27" s="11"/>
      <c r="M27" s="47">
        <f>(+M19+M21+M23+M25)</f>
        <v>7.8199999999999992E-2</v>
      </c>
    </row>
    <row r="28" spans="1:21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67" right="0.75" top="0.75" bottom="1.26" header="0.5" footer="0.5"/>
  <pageSetup scale="95" orientation="landscape" verticalDpi="300" r:id="rId1"/>
  <headerFooter alignWithMargins="0">
    <oddFooter>&amp;RSchedule &amp;A
Page &amp;P of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Q33"/>
  <sheetViews>
    <sheetView view="pageBreakPreview" zoomScale="60" zoomScaleNormal="90" workbookViewId="0">
      <selection activeCell="F45" sqref="F45"/>
    </sheetView>
  </sheetViews>
  <sheetFormatPr defaultColWidth="10.109375" defaultRowHeight="15"/>
  <cols>
    <col min="1" max="1" width="6.5546875" style="81" customWidth="1"/>
    <col min="2" max="2" width="3.33203125" style="81" customWidth="1"/>
    <col min="3" max="3" width="16.109375" style="81" customWidth="1"/>
    <col min="4" max="4" width="11" style="81" customWidth="1"/>
    <col min="5" max="5" width="5.88671875" style="81" customWidth="1"/>
    <col min="6" max="6" width="13.109375" style="81" bestFit="1" customWidth="1"/>
    <col min="7" max="7" width="5" style="81" customWidth="1"/>
    <col min="8" max="8" width="10.109375" style="81"/>
    <col min="9" max="9" width="5" style="81" customWidth="1"/>
    <col min="10" max="10" width="10.109375" style="81" customWidth="1"/>
    <col min="11" max="11" width="6.33203125" style="81" customWidth="1"/>
    <col min="12" max="12" width="11.88671875" style="81" customWidth="1"/>
    <col min="13" max="16384" width="10.109375" style="81"/>
  </cols>
  <sheetData>
    <row r="1" spans="1:17">
      <c r="A1" s="1188" t="str">
        <f>'Table of Contents'!A1:C1</f>
        <v>Atmos Energy Corporation, Kentucky/Mid-States Division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</row>
    <row r="2" spans="1:17">
      <c r="A2" s="1188" t="str">
        <f>'Table of Contents'!A2:C2</f>
        <v>Kentucky Jurisdiction Case No. 2017-00349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7">
      <c r="A3" s="1188" t="s">
        <v>531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</row>
    <row r="4" spans="1:17">
      <c r="A4" s="1188" t="s">
        <v>1534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</row>
    <row r="5" spans="1:17">
      <c r="A5" s="861"/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</row>
    <row r="6" spans="1:17">
      <c r="L6" s="170" t="s">
        <v>1440</v>
      </c>
    </row>
    <row r="7" spans="1:17">
      <c r="A7" s="88" t="str">
        <f>'J-1 Base'!A7</f>
        <v>Data:__X___Base Period______Forecasted Period</v>
      </c>
      <c r="L7" s="988" t="s">
        <v>50</v>
      </c>
    </row>
    <row r="8" spans="1:17">
      <c r="A8" s="88" t="str">
        <f>'J-1 Base'!A8</f>
        <v>Type of Filing:___X____Original________Updated ________Revised</v>
      </c>
      <c r="L8" s="988" t="s">
        <v>860</v>
      </c>
    </row>
    <row r="9" spans="1:17">
      <c r="A9" s="392" t="str">
        <f>'J-1 Base'!A9</f>
        <v>Workpaper Reference No(s).____________________</v>
      </c>
      <c r="B9" s="151"/>
      <c r="C9" s="151"/>
      <c r="D9" s="151"/>
      <c r="E9" s="151"/>
      <c r="F9" s="151"/>
      <c r="G9" s="151"/>
      <c r="H9" s="151"/>
      <c r="I9" s="151"/>
      <c r="J9" s="151"/>
      <c r="K9" s="82"/>
      <c r="L9" s="551" t="str">
        <f>'J-1 Base'!M9</f>
        <v>Witness:  Christian</v>
      </c>
    </row>
    <row r="10" spans="1:17">
      <c r="H10" s="859">
        <v>-1</v>
      </c>
      <c r="J10" s="857" t="s">
        <v>354</v>
      </c>
      <c r="L10" s="857" t="s">
        <v>1154</v>
      </c>
    </row>
    <row r="11" spans="1:17">
      <c r="A11" s="857" t="s">
        <v>94</v>
      </c>
      <c r="F11" s="857" t="s">
        <v>105</v>
      </c>
      <c r="H11" s="857" t="s">
        <v>270</v>
      </c>
      <c r="J11" s="857" t="s">
        <v>355</v>
      </c>
      <c r="L11" s="857" t="s">
        <v>270</v>
      </c>
    </row>
    <row r="12" spans="1:17">
      <c r="A12" s="436" t="s">
        <v>100</v>
      </c>
      <c r="B12" s="151"/>
      <c r="C12" s="436" t="s">
        <v>356</v>
      </c>
      <c r="D12" s="151"/>
      <c r="E12" s="151"/>
      <c r="F12" s="436" t="s">
        <v>353</v>
      </c>
      <c r="G12" s="151"/>
      <c r="H12" s="436" t="s">
        <v>576</v>
      </c>
      <c r="I12" s="151"/>
      <c r="J12" s="436" t="s">
        <v>0</v>
      </c>
      <c r="K12" s="151"/>
      <c r="L12" s="436" t="s">
        <v>576</v>
      </c>
    </row>
    <row r="13" spans="1:17">
      <c r="C13" s="857" t="s">
        <v>1090</v>
      </c>
      <c r="F13" s="857" t="s">
        <v>1091</v>
      </c>
      <c r="H13" s="857" t="s">
        <v>1092</v>
      </c>
      <c r="J13" s="857" t="s">
        <v>15</v>
      </c>
      <c r="L13" s="857" t="s">
        <v>169</v>
      </c>
    </row>
    <row r="14" spans="1:17">
      <c r="F14" s="857" t="s">
        <v>629</v>
      </c>
      <c r="J14" s="857" t="s">
        <v>629</v>
      </c>
    </row>
    <row r="16" spans="1:17">
      <c r="A16" s="857" t="s">
        <v>370</v>
      </c>
      <c r="C16" s="88" t="s">
        <v>908</v>
      </c>
      <c r="F16" s="341">
        <v>242504.31246159747</v>
      </c>
      <c r="G16" s="71"/>
      <c r="H16" s="989">
        <v>9.159292654358421E-3</v>
      </c>
      <c r="I16" s="110"/>
      <c r="J16" s="341">
        <f>F16*H16</f>
        <v>2221.1679677797488</v>
      </c>
      <c r="K16" s="73"/>
      <c r="L16" s="73"/>
      <c r="M16" s="73"/>
      <c r="N16" s="990"/>
      <c r="O16" s="73"/>
      <c r="P16" s="73"/>
      <c r="Q16" s="73"/>
    </row>
    <row r="18" spans="1:17">
      <c r="A18" s="857">
        <v>2</v>
      </c>
      <c r="C18" s="88" t="s">
        <v>1618</v>
      </c>
      <c r="F18" s="85"/>
      <c r="G18" s="73"/>
      <c r="H18" s="73"/>
      <c r="I18" s="110"/>
      <c r="J18" s="341">
        <v>2604.2471753763439</v>
      </c>
      <c r="K18" s="73"/>
      <c r="L18" s="73"/>
      <c r="M18" s="73"/>
      <c r="N18" s="990"/>
      <c r="O18" s="73"/>
      <c r="P18" s="73"/>
      <c r="Q18" s="73"/>
    </row>
    <row r="19" spans="1:17">
      <c r="F19" s="73"/>
      <c r="G19" s="73"/>
      <c r="H19" s="112"/>
      <c r="I19" s="73"/>
      <c r="J19" s="73"/>
      <c r="K19" s="73"/>
      <c r="L19" s="73"/>
      <c r="M19" s="73"/>
      <c r="N19" s="73"/>
      <c r="O19" s="73"/>
      <c r="P19" s="73"/>
      <c r="Q19" s="73"/>
    </row>
    <row r="20" spans="1:17">
      <c r="A20" s="857">
        <v>3</v>
      </c>
      <c r="C20" s="88" t="s">
        <v>909</v>
      </c>
      <c r="F20" s="307">
        <f>SUM(F16:F18)</f>
        <v>242504.31246159747</v>
      </c>
      <c r="G20" s="73"/>
      <c r="H20" s="73"/>
      <c r="I20" s="110"/>
      <c r="J20" s="307">
        <f>SUM(J16:J18)</f>
        <v>4825.4151431560931</v>
      </c>
      <c r="K20" s="73"/>
      <c r="L20" s="112">
        <f>(J20/F20)</f>
        <v>1.9898265289283203E-2</v>
      </c>
      <c r="M20" s="73"/>
      <c r="N20" s="73"/>
      <c r="O20" s="73"/>
      <c r="P20" s="73"/>
      <c r="Q20" s="73"/>
    </row>
    <row r="21" spans="1:17">
      <c r="F21" s="73"/>
      <c r="G21" s="73"/>
      <c r="H21" s="112"/>
      <c r="I21" s="110"/>
      <c r="J21" s="110"/>
      <c r="K21" s="73"/>
      <c r="L21" s="73"/>
      <c r="M21" s="73"/>
      <c r="N21" s="73"/>
      <c r="O21" s="73"/>
      <c r="P21" s="73"/>
      <c r="Q21" s="73"/>
    </row>
    <row r="22" spans="1:17">
      <c r="F22" s="73"/>
      <c r="G22" s="73"/>
      <c r="H22" s="112"/>
      <c r="I22" s="110"/>
      <c r="J22" s="110"/>
      <c r="K22" s="73"/>
      <c r="L22" s="73"/>
      <c r="M22" s="73"/>
      <c r="N22" s="73"/>
      <c r="O22" s="73"/>
      <c r="P22" s="73"/>
      <c r="Q22" s="73"/>
    </row>
    <row r="23" spans="1:17">
      <c r="F23" s="73"/>
      <c r="G23" s="73"/>
      <c r="H23" s="112"/>
      <c r="I23" s="110"/>
      <c r="J23" s="110"/>
      <c r="K23" s="73"/>
      <c r="L23" s="73"/>
      <c r="M23" s="73"/>
      <c r="N23" s="73"/>
      <c r="O23" s="73"/>
      <c r="P23" s="73"/>
      <c r="Q23" s="73"/>
    </row>
    <row r="24" spans="1:17" ht="15.75">
      <c r="B24" s="127"/>
      <c r="G24" s="73"/>
      <c r="I24" s="110"/>
    </row>
    <row r="25" spans="1:17">
      <c r="C25" s="88" t="s">
        <v>530</v>
      </c>
      <c r="G25" s="73"/>
      <c r="H25" s="112"/>
      <c r="I25" s="110"/>
      <c r="J25" s="110"/>
    </row>
    <row r="26" spans="1:17">
      <c r="C26" s="88"/>
      <c r="G26" s="73"/>
      <c r="H26" s="112"/>
      <c r="I26" s="110"/>
      <c r="J26" s="110"/>
    </row>
    <row r="27" spans="1:17">
      <c r="C27" s="697" t="s">
        <v>1617</v>
      </c>
      <c r="D27" s="103"/>
      <c r="E27" s="103"/>
      <c r="F27" s="103"/>
      <c r="G27" s="103"/>
      <c r="H27" s="103"/>
      <c r="I27" s="103"/>
      <c r="J27" s="103"/>
      <c r="K27" s="103"/>
    </row>
    <row r="28" spans="1:17">
      <c r="C28" s="176"/>
      <c r="D28" s="103"/>
      <c r="E28" s="103"/>
      <c r="F28" s="103"/>
      <c r="G28" s="103"/>
      <c r="H28" s="103"/>
      <c r="I28" s="103"/>
      <c r="J28" s="103"/>
      <c r="K28" s="103"/>
    </row>
    <row r="29" spans="1:17">
      <c r="C29" s="116"/>
      <c r="D29" s="103"/>
      <c r="E29" s="103"/>
      <c r="F29" s="103"/>
      <c r="G29" s="103"/>
      <c r="H29" s="103"/>
      <c r="I29" s="103"/>
      <c r="J29" s="103"/>
      <c r="K29" s="103"/>
    </row>
    <row r="30" spans="1:17">
      <c r="C30" s="116"/>
      <c r="D30" s="103"/>
      <c r="E30" s="103"/>
      <c r="F30" s="103"/>
      <c r="G30" s="108"/>
      <c r="H30" s="103"/>
      <c r="I30" s="135"/>
      <c r="J30" s="103"/>
      <c r="K30" s="103"/>
    </row>
    <row r="31" spans="1:17">
      <c r="C31" s="103"/>
      <c r="D31" s="103"/>
      <c r="E31" s="103"/>
      <c r="F31" s="103"/>
      <c r="G31" s="108"/>
      <c r="H31" s="108"/>
      <c r="I31" s="135"/>
      <c r="J31" s="135"/>
      <c r="K31" s="103"/>
    </row>
    <row r="32" spans="1:17">
      <c r="C32" s="116"/>
      <c r="D32" s="103"/>
      <c r="E32" s="103"/>
      <c r="F32" s="103"/>
      <c r="G32" s="108"/>
      <c r="H32" s="103"/>
      <c r="I32" s="103"/>
      <c r="J32" s="103"/>
      <c r="K32" s="103"/>
    </row>
    <row r="33" spans="3:11">
      <c r="C33" s="116"/>
      <c r="D33" s="103"/>
      <c r="E33" s="103"/>
      <c r="F33" s="103"/>
      <c r="G33" s="103"/>
      <c r="H33" s="103"/>
      <c r="I33" s="103"/>
      <c r="J33" s="103"/>
      <c r="K33" s="103"/>
    </row>
  </sheetData>
  <mergeCells count="4">
    <mergeCell ref="A1:L1"/>
    <mergeCell ref="A2:L2"/>
    <mergeCell ref="A3:L3"/>
    <mergeCell ref="A4:L4"/>
  </mergeCells>
  <phoneticPr fontId="22" type="noConversion"/>
  <printOptions horizontalCentered="1"/>
  <pageMargins left="0.75" right="0.75" top="0.82" bottom="1" header="0.5" footer="0.5"/>
  <pageSetup scale="97" orientation="landscape" verticalDpi="300" r:id="rId1"/>
  <headerFooter alignWithMargins="0">
    <oddFooter>&amp;RSchedule &amp;A
Page &amp;P of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42"/>
  <sheetViews>
    <sheetView view="pageBreakPreview" zoomScale="70" zoomScaleNormal="90" zoomScaleSheetLayoutView="70" workbookViewId="0">
      <selection activeCell="Q32" sqref="Q32"/>
    </sheetView>
  </sheetViews>
  <sheetFormatPr defaultColWidth="8.5546875" defaultRowHeight="15"/>
  <cols>
    <col min="1" max="1" width="4.21875" style="103" customWidth="1"/>
    <col min="2" max="2" width="1.88671875" style="103" customWidth="1"/>
    <col min="3" max="3" width="34" style="103" customWidth="1"/>
    <col min="4" max="4" width="3" style="103" customWidth="1"/>
    <col min="5" max="5" width="17.109375" style="103" customWidth="1"/>
    <col min="6" max="6" width="2.77734375" style="103" customWidth="1"/>
    <col min="7" max="7" width="7.5546875" style="103" customWidth="1"/>
    <col min="8" max="8" width="2.33203125" style="103" customWidth="1"/>
    <col min="9" max="9" width="14.77734375" style="103" customWidth="1"/>
    <col min="10" max="10" width="2" style="103" customWidth="1"/>
    <col min="11" max="11" width="9.21875" style="103" customWidth="1"/>
    <col min="12" max="12" width="8.5546875" style="103"/>
    <col min="13" max="13" width="9.44140625" style="103" customWidth="1"/>
    <col min="14" max="14" width="11.44140625" style="103" bestFit="1" customWidth="1"/>
    <col min="15" max="15" width="8.5546875" style="103"/>
    <col min="16" max="16" width="11.109375" style="103" customWidth="1"/>
    <col min="17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6" spans="1:12">
      <c r="A6" s="586" t="s">
        <v>383</v>
      </c>
      <c r="K6" s="959" t="s">
        <v>1440</v>
      </c>
    </row>
    <row r="7" spans="1:12">
      <c r="A7" s="697" t="s">
        <v>621</v>
      </c>
      <c r="K7" s="931" t="s">
        <v>49</v>
      </c>
    </row>
    <row r="8" spans="1:12">
      <c r="A8" s="960" t="s">
        <v>369</v>
      </c>
      <c r="B8" s="939"/>
      <c r="C8" s="939"/>
      <c r="D8" s="939"/>
      <c r="E8" s="939"/>
      <c r="F8" s="939"/>
      <c r="G8" s="939"/>
      <c r="H8" s="939"/>
      <c r="I8" s="939"/>
      <c r="J8" s="967"/>
      <c r="K8" s="992" t="str">
        <f>'J-1 Base'!$M$9</f>
        <v>Witness:  Christian</v>
      </c>
    </row>
    <row r="9" spans="1:12">
      <c r="A9" s="842"/>
      <c r="B9" s="807"/>
      <c r="C9" s="807"/>
      <c r="D9" s="807"/>
      <c r="E9" s="807"/>
      <c r="F9" s="807"/>
      <c r="G9" s="807"/>
      <c r="H9" s="807"/>
      <c r="I9" s="807"/>
      <c r="K9" s="993"/>
    </row>
    <row r="10" spans="1:12">
      <c r="E10" s="767" t="s">
        <v>861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">
        <v>1513</v>
      </c>
      <c r="E16" s="341">
        <v>150000000</v>
      </c>
      <c r="F16" s="108"/>
      <c r="G16" s="994">
        <v>6.7500000000000004E-2</v>
      </c>
      <c r="H16" s="135"/>
      <c r="I16" s="995">
        <f t="shared" ref="I16:I25" si="0">(E16*G16)</f>
        <v>10125000</v>
      </c>
      <c r="J16" s="108"/>
      <c r="K16" s="108"/>
      <c r="L16" s="108"/>
    </row>
    <row r="17" spans="1:16">
      <c r="A17" s="121">
        <f t="shared" ref="A17:A34" si="1">A16+1</f>
        <v>2</v>
      </c>
      <c r="C17" s="586" t="s">
        <v>1514</v>
      </c>
      <c r="E17" s="86">
        <v>10000000</v>
      </c>
      <c r="F17" s="108"/>
      <c r="G17" s="994">
        <v>6.6699999999999995E-2</v>
      </c>
      <c r="H17" s="135"/>
      <c r="I17" s="108">
        <f>(E17*G17)</f>
        <v>667000</v>
      </c>
    </row>
    <row r="18" spans="1:16">
      <c r="A18" s="121">
        <f t="shared" si="1"/>
        <v>3</v>
      </c>
      <c r="C18" s="586" t="s">
        <v>1515</v>
      </c>
      <c r="E18" s="86">
        <v>200000000</v>
      </c>
      <c r="F18" s="108"/>
      <c r="G18" s="994">
        <v>5.9499999999999997E-2</v>
      </c>
      <c r="H18" s="108"/>
      <c r="I18" s="108">
        <f>(E18*G18)</f>
        <v>11900000</v>
      </c>
      <c r="J18" s="108"/>
      <c r="K18" s="108"/>
      <c r="L18" s="108"/>
    </row>
    <row r="19" spans="1:16">
      <c r="A19" s="121">
        <f t="shared" si="1"/>
        <v>4</v>
      </c>
      <c r="C19" s="586" t="s">
        <v>1516</v>
      </c>
      <c r="E19" s="86">
        <v>0</v>
      </c>
      <c r="F19" s="108"/>
      <c r="G19" s="994">
        <v>6.3500000000000001E-2</v>
      </c>
      <c r="H19" s="135"/>
      <c r="I19" s="108">
        <f t="shared" si="0"/>
        <v>0</v>
      </c>
      <c r="J19" s="108"/>
      <c r="K19" s="108"/>
      <c r="L19" s="108"/>
    </row>
    <row r="20" spans="1:16">
      <c r="A20" s="121">
        <f>A19+1</f>
        <v>5</v>
      </c>
      <c r="C20" s="586" t="s">
        <v>1517</v>
      </c>
      <c r="E20" s="86">
        <v>400000000</v>
      </c>
      <c r="F20" s="108"/>
      <c r="G20" s="994">
        <v>5.5E-2</v>
      </c>
      <c r="H20" s="135"/>
      <c r="I20" s="108">
        <f>(E20*G20)</f>
        <v>22000000</v>
      </c>
      <c r="J20" s="108"/>
      <c r="K20" s="579"/>
      <c r="L20" s="108"/>
    </row>
    <row r="21" spans="1:16">
      <c r="A21" s="121">
        <f t="shared" si="1"/>
        <v>6</v>
      </c>
      <c r="C21" s="586" t="s">
        <v>1518</v>
      </c>
      <c r="E21" s="86">
        <v>450000000</v>
      </c>
      <c r="F21" s="108"/>
      <c r="G21" s="994">
        <v>8.5000000000000006E-2</v>
      </c>
      <c r="H21" s="135"/>
      <c r="I21" s="108">
        <f t="shared" si="0"/>
        <v>38250000</v>
      </c>
      <c r="J21" s="108"/>
      <c r="K21" s="108"/>
      <c r="L21" s="108"/>
    </row>
    <row r="22" spans="1:16">
      <c r="A22" s="121">
        <f t="shared" si="1"/>
        <v>7</v>
      </c>
      <c r="C22" s="586" t="s">
        <v>1519</v>
      </c>
      <c r="E22" s="86">
        <v>500000000</v>
      </c>
      <c r="F22" s="108"/>
      <c r="G22" s="994">
        <v>4.1500000000000002E-2</v>
      </c>
      <c r="H22" s="135"/>
      <c r="I22" s="108">
        <f t="shared" si="0"/>
        <v>20750000</v>
      </c>
    </row>
    <row r="23" spans="1:16">
      <c r="A23" s="121">
        <f t="shared" si="1"/>
        <v>8</v>
      </c>
      <c r="C23" s="586" t="s">
        <v>1520</v>
      </c>
      <c r="E23" s="86">
        <v>750000000</v>
      </c>
      <c r="F23" s="108"/>
      <c r="G23" s="994">
        <v>4.1250000000000002E-2</v>
      </c>
      <c r="H23" s="135"/>
      <c r="I23" s="108">
        <f t="shared" si="0"/>
        <v>30937500</v>
      </c>
    </row>
    <row r="24" spans="1:16">
      <c r="A24" s="121">
        <f t="shared" si="1"/>
        <v>9</v>
      </c>
      <c r="C24" s="586" t="s">
        <v>1608</v>
      </c>
      <c r="E24" s="86">
        <v>500000000</v>
      </c>
      <c r="F24" s="108"/>
      <c r="G24" s="994">
        <v>0.03</v>
      </c>
      <c r="H24" s="135"/>
      <c r="I24" s="108">
        <f t="shared" si="0"/>
        <v>15000000</v>
      </c>
    </row>
    <row r="25" spans="1:16">
      <c r="A25" s="121">
        <f t="shared" si="1"/>
        <v>10</v>
      </c>
      <c r="C25" s="586" t="s">
        <v>1610</v>
      </c>
      <c r="E25" s="86">
        <v>125000000</v>
      </c>
      <c r="F25" s="108"/>
      <c r="G25" s="994">
        <v>2.1899999999999999E-2</v>
      </c>
      <c r="H25" s="135"/>
      <c r="I25" s="428">
        <f t="shared" si="0"/>
        <v>2737500</v>
      </c>
    </row>
    <row r="26" spans="1:16">
      <c r="A26" s="121">
        <f t="shared" si="1"/>
        <v>11</v>
      </c>
      <c r="C26" s="586" t="s">
        <v>97</v>
      </c>
      <c r="E26" s="853">
        <f>SUM(E16:E25)</f>
        <v>3085000000</v>
      </c>
      <c r="F26" s="108"/>
      <c r="G26" s="994"/>
      <c r="I26" s="409">
        <f>SUM(I16:I25)</f>
        <v>152367000</v>
      </c>
    </row>
    <row r="27" spans="1:16">
      <c r="A27" s="121">
        <f t="shared" si="1"/>
        <v>12</v>
      </c>
      <c r="C27" s="586"/>
      <c r="E27" s="409"/>
      <c r="F27" s="108"/>
      <c r="G27" s="994"/>
      <c r="I27" s="108"/>
      <c r="M27" s="108"/>
      <c r="N27" s="108"/>
      <c r="O27" s="994"/>
      <c r="P27" s="108"/>
    </row>
    <row r="28" spans="1:16">
      <c r="A28" s="121">
        <f t="shared" si="1"/>
        <v>13</v>
      </c>
      <c r="C28" s="586" t="s">
        <v>1336</v>
      </c>
      <c r="E28" s="409"/>
      <c r="F28" s="108"/>
      <c r="G28" s="994"/>
      <c r="I28" s="409">
        <v>4955311.3260243991</v>
      </c>
      <c r="O28" s="994"/>
    </row>
    <row r="29" spans="1:16">
      <c r="A29" s="121">
        <f t="shared" si="1"/>
        <v>14</v>
      </c>
      <c r="C29" s="586" t="s">
        <v>1337</v>
      </c>
      <c r="E29" s="409">
        <v>4370287.9400000013</v>
      </c>
      <c r="G29" s="579"/>
      <c r="I29" s="87"/>
      <c r="M29" s="108"/>
      <c r="N29" s="108"/>
      <c r="O29" s="994"/>
      <c r="P29" s="108"/>
    </row>
    <row r="30" spans="1:16">
      <c r="A30" s="121">
        <f t="shared" si="1"/>
        <v>15</v>
      </c>
      <c r="C30" s="586" t="s">
        <v>1611</v>
      </c>
      <c r="E30" s="409">
        <v>-22636092.190000001</v>
      </c>
      <c r="G30" s="958"/>
      <c r="I30" s="108"/>
      <c r="M30" s="108"/>
      <c r="N30" s="108"/>
      <c r="O30" s="994"/>
      <c r="P30" s="108"/>
    </row>
    <row r="31" spans="1:16">
      <c r="A31" s="121">
        <f t="shared" si="1"/>
        <v>16</v>
      </c>
      <c r="C31" s="586"/>
      <c r="E31" s="86"/>
      <c r="G31" s="958"/>
      <c r="I31" s="108"/>
      <c r="M31" s="108"/>
      <c r="N31" s="108"/>
      <c r="O31" s="994"/>
      <c r="P31" s="108"/>
    </row>
    <row r="32" spans="1:16">
      <c r="A32" s="121">
        <f t="shared" si="1"/>
        <v>17</v>
      </c>
      <c r="C32" s="586"/>
      <c r="E32" s="86"/>
      <c r="G32" s="579"/>
      <c r="I32" s="108"/>
      <c r="M32" s="108"/>
      <c r="N32" s="108"/>
      <c r="O32" s="994"/>
      <c r="P32" s="108"/>
    </row>
    <row r="33" spans="1:16">
      <c r="A33" s="121">
        <f t="shared" si="1"/>
        <v>18</v>
      </c>
      <c r="E33" s="428"/>
      <c r="M33" s="108"/>
      <c r="N33" s="108"/>
      <c r="O33" s="994"/>
      <c r="P33" s="108"/>
    </row>
    <row r="34" spans="1:16" ht="16.5" thickBot="1">
      <c r="A34" s="121">
        <f t="shared" si="1"/>
        <v>19</v>
      </c>
      <c r="C34" s="586" t="s">
        <v>1189</v>
      </c>
      <c r="E34" s="996">
        <f>+E26+E29+E30</f>
        <v>3066734195.75</v>
      </c>
      <c r="I34" s="997">
        <f>+I26+I28</f>
        <v>157322311.32602441</v>
      </c>
      <c r="K34" s="991">
        <f>+I34/E34</f>
        <v>5.1299624057424935E-2</v>
      </c>
      <c r="O34" s="994"/>
    </row>
    <row r="35" spans="1:16" ht="15.75" thickTop="1">
      <c r="E35" s="108"/>
      <c r="O35" s="994"/>
    </row>
    <row r="37" spans="1:16">
      <c r="A37" s="121"/>
      <c r="C37" s="586"/>
    </row>
    <row r="38" spans="1:16">
      <c r="C38" s="586" t="s">
        <v>327</v>
      </c>
      <c r="E38" s="108"/>
    </row>
    <row r="39" spans="1:16">
      <c r="E39" s="108"/>
    </row>
    <row r="40" spans="1:16">
      <c r="E40" s="108"/>
      <c r="F40" s="108"/>
      <c r="G40" s="958"/>
      <c r="H40" s="135"/>
      <c r="I40" s="108"/>
      <c r="J40" s="108"/>
      <c r="K40" s="108"/>
      <c r="L40" s="108"/>
    </row>
    <row r="41" spans="1:16">
      <c r="E41" s="108"/>
    </row>
    <row r="42" spans="1:16">
      <c r="E42" s="108"/>
      <c r="F42" s="108"/>
      <c r="G42" s="108"/>
      <c r="H42" s="135"/>
      <c r="I42" s="108"/>
      <c r="J42" s="108"/>
      <c r="K42" s="108"/>
      <c r="L42" s="108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75" right="0.42" top="1.24" bottom="1" header="0.5" footer="0.5"/>
  <pageSetup scale="79" orientation="portrait" verticalDpi="300" r:id="rId1"/>
  <headerFooter alignWithMargins="0">
    <oddFooter>&amp;RSchedule &amp;A
Page &amp;P of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S17"/>
  <sheetViews>
    <sheetView view="pageBreakPreview" zoomScale="60" zoomScaleNormal="90" workbookViewId="0">
      <selection activeCell="T8" sqref="T8"/>
    </sheetView>
  </sheetViews>
  <sheetFormatPr defaultColWidth="10.109375" defaultRowHeight="15"/>
  <cols>
    <col min="1" max="1" width="5.77734375" style="1" customWidth="1"/>
    <col min="2" max="2" width="3.33203125" style="1" customWidth="1"/>
    <col min="3" max="3" width="14.44140625" style="1" customWidth="1"/>
    <col min="4" max="4" width="3.33203125" style="1" customWidth="1"/>
    <col min="5" max="5" width="6.6640625" style="1" customWidth="1"/>
    <col min="6" max="6" width="3.33203125" style="1" customWidth="1"/>
    <col min="7" max="7" width="11.88671875" style="1" customWidth="1"/>
    <col min="8" max="8" width="3.33203125" style="1" customWidth="1"/>
    <col min="9" max="9" width="13.5546875" style="1" customWidth="1"/>
    <col min="10" max="10" width="1.5546875" style="1" customWidth="1"/>
    <col min="11" max="11" width="8" style="1" customWidth="1"/>
    <col min="12" max="12" width="3.33203125" style="1" customWidth="1"/>
    <col min="13" max="13" width="11" style="1" customWidth="1"/>
    <col min="14" max="14" width="3.33203125" style="1" customWidth="1"/>
    <col min="15" max="15" width="11" style="1" customWidth="1"/>
    <col min="16" max="16" width="3.33203125" style="1" customWidth="1"/>
    <col min="17" max="17" width="12.6640625" style="1" customWidth="1"/>
    <col min="18" max="18" width="2.33203125" style="1" customWidth="1"/>
    <col min="19" max="19" width="12.6640625" style="1" customWidth="1"/>
    <col min="20" max="26" width="10.109375" style="1"/>
    <col min="27" max="27" width="12.6640625" style="1" customWidth="1"/>
    <col min="28" max="16384" width="10.109375" style="1"/>
  </cols>
  <sheetData>
    <row r="1" spans="1:19">
      <c r="A1" s="81"/>
      <c r="J1" s="2" t="str">
        <f>'Table of Contents'!A1</f>
        <v>Atmos Energy Corporation, Kentucky/Mid-States Division</v>
      </c>
    </row>
    <row r="2" spans="1:19">
      <c r="J2" s="2" t="str">
        <f>'Table of Contents'!A2</f>
        <v>Kentucky Jurisdiction Case No. 2017-00349</v>
      </c>
    </row>
    <row r="3" spans="1:19">
      <c r="A3" s="14"/>
      <c r="J3" s="2" t="s">
        <v>1</v>
      </c>
    </row>
    <row r="4" spans="1:19">
      <c r="A4" s="14"/>
      <c r="J4" s="707"/>
    </row>
    <row r="5" spans="1:19">
      <c r="Q5" s="377"/>
      <c r="S5" s="377" t="s">
        <v>1440</v>
      </c>
    </row>
    <row r="6" spans="1:19">
      <c r="A6" s="4" t="s">
        <v>571</v>
      </c>
      <c r="Q6" s="4"/>
      <c r="S6" s="490" t="s">
        <v>48</v>
      </c>
    </row>
    <row r="7" spans="1:19">
      <c r="A7" s="4" t="s">
        <v>1131</v>
      </c>
      <c r="Q7" s="4"/>
      <c r="S7" s="490" t="s">
        <v>860</v>
      </c>
    </row>
    <row r="8" spans="1:19">
      <c r="A8" s="5" t="s">
        <v>369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  <c r="R8" s="6"/>
      <c r="S8" s="491" t="str">
        <f>'J-1 Base'!$M$9</f>
        <v>Witness:  Christian</v>
      </c>
    </row>
    <row r="10" spans="1:19">
      <c r="I10" s="2" t="s">
        <v>358</v>
      </c>
      <c r="M10" s="2" t="s">
        <v>361</v>
      </c>
    </row>
    <row r="11" spans="1:19">
      <c r="A11" s="2" t="s">
        <v>94</v>
      </c>
      <c r="C11" s="2" t="s">
        <v>399</v>
      </c>
      <c r="E11" s="2" t="s">
        <v>35</v>
      </c>
      <c r="G11" s="2" t="s">
        <v>105</v>
      </c>
      <c r="I11" s="2" t="s">
        <v>359</v>
      </c>
      <c r="K11" s="2" t="s">
        <v>356</v>
      </c>
      <c r="M11" s="2" t="s">
        <v>362</v>
      </c>
      <c r="O11" s="2" t="s">
        <v>364</v>
      </c>
      <c r="Q11" s="2" t="s">
        <v>1167</v>
      </c>
      <c r="S11" s="2" t="s">
        <v>367</v>
      </c>
    </row>
    <row r="12" spans="1:19">
      <c r="A12" s="2" t="s">
        <v>100</v>
      </c>
      <c r="C12" s="2" t="s">
        <v>503</v>
      </c>
      <c r="E12" s="2" t="s">
        <v>357</v>
      </c>
      <c r="G12" s="2" t="s">
        <v>353</v>
      </c>
      <c r="I12" s="2" t="s">
        <v>360</v>
      </c>
      <c r="K12" s="2" t="s">
        <v>271</v>
      </c>
      <c r="L12" s="15"/>
      <c r="M12" s="2" t="s">
        <v>363</v>
      </c>
      <c r="O12" s="2" t="s">
        <v>365</v>
      </c>
      <c r="Q12" s="2" t="s">
        <v>366</v>
      </c>
      <c r="S12" s="2" t="s">
        <v>368</v>
      </c>
    </row>
    <row r="13" spans="1:19">
      <c r="A13" s="6"/>
      <c r="B13" s="6"/>
      <c r="C13" s="6"/>
      <c r="D13" s="6"/>
      <c r="E13" s="9" t="s">
        <v>1090</v>
      </c>
      <c r="F13" s="6"/>
      <c r="G13" s="9" t="s">
        <v>1091</v>
      </c>
      <c r="H13" s="6"/>
      <c r="I13" s="9" t="s">
        <v>1092</v>
      </c>
      <c r="J13" s="6"/>
      <c r="K13" s="9" t="s">
        <v>15</v>
      </c>
      <c r="L13" s="6"/>
      <c r="M13" s="9" t="s">
        <v>39</v>
      </c>
      <c r="N13" s="6"/>
      <c r="O13" s="9" t="s">
        <v>529</v>
      </c>
      <c r="P13" s="6"/>
      <c r="Q13" s="9" t="s">
        <v>40</v>
      </c>
      <c r="R13" s="6"/>
      <c r="S13" s="9" t="s">
        <v>619</v>
      </c>
    </row>
    <row r="15" spans="1:19">
      <c r="F15" s="10"/>
      <c r="G15" s="10"/>
      <c r="H15" s="11"/>
      <c r="I15" s="3"/>
      <c r="J15" s="3"/>
      <c r="K15" s="21" t="s">
        <v>395</v>
      </c>
      <c r="L15" s="10"/>
      <c r="M15" s="10"/>
      <c r="N15" s="10"/>
      <c r="O15" s="10"/>
      <c r="P15" s="10"/>
      <c r="Q15" s="10"/>
    </row>
    <row r="16" spans="1:19">
      <c r="F16" s="10"/>
      <c r="G16" s="10"/>
      <c r="H16" s="10"/>
      <c r="I16" s="3"/>
      <c r="J16" s="10"/>
      <c r="K16" s="10"/>
      <c r="L16" s="10"/>
      <c r="M16" s="10"/>
      <c r="N16" s="10"/>
      <c r="O16" s="10"/>
      <c r="P16" s="10"/>
      <c r="Q16" s="10"/>
    </row>
    <row r="17" spans="6:17">
      <c r="F17" s="10"/>
      <c r="G17" s="10"/>
      <c r="H17" s="11"/>
      <c r="I17" s="3"/>
      <c r="J17" s="3"/>
      <c r="K17" s="10"/>
      <c r="L17" s="10"/>
      <c r="M17" s="10"/>
      <c r="N17" s="10"/>
      <c r="O17" s="10"/>
      <c r="P17" s="10"/>
      <c r="Q17" s="10"/>
    </row>
  </sheetData>
  <phoneticPr fontId="22" type="noConversion"/>
  <printOptions horizontalCentered="1"/>
  <pageMargins left="0.66" right="0.71" top="0.91" bottom="1" header="0.5" footer="0.5"/>
  <pageSetup scale="76" orientation="landscape" verticalDpi="300" r:id="rId1"/>
  <headerFooter alignWithMargins="0">
    <oddFooter>&amp;RSchedule &amp;A
Page &amp;P of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pageSetUpPr fitToPage="1"/>
  </sheetPr>
  <dimension ref="A1:X62"/>
  <sheetViews>
    <sheetView view="pageBreakPreview" zoomScale="60" zoomScaleNormal="80" workbookViewId="0">
      <pane xSplit="5" ySplit="15" topLeftCell="F16" activePane="bottomRight" state="frozen"/>
      <selection activeCell="B6" sqref="B6"/>
      <selection pane="topRight" activeCell="B6" sqref="B6"/>
      <selection pane="bottomLeft" activeCell="B6" sqref="B6"/>
      <selection pane="bottomRight" activeCell="O30" sqref="O30"/>
    </sheetView>
  </sheetViews>
  <sheetFormatPr defaultColWidth="10.109375" defaultRowHeight="15"/>
  <cols>
    <col min="1" max="1" width="3.77734375" style="103" customWidth="1"/>
    <col min="2" max="2" width="2.44140625" style="103" customWidth="1"/>
    <col min="3" max="3" width="13" style="103" customWidth="1"/>
    <col min="4" max="4" width="2.109375" style="103" customWidth="1"/>
    <col min="5" max="5" width="2.44140625" style="103" customWidth="1"/>
    <col min="6" max="6" width="6.77734375" style="103" customWidth="1"/>
    <col min="7" max="7" width="2.44140625" style="103" customWidth="1"/>
    <col min="8" max="8" width="14" style="103" customWidth="1"/>
    <col min="9" max="9" width="2.44140625" style="103" customWidth="1"/>
    <col min="10" max="10" width="8.33203125" style="103" customWidth="1"/>
    <col min="11" max="11" width="2.44140625" style="103" customWidth="1"/>
    <col min="12" max="12" width="8" style="103" customWidth="1"/>
    <col min="13" max="13" width="2.44140625" style="103" customWidth="1"/>
    <col min="14" max="14" width="8.6640625" style="103" customWidth="1"/>
    <col min="15" max="15" width="2.44140625" style="103" customWidth="1"/>
    <col min="16" max="16" width="13.6640625" style="103" customWidth="1"/>
    <col min="17" max="17" width="2.44140625" style="103" customWidth="1"/>
    <col min="18" max="18" width="11.33203125" style="103" customWidth="1"/>
    <col min="19" max="19" width="1.88671875" style="103" customWidth="1"/>
    <col min="20" max="20" width="9.33203125" style="103" customWidth="1"/>
    <col min="21" max="21" width="2.44140625" style="103" customWidth="1"/>
    <col min="22" max="22" width="8.44140625" style="103" customWidth="1"/>
    <col min="23" max="23" width="6.77734375" style="103" bestFit="1" customWidth="1"/>
    <col min="24" max="24" width="9.44140625" style="103" bestFit="1" customWidth="1"/>
    <col min="25" max="16384" width="10.109375" style="103"/>
  </cols>
  <sheetData>
    <row r="1" spans="1:23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  <c r="M1" s="1185"/>
      <c r="N1" s="1185"/>
      <c r="O1" s="1185"/>
      <c r="P1" s="1185"/>
      <c r="Q1" s="1185"/>
      <c r="R1" s="1185"/>
      <c r="S1" s="1185"/>
      <c r="T1" s="1185"/>
      <c r="U1" s="1185"/>
      <c r="V1" s="1185"/>
    </row>
    <row r="2" spans="1:23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/>
      <c r="N2" s="1185"/>
      <c r="O2" s="1185"/>
      <c r="P2" s="1185"/>
      <c r="Q2" s="1185"/>
      <c r="R2" s="1185"/>
      <c r="S2" s="1185"/>
      <c r="T2" s="1185"/>
      <c r="U2" s="1185"/>
      <c r="V2" s="1185"/>
    </row>
    <row r="3" spans="1:23">
      <c r="A3" s="1185" t="s">
        <v>1508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</row>
    <row r="4" spans="1:23">
      <c r="A4" s="1185" t="str">
        <f>'Table of Contents'!A3:C3</f>
        <v>Base Period: Twelve Months Ended December 31, 2017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5"/>
      <c r="Q4" s="1185"/>
      <c r="R4" s="1185"/>
      <c r="S4" s="1185"/>
      <c r="T4" s="1185"/>
      <c r="U4" s="1185"/>
      <c r="V4" s="1185"/>
    </row>
    <row r="5" spans="1:23">
      <c r="A5" s="1185" t="str">
        <f>'Table of Contents'!A4:C4</f>
        <v>Forecasted Test Period: Twelve Months Ended March 31, 2019</v>
      </c>
      <c r="B5" s="1185"/>
      <c r="C5" s="1185"/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5"/>
      <c r="P5" s="1185"/>
      <c r="Q5" s="1185"/>
      <c r="R5" s="1185"/>
      <c r="S5" s="1185"/>
      <c r="T5" s="1185"/>
      <c r="U5" s="1185"/>
      <c r="V5" s="1185"/>
    </row>
    <row r="6" spans="1:23">
      <c r="L6" s="121"/>
    </row>
    <row r="8" spans="1:23">
      <c r="A8" s="586" t="s">
        <v>199</v>
      </c>
      <c r="V8" s="959" t="s">
        <v>1440</v>
      </c>
    </row>
    <row r="9" spans="1:23">
      <c r="A9" s="586" t="s">
        <v>621</v>
      </c>
      <c r="T9" s="586"/>
      <c r="V9" s="931" t="s">
        <v>783</v>
      </c>
    </row>
    <row r="10" spans="1:23" ht="16.5" thickBot="1">
      <c r="A10" s="960" t="s">
        <v>369</v>
      </c>
      <c r="B10" s="939"/>
      <c r="C10" s="939"/>
      <c r="D10" s="939"/>
      <c r="E10" s="939"/>
      <c r="F10" s="939"/>
      <c r="G10" s="939"/>
      <c r="H10" s="807"/>
      <c r="I10" s="807"/>
      <c r="J10" s="807"/>
      <c r="K10" s="807"/>
      <c r="L10" s="807"/>
      <c r="M10" s="807"/>
      <c r="N10" s="999" t="s">
        <v>508</v>
      </c>
      <c r="O10" s="1000"/>
      <c r="P10" s="1000"/>
      <c r="Q10" s="807"/>
      <c r="R10" s="807"/>
      <c r="S10" s="807"/>
      <c r="T10" s="960"/>
      <c r="U10" s="807"/>
      <c r="V10" s="992" t="str">
        <f>'J-1 Base'!$M$9</f>
        <v>Witness:  Christian</v>
      </c>
      <c r="W10" s="939"/>
    </row>
    <row r="11" spans="1:23" ht="15.75">
      <c r="H11" s="1001" t="s">
        <v>328</v>
      </c>
      <c r="I11" s="1002"/>
      <c r="J11" s="1002"/>
      <c r="K11" s="1002"/>
      <c r="L11" s="1002"/>
      <c r="M11" s="1002"/>
      <c r="N11" s="1003"/>
      <c r="P11" s="1001" t="s">
        <v>329</v>
      </c>
      <c r="Q11" s="1002"/>
      <c r="R11" s="1002"/>
      <c r="S11" s="1002"/>
      <c r="T11" s="1002"/>
      <c r="U11" s="1002"/>
      <c r="V11" s="1003"/>
      <c r="W11" s="998"/>
    </row>
    <row r="12" spans="1:23">
      <c r="A12" s="121" t="s">
        <v>94</v>
      </c>
      <c r="F12" s="121" t="s">
        <v>96</v>
      </c>
      <c r="H12" s="1004"/>
      <c r="I12" s="807"/>
      <c r="J12" s="430" t="s">
        <v>104</v>
      </c>
      <c r="K12" s="807"/>
      <c r="L12" s="807"/>
      <c r="M12" s="807"/>
      <c r="N12" s="1005" t="s">
        <v>352</v>
      </c>
      <c r="P12" s="1004"/>
      <c r="Q12" s="807"/>
      <c r="R12" s="430" t="s">
        <v>104</v>
      </c>
      <c r="S12" s="807"/>
      <c r="T12" s="807"/>
      <c r="U12" s="807"/>
      <c r="V12" s="1005" t="s">
        <v>352</v>
      </c>
    </row>
    <row r="13" spans="1:23" ht="15.75" thickBot="1">
      <c r="A13" s="651" t="s">
        <v>100</v>
      </c>
      <c r="B13" s="939"/>
      <c r="C13" s="960" t="s">
        <v>351</v>
      </c>
      <c r="D13" s="939"/>
      <c r="E13" s="939"/>
      <c r="F13" s="651" t="s">
        <v>102</v>
      </c>
      <c r="G13" s="939"/>
      <c r="H13" s="1006" t="s">
        <v>105</v>
      </c>
      <c r="I13" s="1007"/>
      <c r="J13" s="1008" t="s">
        <v>42</v>
      </c>
      <c r="K13" s="1007"/>
      <c r="L13" s="1008" t="s">
        <v>1167</v>
      </c>
      <c r="M13" s="1007"/>
      <c r="N13" s="1009" t="s">
        <v>0</v>
      </c>
      <c r="O13" s="807"/>
      <c r="P13" s="1006" t="s">
        <v>105</v>
      </c>
      <c r="Q13" s="1007"/>
      <c r="R13" s="1008" t="s">
        <v>42</v>
      </c>
      <c r="S13" s="1007"/>
      <c r="T13" s="1008" t="s">
        <v>1167</v>
      </c>
      <c r="U13" s="1007"/>
      <c r="V13" s="1009" t="s">
        <v>0</v>
      </c>
      <c r="W13" s="939"/>
    </row>
    <row r="14" spans="1:23">
      <c r="F14" s="121" t="s">
        <v>1090</v>
      </c>
      <c r="H14" s="121" t="s">
        <v>1091</v>
      </c>
      <c r="J14" s="121" t="s">
        <v>1092</v>
      </c>
      <c r="L14" s="121" t="s">
        <v>15</v>
      </c>
      <c r="N14" s="121" t="s">
        <v>39</v>
      </c>
      <c r="O14" s="807"/>
      <c r="P14" s="121" t="s">
        <v>326</v>
      </c>
      <c r="R14" s="121" t="s">
        <v>40</v>
      </c>
      <c r="T14" s="121" t="s">
        <v>627</v>
      </c>
      <c r="V14" s="121" t="s">
        <v>628</v>
      </c>
    </row>
    <row r="15" spans="1:23">
      <c r="H15" s="121" t="s">
        <v>629</v>
      </c>
      <c r="J15" s="121" t="s">
        <v>150</v>
      </c>
      <c r="L15" s="121" t="s">
        <v>150</v>
      </c>
      <c r="N15" s="121" t="s">
        <v>150</v>
      </c>
      <c r="P15" s="121" t="s">
        <v>629</v>
      </c>
      <c r="R15" s="121" t="s">
        <v>150</v>
      </c>
      <c r="T15" s="121" t="s">
        <v>150</v>
      </c>
      <c r="V15" s="121" t="s">
        <v>150</v>
      </c>
    </row>
    <row r="17" spans="1:24">
      <c r="A17" s="121" t="s">
        <v>370</v>
      </c>
      <c r="C17" s="586" t="s">
        <v>273</v>
      </c>
      <c r="F17" s="108"/>
      <c r="G17" s="108"/>
      <c r="H17" s="108">
        <f>+'J-2 B'!F20</f>
        <v>242504.31246159747</v>
      </c>
      <c r="I17" s="108"/>
      <c r="J17" s="579">
        <f>ROUND(H17/$H$29,4)</f>
        <v>3.3599999999999998E-2</v>
      </c>
      <c r="K17" s="108"/>
      <c r="L17" s="1010">
        <f>+'J-2 B'!L20</f>
        <v>1.9898265289283203E-2</v>
      </c>
      <c r="M17" s="108"/>
      <c r="N17" s="1010">
        <f>+J17*L17</f>
        <v>6.6858171371991554E-4</v>
      </c>
      <c r="O17" s="108"/>
      <c r="P17" s="108">
        <f>+'J-2 F'!F20</f>
        <v>242504.31246159747</v>
      </c>
      <c r="Q17" s="108"/>
      <c r="R17" s="579">
        <f>ROUND(P17/$P$29,4)</f>
        <v>3.4799999999999998E-2</v>
      </c>
      <c r="S17" s="108"/>
      <c r="T17" s="1010">
        <f>ROUND(+'J-2 F'!L20,4)</f>
        <v>1.9900000000000001E-2</v>
      </c>
      <c r="U17" s="579"/>
      <c r="V17" s="1010">
        <f>ROUND(R17*T17,4)</f>
        <v>6.9999999999999999E-4</v>
      </c>
      <c r="W17" s="425"/>
      <c r="X17" s="425"/>
    </row>
    <row r="18" spans="1:24">
      <c r="F18" s="108"/>
      <c r="G18" s="108"/>
      <c r="H18" s="108"/>
      <c r="I18" s="108"/>
      <c r="J18" s="108"/>
      <c r="K18" s="108"/>
      <c r="L18" s="1010"/>
      <c r="M18" s="108"/>
      <c r="N18" s="1010"/>
      <c r="O18" s="108"/>
      <c r="P18" s="108"/>
      <c r="Q18" s="108"/>
      <c r="R18" s="579"/>
      <c r="S18" s="108"/>
      <c r="T18" s="1010"/>
      <c r="U18" s="579"/>
      <c r="V18" s="1010"/>
      <c r="W18" s="425"/>
    </row>
    <row r="19" spans="1:24">
      <c r="A19" s="121" t="s">
        <v>372</v>
      </c>
      <c r="C19" s="586" t="s">
        <v>274</v>
      </c>
      <c r="F19" s="108"/>
      <c r="G19" s="108"/>
      <c r="H19" s="109">
        <f>'J-1 Base'!G21</f>
        <v>3066734.19575</v>
      </c>
      <c r="I19" s="108"/>
      <c r="J19" s="1011">
        <f>ROUND(H19/$H$29,5)</f>
        <v>0.42529</v>
      </c>
      <c r="K19" s="108"/>
      <c r="L19" s="1010">
        <f>ROUND('J-3 B'!K34,4)</f>
        <v>5.1299999999999998E-2</v>
      </c>
      <c r="M19" s="108"/>
      <c r="N19" s="1012">
        <f>+J19*L19</f>
        <v>2.1817376999999999E-2</v>
      </c>
      <c r="O19" s="108"/>
      <c r="P19" s="109">
        <f>+'J-3 F'!E34*0.001</f>
        <v>3066734.19575</v>
      </c>
      <c r="Q19" s="108"/>
      <c r="R19" s="1011">
        <f>ROUND(P19/$P$29,4)</f>
        <v>0.4395</v>
      </c>
      <c r="S19" s="108"/>
      <c r="T19" s="1010">
        <f>ROUND('J-3 F'!K34,4)</f>
        <v>5.11E-2</v>
      </c>
      <c r="U19" s="579"/>
      <c r="V19" s="1012">
        <f>+R19*T19</f>
        <v>2.2458450000000001E-2</v>
      </c>
      <c r="W19" s="425"/>
      <c r="X19" s="425"/>
    </row>
    <row r="20" spans="1:24">
      <c r="F20" s="108"/>
      <c r="G20" s="108"/>
      <c r="H20" s="108"/>
      <c r="I20" s="108"/>
      <c r="J20" s="108"/>
      <c r="K20" s="108"/>
      <c r="L20" s="1010"/>
      <c r="M20" s="108"/>
      <c r="N20" s="1010"/>
      <c r="O20" s="108"/>
      <c r="P20" s="108"/>
      <c r="Q20" s="108"/>
      <c r="R20" s="108"/>
      <c r="S20" s="108"/>
      <c r="T20" s="1010"/>
      <c r="U20" s="579"/>
      <c r="V20" s="1010"/>
      <c r="W20" s="425"/>
    </row>
    <row r="21" spans="1:24">
      <c r="A21" s="121" t="s">
        <v>374</v>
      </c>
      <c r="C21" s="586" t="s">
        <v>403</v>
      </c>
      <c r="F21" s="108"/>
      <c r="G21" s="108"/>
      <c r="H21" s="108">
        <f>H17+H19</f>
        <v>3309238.5082115973</v>
      </c>
      <c r="I21" s="108"/>
      <c r="J21" s="579">
        <f>J17+J19</f>
        <v>0.45889000000000002</v>
      </c>
      <c r="K21" s="108"/>
      <c r="L21" s="1010"/>
      <c r="M21" s="108"/>
      <c r="N21" s="1010">
        <f>N17+N19</f>
        <v>2.2485958713719913E-2</v>
      </c>
      <c r="O21" s="108"/>
      <c r="P21" s="108">
        <f>P17+P19</f>
        <v>3309238.5082115973</v>
      </c>
      <c r="Q21" s="108"/>
      <c r="R21" s="579">
        <f>R17+R19</f>
        <v>0.4743</v>
      </c>
      <c r="S21" s="108"/>
      <c r="T21" s="1010"/>
      <c r="U21" s="579"/>
      <c r="V21" s="1010">
        <f>V17+V19</f>
        <v>2.3158450000000001E-2</v>
      </c>
      <c r="W21" s="425"/>
      <c r="X21" s="108"/>
    </row>
    <row r="22" spans="1:24">
      <c r="F22" s="108"/>
      <c r="G22" s="108"/>
      <c r="H22" s="108"/>
      <c r="I22" s="108"/>
      <c r="J22" s="108"/>
      <c r="K22" s="108"/>
      <c r="L22" s="1010"/>
      <c r="M22" s="108"/>
      <c r="N22" s="1010"/>
      <c r="O22" s="108"/>
      <c r="P22" s="108"/>
      <c r="Q22" s="108"/>
      <c r="R22" s="108"/>
      <c r="S22" s="108"/>
      <c r="T22" s="1010"/>
      <c r="U22" s="579"/>
      <c r="V22" s="1010"/>
      <c r="W22" s="425"/>
    </row>
    <row r="23" spans="1:24">
      <c r="A23" s="121" t="s">
        <v>375</v>
      </c>
      <c r="C23" s="586" t="s">
        <v>275</v>
      </c>
      <c r="F23" s="108"/>
      <c r="G23" s="108"/>
      <c r="H23" s="108">
        <v>0</v>
      </c>
      <c r="I23" s="108"/>
      <c r="J23" s="579">
        <f>ROUND(H23/$H$29,4)</f>
        <v>0</v>
      </c>
      <c r="K23" s="108"/>
      <c r="L23" s="1010">
        <v>0</v>
      </c>
      <c r="M23" s="108"/>
      <c r="N23" s="1010">
        <f>+J23*L23</f>
        <v>0</v>
      </c>
      <c r="O23" s="108"/>
      <c r="P23" s="108">
        <v>0</v>
      </c>
      <c r="Q23" s="108"/>
      <c r="R23" s="579">
        <f>ROUND(P23/$P$29,4)</f>
        <v>0</v>
      </c>
      <c r="S23" s="108"/>
      <c r="T23" s="1010">
        <v>0</v>
      </c>
      <c r="U23" s="579"/>
      <c r="V23" s="1010">
        <f>ROUND(R23*T23,4)</f>
        <v>0</v>
      </c>
      <c r="W23" s="425"/>
    </row>
    <row r="24" spans="1:24">
      <c r="H24" s="108"/>
      <c r="L24" s="1010"/>
      <c r="N24" s="425"/>
      <c r="P24" s="108"/>
      <c r="T24" s="1010"/>
      <c r="U24" s="1013"/>
      <c r="V24" s="425"/>
      <c r="W24" s="425"/>
    </row>
    <row r="25" spans="1:24">
      <c r="A25" s="121" t="s">
        <v>376</v>
      </c>
      <c r="C25" s="586" t="s">
        <v>276</v>
      </c>
      <c r="H25" s="108">
        <v>3901710.1031300002</v>
      </c>
      <c r="J25" s="579">
        <f>ROUND(H25/$H$29,5)</f>
        <v>0.54108000000000001</v>
      </c>
      <c r="L25" s="1010">
        <f>Allocation!E27</f>
        <v>0.10299999999999999</v>
      </c>
      <c r="N25" s="1010">
        <f>+J25*L25</f>
        <v>5.5731239999999994E-2</v>
      </c>
      <c r="P25" s="108">
        <v>3668227.0974676916</v>
      </c>
      <c r="R25" s="579">
        <f>+ROUND(P25/P29,5)</f>
        <v>0.52571999999999997</v>
      </c>
      <c r="T25" s="1010">
        <f>L25</f>
        <v>0.10299999999999999</v>
      </c>
      <c r="U25" s="1013"/>
      <c r="V25" s="1010">
        <f>ROUND(R25*T25,4)</f>
        <v>5.4100000000000002E-2</v>
      </c>
      <c r="W25" s="425"/>
      <c r="X25" s="425"/>
    </row>
    <row r="26" spans="1:24">
      <c r="H26" s="108"/>
      <c r="L26" s="1010"/>
      <c r="N26" s="425"/>
      <c r="P26" s="108"/>
      <c r="T26" s="1010"/>
      <c r="U26" s="1013"/>
      <c r="V26" s="425"/>
      <c r="W26" s="425"/>
    </row>
    <row r="27" spans="1:24">
      <c r="A27" s="121" t="s">
        <v>377</v>
      </c>
      <c r="C27" s="586" t="s">
        <v>438</v>
      </c>
      <c r="H27" s="109">
        <v>0</v>
      </c>
      <c r="J27" s="1014">
        <f>ROUND(H27/$H$29,4)</f>
        <v>0</v>
      </c>
      <c r="L27" s="1010">
        <v>0</v>
      </c>
      <c r="N27" s="1012">
        <f>+J27*L27</f>
        <v>0</v>
      </c>
      <c r="P27" s="109">
        <v>0</v>
      </c>
      <c r="R27" s="1014">
        <f>ROUND(P27/$H$29,4)</f>
        <v>0</v>
      </c>
      <c r="T27" s="1010">
        <v>0</v>
      </c>
      <c r="U27" s="1013"/>
      <c r="V27" s="1015">
        <f>ROUND(R27*T27,4)</f>
        <v>0</v>
      </c>
      <c r="W27" s="425"/>
    </row>
    <row r="28" spans="1:24">
      <c r="H28" s="108"/>
      <c r="L28" s="1010"/>
      <c r="P28" s="108"/>
      <c r="T28" s="579"/>
      <c r="U28" s="1013"/>
      <c r="V28" s="1013"/>
      <c r="W28" s="1013"/>
    </row>
    <row r="29" spans="1:24" ht="15.75" thickBot="1">
      <c r="A29" s="121" t="s">
        <v>378</v>
      </c>
      <c r="C29" s="586" t="s">
        <v>404</v>
      </c>
      <c r="H29" s="1016">
        <f>H21+H25+H27</f>
        <v>7210948.6113415975</v>
      </c>
      <c r="J29" s="1017">
        <f>SUM(J21:J27)</f>
        <v>0.99997000000000003</v>
      </c>
      <c r="L29" s="135"/>
      <c r="N29" s="114">
        <f>SUM(N21:N27)</f>
        <v>7.8217198713719904E-2</v>
      </c>
      <c r="P29" s="1016">
        <f>SUM(P21:P27)</f>
        <v>6977465.6056792885</v>
      </c>
      <c r="R29" s="1017">
        <f>SUM(R21:R27)</f>
        <v>1.0000199999999999</v>
      </c>
      <c r="T29" s="579"/>
      <c r="U29" s="1013"/>
      <c r="V29" s="114">
        <f>SUM(V21:V27)</f>
        <v>7.7258450000000006E-2</v>
      </c>
      <c r="W29" s="425"/>
      <c r="X29" s="114"/>
    </row>
    <row r="30" spans="1:24" ht="15.75" thickTop="1">
      <c r="H30" s="108"/>
      <c r="P30" s="108"/>
      <c r="T30" s="1013"/>
      <c r="U30" s="1013"/>
      <c r="V30" s="1013"/>
    </row>
    <row r="35" spans="1:22" ht="16.5" thickBot="1">
      <c r="A35" s="967"/>
      <c r="B35" s="967"/>
      <c r="C35" s="967"/>
      <c r="D35" s="967"/>
      <c r="E35" s="967"/>
      <c r="F35" s="967"/>
      <c r="G35" s="967"/>
      <c r="N35" s="999" t="s">
        <v>509</v>
      </c>
      <c r="O35" s="1000"/>
      <c r="P35" s="1000"/>
    </row>
    <row r="36" spans="1:22" ht="15.75">
      <c r="H36" s="1001" t="s">
        <v>328</v>
      </c>
      <c r="I36" s="1002"/>
      <c r="J36" s="1002"/>
      <c r="K36" s="1002"/>
      <c r="L36" s="1002"/>
      <c r="M36" s="1002"/>
      <c r="N36" s="1003"/>
      <c r="P36" s="1001" t="s">
        <v>329</v>
      </c>
      <c r="Q36" s="1002"/>
      <c r="R36" s="1002"/>
      <c r="S36" s="1002"/>
      <c r="T36" s="1002"/>
      <c r="U36" s="1002"/>
      <c r="V36" s="1003"/>
    </row>
    <row r="37" spans="1:22">
      <c r="A37" s="121" t="s">
        <v>94</v>
      </c>
      <c r="F37" s="121" t="s">
        <v>96</v>
      </c>
      <c r="H37" s="1004"/>
      <c r="I37" s="807"/>
      <c r="J37" s="430" t="s">
        <v>104</v>
      </c>
      <c r="K37" s="807"/>
      <c r="L37" s="807"/>
      <c r="M37" s="807"/>
      <c r="N37" s="1005" t="s">
        <v>352</v>
      </c>
      <c r="P37" s="1004"/>
      <c r="Q37" s="807"/>
      <c r="R37" s="430" t="s">
        <v>104</v>
      </c>
      <c r="S37" s="807"/>
      <c r="T37" s="807"/>
      <c r="U37" s="807"/>
      <c r="V37" s="1005" t="s">
        <v>352</v>
      </c>
    </row>
    <row r="38" spans="1:22" ht="15.75" thickBot="1">
      <c r="A38" s="651" t="s">
        <v>100</v>
      </c>
      <c r="B38" s="939"/>
      <c r="C38" s="960" t="s">
        <v>351</v>
      </c>
      <c r="D38" s="939"/>
      <c r="E38" s="939"/>
      <c r="F38" s="651" t="s">
        <v>102</v>
      </c>
      <c r="G38" s="939"/>
      <c r="H38" s="1006" t="s">
        <v>105</v>
      </c>
      <c r="I38" s="1007"/>
      <c r="J38" s="1008" t="s">
        <v>42</v>
      </c>
      <c r="K38" s="1007"/>
      <c r="L38" s="1008" t="s">
        <v>1167</v>
      </c>
      <c r="M38" s="1007"/>
      <c r="N38" s="1009" t="s">
        <v>0</v>
      </c>
      <c r="O38" s="807"/>
      <c r="P38" s="1006" t="s">
        <v>105</v>
      </c>
      <c r="Q38" s="1007"/>
      <c r="R38" s="1008" t="s">
        <v>42</v>
      </c>
      <c r="S38" s="1007"/>
      <c r="T38" s="1008" t="s">
        <v>1167</v>
      </c>
      <c r="U38" s="1007"/>
      <c r="V38" s="1009" t="s">
        <v>0</v>
      </c>
    </row>
    <row r="39" spans="1:22">
      <c r="F39" s="121" t="s">
        <v>1090</v>
      </c>
      <c r="H39" s="121" t="s">
        <v>1091</v>
      </c>
      <c r="J39" s="121" t="s">
        <v>1092</v>
      </c>
      <c r="L39" s="121" t="s">
        <v>15</v>
      </c>
      <c r="N39" s="121" t="s">
        <v>39</v>
      </c>
      <c r="O39" s="807"/>
      <c r="P39" s="121" t="s">
        <v>326</v>
      </c>
      <c r="R39" s="121" t="s">
        <v>40</v>
      </c>
      <c r="T39" s="121" t="s">
        <v>627</v>
      </c>
      <c r="V39" s="121" t="s">
        <v>628</v>
      </c>
    </row>
    <row r="40" spans="1:22">
      <c r="H40" s="121" t="s">
        <v>629</v>
      </c>
      <c r="J40" s="121" t="s">
        <v>150</v>
      </c>
      <c r="L40" s="121" t="s">
        <v>150</v>
      </c>
      <c r="N40" s="121" t="s">
        <v>150</v>
      </c>
      <c r="P40" s="121" t="s">
        <v>629</v>
      </c>
      <c r="R40" s="121" t="s">
        <v>150</v>
      </c>
      <c r="T40" s="121" t="s">
        <v>150</v>
      </c>
      <c r="V40" s="121" t="s">
        <v>150</v>
      </c>
    </row>
    <row r="42" spans="1:22">
      <c r="A42" s="121">
        <v>8</v>
      </c>
      <c r="C42" s="586" t="s">
        <v>273</v>
      </c>
      <c r="F42" s="108"/>
      <c r="G42" s="108"/>
      <c r="H42" s="108">
        <f>+'J-2 B'!F20</f>
        <v>242504.31246159747</v>
      </c>
      <c r="I42" s="108"/>
      <c r="J42" s="579">
        <f>ROUND(H42/$H$54,4)</f>
        <v>3.3599999999999998E-2</v>
      </c>
      <c r="K42" s="108"/>
      <c r="L42" s="1010">
        <f>+'J-2 B'!L20</f>
        <v>1.9898265289283203E-2</v>
      </c>
      <c r="M42" s="108"/>
      <c r="N42" s="1010">
        <f>+J42*L42</f>
        <v>6.6858171371991554E-4</v>
      </c>
      <c r="O42" s="108"/>
      <c r="P42" s="108">
        <f>+'J-2 F'!F20</f>
        <v>242504.31246159747</v>
      </c>
      <c r="Q42" s="108"/>
      <c r="R42" s="579">
        <f>ROUND(P42/$P$54,4)</f>
        <v>3.4799999999999998E-2</v>
      </c>
      <c r="S42" s="108"/>
      <c r="T42" s="1010">
        <f>ROUND(+'J-2 F'!L20,4)</f>
        <v>1.9900000000000001E-2</v>
      </c>
      <c r="U42" s="579"/>
      <c r="V42" s="1010">
        <f>ROUND(R42*T42,4)</f>
        <v>6.9999999999999999E-4</v>
      </c>
    </row>
    <row r="43" spans="1:22">
      <c r="F43" s="108"/>
      <c r="G43" s="108"/>
      <c r="H43" s="108"/>
      <c r="I43" s="108"/>
      <c r="J43" s="108"/>
      <c r="K43" s="108"/>
      <c r="L43" s="1010"/>
      <c r="M43" s="108"/>
      <c r="N43" s="1010"/>
      <c r="O43" s="108"/>
      <c r="P43" s="108"/>
      <c r="Q43" s="108"/>
      <c r="R43" s="579"/>
      <c r="S43" s="108"/>
      <c r="T43" s="1010"/>
      <c r="U43" s="579"/>
      <c r="V43" s="1010"/>
    </row>
    <row r="44" spans="1:22">
      <c r="A44" s="121">
        <v>9</v>
      </c>
      <c r="C44" s="586" t="s">
        <v>274</v>
      </c>
      <c r="F44" s="108"/>
      <c r="G44" s="108"/>
      <c r="H44" s="109">
        <f>H19</f>
        <v>3066734.19575</v>
      </c>
      <c r="I44" s="108"/>
      <c r="J44" s="1011">
        <f>ROUND(H44/$H$54,5)</f>
        <v>0.42529</v>
      </c>
      <c r="K44" s="108"/>
      <c r="L44" s="1010">
        <f>ROUND('J-3 B'!K34,4)</f>
        <v>5.1299999999999998E-2</v>
      </c>
      <c r="M44" s="108"/>
      <c r="N44" s="1012">
        <f>+J44*L44</f>
        <v>2.1817376999999999E-2</v>
      </c>
      <c r="O44" s="108"/>
      <c r="P44" s="109">
        <f>+'J-3 F'!E34*0.001</f>
        <v>3066734.19575</v>
      </c>
      <c r="Q44" s="108"/>
      <c r="R44" s="1011">
        <f>ROUND(P44/$P$54,4)</f>
        <v>0.4395</v>
      </c>
      <c r="S44" s="108"/>
      <c r="T44" s="1010">
        <f>ROUND('J-3 F'!K34,4)</f>
        <v>5.11E-2</v>
      </c>
      <c r="U44" s="579"/>
      <c r="V44" s="1015">
        <f>ROUND(R44*T44,4)</f>
        <v>2.2499999999999999E-2</v>
      </c>
    </row>
    <row r="45" spans="1:22">
      <c r="F45" s="108"/>
      <c r="G45" s="108"/>
      <c r="H45" s="108"/>
      <c r="I45" s="108"/>
      <c r="J45" s="108"/>
      <c r="K45" s="108"/>
      <c r="L45" s="1010"/>
      <c r="M45" s="108"/>
      <c r="N45" s="1010"/>
      <c r="O45" s="108"/>
      <c r="P45" s="108"/>
      <c r="Q45" s="108"/>
      <c r="R45" s="108"/>
      <c r="S45" s="108"/>
      <c r="T45" s="1010"/>
      <c r="U45" s="579"/>
      <c r="V45" s="1010"/>
    </row>
    <row r="46" spans="1:22">
      <c r="A46" s="121">
        <v>10</v>
      </c>
      <c r="C46" s="586" t="s">
        <v>403</v>
      </c>
      <c r="F46" s="108"/>
      <c r="G46" s="108"/>
      <c r="H46" s="108">
        <f>H42+H44</f>
        <v>3309238.5082115973</v>
      </c>
      <c r="I46" s="108"/>
      <c r="J46" s="579">
        <f>J42+J44</f>
        <v>0.45889000000000002</v>
      </c>
      <c r="K46" s="108"/>
      <c r="L46" s="1010"/>
      <c r="M46" s="108"/>
      <c r="N46" s="1010">
        <f>N42+N44</f>
        <v>2.2485958713719913E-2</v>
      </c>
      <c r="O46" s="108"/>
      <c r="P46" s="108">
        <f>P42+P44</f>
        <v>3309238.5082115973</v>
      </c>
      <c r="Q46" s="108"/>
      <c r="R46" s="579">
        <f>R42+R44</f>
        <v>0.4743</v>
      </c>
      <c r="S46" s="108"/>
      <c r="T46" s="1010"/>
      <c r="U46" s="579"/>
      <c r="V46" s="1010">
        <f>V42+V44</f>
        <v>2.3199999999999998E-2</v>
      </c>
    </row>
    <row r="47" spans="1:22">
      <c r="F47" s="108"/>
      <c r="G47" s="108"/>
      <c r="H47" s="108"/>
      <c r="I47" s="108"/>
      <c r="J47" s="108"/>
      <c r="K47" s="108"/>
      <c r="L47" s="1010"/>
      <c r="M47" s="108"/>
      <c r="N47" s="1010"/>
      <c r="O47" s="108"/>
      <c r="P47" s="108"/>
      <c r="Q47" s="108"/>
      <c r="R47" s="108"/>
      <c r="S47" s="108"/>
      <c r="T47" s="1010"/>
      <c r="U47" s="579"/>
      <c r="V47" s="1010"/>
    </row>
    <row r="48" spans="1:22">
      <c r="A48" s="121">
        <v>11</v>
      </c>
      <c r="C48" s="586" t="s">
        <v>275</v>
      </c>
      <c r="F48" s="108"/>
      <c r="G48" s="108"/>
      <c r="H48" s="108">
        <v>0</v>
      </c>
      <c r="I48" s="108"/>
      <c r="J48" s="579">
        <f>ROUND(H48/$H$54,4)</f>
        <v>0</v>
      </c>
      <c r="K48" s="108"/>
      <c r="L48" s="1010">
        <v>0</v>
      </c>
      <c r="M48" s="108"/>
      <c r="N48" s="1010">
        <f>+J48*L48</f>
        <v>0</v>
      </c>
      <c r="O48" s="108"/>
      <c r="P48" s="108">
        <v>0</v>
      </c>
      <c r="Q48" s="108"/>
      <c r="R48" s="579">
        <f>ROUND(P48/$P$54,4)</f>
        <v>0</v>
      </c>
      <c r="S48" s="108"/>
      <c r="T48" s="1010">
        <v>0</v>
      </c>
      <c r="U48" s="579"/>
      <c r="V48" s="1010">
        <f>ROUND(R48*T48,4)</f>
        <v>0</v>
      </c>
    </row>
    <row r="49" spans="1:22">
      <c r="H49" s="108"/>
      <c r="L49" s="1010"/>
      <c r="N49" s="425"/>
      <c r="P49" s="108"/>
      <c r="T49" s="1010"/>
      <c r="U49" s="1013"/>
      <c r="V49" s="425"/>
    </row>
    <row r="50" spans="1:22">
      <c r="A50" s="121">
        <v>12</v>
      </c>
      <c r="C50" s="586" t="s">
        <v>276</v>
      </c>
      <c r="H50" s="108">
        <f>H25</f>
        <v>3901710.1031300002</v>
      </c>
      <c r="J50" s="579">
        <f>ROUND(H50/$H$54,5)</f>
        <v>0.54108000000000001</v>
      </c>
      <c r="L50" s="1010">
        <f>+N50/J50</f>
        <v>0.10021218078270624</v>
      </c>
      <c r="N50" s="1010">
        <f>+N54-N46</f>
        <v>5.4222806777906696E-2</v>
      </c>
      <c r="P50" s="108">
        <f>P25</f>
        <v>3668227.0974676916</v>
      </c>
      <c r="R50" s="579">
        <f>+ROUND(P50/P54,5)</f>
        <v>0.52571999999999997</v>
      </c>
      <c r="T50" s="1010">
        <f>+V50/R50</f>
        <v>7.6846990793578346E-2</v>
      </c>
      <c r="U50" s="1013"/>
      <c r="V50" s="1010">
        <f>+V54-V46</f>
        <v>4.0400000000000005E-2</v>
      </c>
    </row>
    <row r="51" spans="1:22">
      <c r="H51" s="108"/>
      <c r="L51" s="1010"/>
      <c r="N51" s="425"/>
      <c r="P51" s="108"/>
      <c r="T51" s="1010"/>
      <c r="U51" s="1013"/>
      <c r="V51" s="425"/>
    </row>
    <row r="52" spans="1:22">
      <c r="A52" s="121">
        <v>13</v>
      </c>
      <c r="C52" s="586" t="s">
        <v>438</v>
      </c>
      <c r="H52" s="109">
        <v>0</v>
      </c>
      <c r="J52" s="1014">
        <f>ROUND(H52/$H$29,4)</f>
        <v>0</v>
      </c>
      <c r="L52" s="1010">
        <v>0</v>
      </c>
      <c r="N52" s="1012">
        <f>+J52*L52</f>
        <v>0</v>
      </c>
      <c r="P52" s="109">
        <v>0</v>
      </c>
      <c r="R52" s="1014">
        <f>ROUND(P52/$H$54,4)</f>
        <v>0</v>
      </c>
      <c r="T52" s="1010">
        <v>0</v>
      </c>
      <c r="U52" s="1013"/>
      <c r="V52" s="1015">
        <f>ROUND(R52*T52,4)</f>
        <v>0</v>
      </c>
    </row>
    <row r="53" spans="1:22">
      <c r="H53" s="108"/>
      <c r="L53" s="1010"/>
      <c r="P53" s="108"/>
      <c r="T53" s="579"/>
      <c r="U53" s="1013"/>
      <c r="V53" s="1013"/>
    </row>
    <row r="54" spans="1:22" ht="15.75" thickBot="1">
      <c r="A54" s="121">
        <v>14</v>
      </c>
      <c r="C54" s="586" t="s">
        <v>404</v>
      </c>
      <c r="H54" s="1016">
        <f>H46+H50+H52</f>
        <v>7210948.6113415975</v>
      </c>
      <c r="J54" s="1017">
        <f>SUM(J46:J52)</f>
        <v>0.99997000000000003</v>
      </c>
      <c r="L54" s="135"/>
      <c r="N54" s="114">
        <f>+C.2!D33/'B.1 B'!F27</f>
        <v>7.6708765491626613E-2</v>
      </c>
      <c r="P54" s="1016">
        <f>SUM(P46:P52)</f>
        <v>6977465.6056792885</v>
      </c>
      <c r="R54" s="1017">
        <f>SUM(R46:R52)</f>
        <v>1.0000199999999999</v>
      </c>
      <c r="T54" s="579"/>
      <c r="U54" s="1013"/>
      <c r="V54" s="114">
        <f>+A.1!G20</f>
        <v>6.3600000000000004E-2</v>
      </c>
    </row>
    <row r="55" spans="1:22" ht="15.75" thickTop="1">
      <c r="H55" s="108"/>
      <c r="P55" s="108"/>
      <c r="T55" s="1013"/>
      <c r="U55" s="1013"/>
      <c r="V55" s="1013"/>
    </row>
    <row r="56" spans="1:22"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22">
      <c r="F57" s="108"/>
      <c r="G57" s="108"/>
      <c r="H57" s="108"/>
      <c r="I57" s="108"/>
      <c r="J57" s="579"/>
      <c r="K57" s="108"/>
      <c r="L57" s="135"/>
      <c r="M57" s="108"/>
      <c r="N57" s="135"/>
      <c r="O57" s="108"/>
      <c r="P57" s="108"/>
    </row>
    <row r="58" spans="1:22">
      <c r="F58" s="108"/>
      <c r="G58" s="108"/>
      <c r="H58" s="108"/>
      <c r="I58" s="108"/>
      <c r="J58" s="108"/>
      <c r="K58" s="108"/>
      <c r="L58" s="135"/>
      <c r="M58" s="108"/>
      <c r="N58" s="108"/>
      <c r="O58" s="108"/>
      <c r="P58" s="108"/>
    </row>
    <row r="59" spans="1:22">
      <c r="F59" s="108"/>
      <c r="G59" s="108"/>
      <c r="H59" s="108"/>
      <c r="I59" s="108"/>
      <c r="J59" s="579"/>
      <c r="K59" s="108"/>
      <c r="L59" s="135"/>
      <c r="M59" s="108"/>
      <c r="N59" s="135"/>
      <c r="O59" s="108"/>
      <c r="P59" s="108"/>
    </row>
    <row r="60" spans="1:22">
      <c r="F60" s="108"/>
      <c r="G60" s="108"/>
      <c r="H60" s="108"/>
      <c r="I60" s="108"/>
      <c r="J60" s="108"/>
      <c r="K60" s="108"/>
      <c r="L60" s="135"/>
      <c r="M60" s="108"/>
      <c r="N60" s="108"/>
      <c r="O60" s="108"/>
      <c r="P60" s="108"/>
    </row>
    <row r="61" spans="1:22">
      <c r="F61" s="108"/>
      <c r="G61" s="108"/>
      <c r="H61" s="108"/>
      <c r="I61" s="108"/>
      <c r="J61" s="579"/>
      <c r="K61" s="108"/>
      <c r="L61" s="135"/>
      <c r="M61" s="108"/>
      <c r="N61" s="135"/>
      <c r="O61" s="108"/>
      <c r="P61" s="108"/>
    </row>
    <row r="62" spans="1:22">
      <c r="F62" s="108"/>
      <c r="G62" s="108"/>
      <c r="H62" s="108"/>
      <c r="I62" s="108"/>
      <c r="J62" s="108"/>
      <c r="K62" s="108"/>
      <c r="L62" s="108"/>
      <c r="M62" s="108"/>
      <c r="N62" s="108"/>
      <c r="O62" s="108"/>
    </row>
  </sheetData>
  <mergeCells count="5">
    <mergeCell ref="A5:V5"/>
    <mergeCell ref="A1:V1"/>
    <mergeCell ref="A2:V2"/>
    <mergeCell ref="A3:V3"/>
    <mergeCell ref="A4:V4"/>
  </mergeCells>
  <phoneticPr fontId="22" type="noConversion"/>
  <printOptions horizontalCentered="1"/>
  <pageMargins left="0.74" right="0.43" top="0.91" bottom="1" header="0.5" footer="0.5"/>
  <pageSetup scale="59" orientation="portrait" verticalDpi="300" r:id="rId1"/>
  <headerFooter alignWithMargins="0">
    <oddFooter>&amp;RSchedule &amp;A
Page &amp;P of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>
    <pageSetUpPr fitToPage="1"/>
  </sheetPr>
  <dimension ref="A1:W29"/>
  <sheetViews>
    <sheetView view="pageBreakPreview" zoomScale="70" zoomScaleNormal="90" zoomScaleSheetLayoutView="70" workbookViewId="0">
      <selection activeCell="P27" sqref="P27"/>
    </sheetView>
  </sheetViews>
  <sheetFormatPr defaultColWidth="10.109375" defaultRowHeight="15"/>
  <cols>
    <col min="1" max="1" width="5" style="1" customWidth="1"/>
    <col min="2" max="2" width="4.77734375" style="1" customWidth="1"/>
    <col min="3" max="3" width="16.109375" style="1" customWidth="1"/>
    <col min="4" max="4" width="5" style="1" customWidth="1"/>
    <col min="5" max="5" width="11" style="1" customWidth="1"/>
    <col min="6" max="6" width="5" style="1" customWidth="1"/>
    <col min="7" max="7" width="16.21875" style="1" customWidth="1"/>
    <col min="8" max="8" width="5" style="1" customWidth="1"/>
    <col min="9" max="9" width="10.109375" style="1"/>
    <col min="10" max="10" width="5" style="1" customWidth="1"/>
    <col min="11" max="11" width="10.109375" style="1"/>
    <col min="12" max="12" width="5" style="1" customWidth="1"/>
    <col min="13" max="13" width="10.6640625" style="1" customWidth="1"/>
    <col min="14" max="14" width="6.6640625" style="1" customWidth="1"/>
    <col min="15" max="15" width="12.5546875" style="1" customWidth="1"/>
    <col min="16" max="16" width="2.44140625" style="1" customWidth="1"/>
    <col min="17" max="17" width="10.109375" style="1"/>
    <col min="18" max="18" width="2.44140625" style="1" customWidth="1"/>
    <col min="19" max="19" width="10.109375" style="1"/>
    <col min="20" max="20" width="2.44140625" style="1" customWidth="1"/>
    <col min="21" max="21" width="10.109375" style="1"/>
    <col min="22" max="22" width="6.6640625" style="1" customWidth="1"/>
    <col min="23" max="16384" width="10.109375" style="1"/>
  </cols>
  <sheetData>
    <row r="1" spans="1:23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O1" s="10"/>
    </row>
    <row r="2" spans="1:23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</row>
    <row r="3" spans="1:23">
      <c r="A3" s="1172" t="s">
        <v>2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</row>
    <row r="4" spans="1:23">
      <c r="A4" s="1172" t="s">
        <v>1672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</row>
    <row r="7" spans="1:23">
      <c r="A7" s="4" t="s">
        <v>1156</v>
      </c>
      <c r="M7" s="377" t="s">
        <v>1440</v>
      </c>
    </row>
    <row r="8" spans="1:23">
      <c r="A8" s="66" t="s">
        <v>621</v>
      </c>
      <c r="K8" s="4"/>
      <c r="M8" s="490" t="s">
        <v>783</v>
      </c>
    </row>
    <row r="9" spans="1:23">
      <c r="A9" s="5" t="s">
        <v>369</v>
      </c>
      <c r="B9" s="6"/>
      <c r="C9" s="6"/>
      <c r="D9" s="6"/>
      <c r="E9" s="6"/>
      <c r="F9" s="6"/>
      <c r="G9" s="6"/>
      <c r="H9" s="6"/>
      <c r="I9" s="6"/>
      <c r="J9" s="6"/>
      <c r="K9" s="5"/>
      <c r="L9" s="6"/>
      <c r="M9" s="491" t="str">
        <f>'J-1 Base'!$M$9</f>
        <v>Witness:  Christian</v>
      </c>
    </row>
    <row r="10" spans="1:23">
      <c r="L10" s="15"/>
      <c r="M10" s="15"/>
      <c r="N10" s="15"/>
    </row>
    <row r="11" spans="1:23">
      <c r="A11" s="2" t="s">
        <v>94</v>
      </c>
      <c r="E11" s="2" t="s">
        <v>96</v>
      </c>
      <c r="I11" s="2" t="s">
        <v>104</v>
      </c>
      <c r="M11" s="2" t="s">
        <v>352</v>
      </c>
    </row>
    <row r="12" spans="1:23">
      <c r="A12" s="9" t="s">
        <v>100</v>
      </c>
      <c r="B12" s="6"/>
      <c r="C12" s="5" t="s">
        <v>351</v>
      </c>
      <c r="D12" s="6"/>
      <c r="E12" s="9" t="s">
        <v>102</v>
      </c>
      <c r="F12" s="6"/>
      <c r="G12" s="9" t="s">
        <v>105</v>
      </c>
      <c r="H12" s="6"/>
      <c r="I12" s="9" t="s">
        <v>42</v>
      </c>
      <c r="J12" s="6"/>
      <c r="K12" s="9" t="s">
        <v>1167</v>
      </c>
      <c r="L12" s="6"/>
      <c r="M12" s="9" t="s">
        <v>0</v>
      </c>
      <c r="O12" s="805"/>
      <c r="P12" s="10"/>
      <c r="Q12" s="10"/>
      <c r="R12" s="10"/>
      <c r="S12" s="10"/>
      <c r="T12" s="10"/>
    </row>
    <row r="13" spans="1:23">
      <c r="E13" s="2" t="s">
        <v>1090</v>
      </c>
      <c r="G13" s="2" t="s">
        <v>1091</v>
      </c>
      <c r="I13" s="2" t="s">
        <v>1092</v>
      </c>
      <c r="K13" s="2" t="s">
        <v>15</v>
      </c>
      <c r="M13" s="2" t="s">
        <v>39</v>
      </c>
      <c r="O13" s="662"/>
      <c r="P13" s="10"/>
      <c r="Q13" s="10"/>
      <c r="R13" s="10"/>
      <c r="S13" s="10"/>
      <c r="T13" s="10"/>
    </row>
    <row r="14" spans="1:23">
      <c r="G14" s="2" t="s">
        <v>629</v>
      </c>
      <c r="K14" s="2" t="s">
        <v>150</v>
      </c>
      <c r="M14" s="2" t="s">
        <v>150</v>
      </c>
      <c r="O14" s="73"/>
      <c r="P14" s="73"/>
      <c r="Q14" s="81"/>
      <c r="R14" s="73"/>
      <c r="S14" s="73"/>
      <c r="T14" s="73"/>
      <c r="U14" s="81"/>
      <c r="V14" s="81"/>
      <c r="W14" s="81"/>
    </row>
    <row r="15" spans="1:23">
      <c r="O15" s="73"/>
      <c r="P15" s="73"/>
      <c r="Q15" s="81"/>
      <c r="R15" s="73"/>
      <c r="S15" s="73"/>
      <c r="T15" s="73"/>
      <c r="U15" s="81"/>
      <c r="V15" s="81"/>
      <c r="W15" s="81"/>
    </row>
    <row r="16" spans="1:23">
      <c r="E16" s="10"/>
      <c r="F16" s="10"/>
      <c r="G16" s="10"/>
      <c r="H16" s="10"/>
      <c r="I16" s="11"/>
      <c r="J16" s="10"/>
      <c r="K16" s="3"/>
      <c r="L16" s="10"/>
      <c r="M16" s="3"/>
      <c r="N16" s="10"/>
      <c r="O16"/>
    </row>
    <row r="17" spans="1:20">
      <c r="E17" s="10"/>
      <c r="F17" s="10"/>
      <c r="G17" s="10"/>
      <c r="H17" s="10"/>
      <c r="I17" s="43"/>
      <c r="J17" s="10"/>
      <c r="K17" s="10"/>
      <c r="L17" s="10"/>
      <c r="M17" s="10"/>
      <c r="N17" s="10"/>
      <c r="O17"/>
    </row>
    <row r="18" spans="1:20" ht="15.75">
      <c r="C18" s="197" t="s">
        <v>1509</v>
      </c>
      <c r="E18" s="10"/>
      <c r="F18" s="10"/>
      <c r="G18" s="185"/>
      <c r="H18" s="10"/>
      <c r="I18" s="11"/>
      <c r="J18" s="10"/>
      <c r="K18" s="3"/>
      <c r="L18" s="10"/>
      <c r="M18" s="3"/>
      <c r="N18" s="10"/>
      <c r="O18"/>
    </row>
    <row r="19" spans="1:20">
      <c r="A19" s="4"/>
      <c r="C19" s="4"/>
      <c r="E19" s="10"/>
      <c r="F19" s="10"/>
      <c r="G19" s="10"/>
      <c r="H19" s="10"/>
      <c r="I19" s="10"/>
      <c r="J19" s="10"/>
      <c r="K19" s="3"/>
      <c r="L19" s="10"/>
      <c r="M19" s="10"/>
      <c r="N19" s="10"/>
      <c r="O19"/>
    </row>
    <row r="20" spans="1:20">
      <c r="A20" s="790">
        <v>6</v>
      </c>
      <c r="C20" s="4" t="s">
        <v>273</v>
      </c>
      <c r="E20" s="21"/>
      <c r="F20" s="10"/>
      <c r="G20" s="352">
        <f>J.1!P17</f>
        <v>242504.31246159747</v>
      </c>
      <c r="H20" s="10"/>
      <c r="I20" s="166">
        <f>G20/$G$28</f>
        <v>3.4755357627877341E-2</v>
      </c>
      <c r="J20" s="10"/>
      <c r="K20" s="111">
        <f>ROUND(+'J-2 F'!L20,4)</f>
        <v>1.9900000000000001E-2</v>
      </c>
      <c r="L20" s="10"/>
      <c r="M20" s="44">
        <f>ROUND(I20*K20,4)</f>
        <v>6.9999999999999999E-4</v>
      </c>
      <c r="N20" s="10"/>
      <c r="O20"/>
      <c r="P20" s="10"/>
      <c r="Q20" s="10"/>
      <c r="R20" s="10"/>
      <c r="S20" s="10"/>
      <c r="T20" s="10"/>
    </row>
    <row r="21" spans="1:20">
      <c r="E21" s="10"/>
      <c r="F21" s="10"/>
      <c r="G21" s="61"/>
      <c r="H21" s="10"/>
      <c r="I21" s="166"/>
      <c r="J21" s="10"/>
      <c r="K21" s="111"/>
      <c r="L21" s="10"/>
      <c r="M21" s="44"/>
      <c r="N21" s="10"/>
      <c r="O21"/>
      <c r="P21" s="10"/>
      <c r="Q21" s="10"/>
      <c r="R21" s="10"/>
      <c r="S21" s="10"/>
      <c r="T21" s="10"/>
    </row>
    <row r="22" spans="1:20">
      <c r="A22" s="790">
        <v>7</v>
      </c>
      <c r="C22" s="4" t="s">
        <v>274</v>
      </c>
      <c r="E22" s="21" t="s">
        <v>277</v>
      </c>
      <c r="F22" s="10"/>
      <c r="G22" s="63">
        <f>+J.1!P19</f>
        <v>3066734.19575</v>
      </c>
      <c r="H22" s="10"/>
      <c r="I22" s="166">
        <f>G22/$G$28</f>
        <v>0.4395197868483709</v>
      </c>
      <c r="J22" s="10"/>
      <c r="K22" s="111">
        <f>ROUND('J-3 F'!K34,4)</f>
        <v>5.11E-2</v>
      </c>
      <c r="L22" s="10"/>
      <c r="M22" s="44">
        <f>ROUND(I22*K22,4)</f>
        <v>2.2499999999999999E-2</v>
      </c>
      <c r="N22" s="10"/>
      <c r="O22"/>
    </row>
    <row r="23" spans="1:20">
      <c r="E23" s="10"/>
      <c r="F23" s="10"/>
      <c r="G23" s="63"/>
      <c r="H23" s="10"/>
      <c r="I23" s="166"/>
      <c r="J23" s="10"/>
      <c r="K23" s="44"/>
      <c r="L23" s="10"/>
      <c r="M23" s="44"/>
      <c r="N23" s="10"/>
      <c r="O23"/>
    </row>
    <row r="24" spans="1:20">
      <c r="A24" s="790">
        <v>8</v>
      </c>
      <c r="C24" s="4" t="s">
        <v>275</v>
      </c>
      <c r="E24" s="21" t="s">
        <v>278</v>
      </c>
      <c r="F24" s="10"/>
      <c r="G24" s="63">
        <f>+J.1!P23</f>
        <v>0</v>
      </c>
      <c r="H24" s="10"/>
      <c r="I24" s="166">
        <f>G24/$G$28</f>
        <v>0</v>
      </c>
      <c r="J24" s="10"/>
      <c r="K24" s="44">
        <v>0</v>
      </c>
      <c r="L24" s="10"/>
      <c r="M24" s="44">
        <f>ROUND(I24*K24,4)</f>
        <v>0</v>
      </c>
      <c r="N24" s="10"/>
      <c r="O24"/>
    </row>
    <row r="25" spans="1:20">
      <c r="E25" s="10"/>
      <c r="F25" s="10"/>
      <c r="G25" s="63"/>
      <c r="H25" s="10"/>
      <c r="I25" s="166"/>
      <c r="J25" s="10"/>
      <c r="K25" s="44"/>
      <c r="L25" s="10"/>
      <c r="M25" s="44"/>
      <c r="N25" s="10"/>
      <c r="O25"/>
    </row>
    <row r="26" spans="1:20">
      <c r="A26" s="790">
        <v>9</v>
      </c>
      <c r="C26" s="4" t="s">
        <v>276</v>
      </c>
      <c r="E26" s="10"/>
      <c r="F26" s="10"/>
      <c r="G26" s="576">
        <f>+J.1!P25</f>
        <v>3668227.0974676916</v>
      </c>
      <c r="H26" s="10"/>
      <c r="I26" s="198">
        <f>G26/$G$28</f>
        <v>0.52572485552375181</v>
      </c>
      <c r="J26" s="10"/>
      <c r="K26" s="44">
        <f>Allocation!E27</f>
        <v>0.10299999999999999</v>
      </c>
      <c r="L26" s="10"/>
      <c r="M26" s="45">
        <f>ROUND(I26*K26,4)</f>
        <v>5.4100000000000002E-2</v>
      </c>
      <c r="N26" s="10"/>
      <c r="O26"/>
    </row>
    <row r="27" spans="1:20">
      <c r="G27" s="10"/>
      <c r="I27" s="199"/>
      <c r="K27" s="3"/>
      <c r="M27" s="46"/>
      <c r="O27"/>
    </row>
    <row r="28" spans="1:20" ht="15.75" thickBot="1">
      <c r="A28" s="2">
        <v>10</v>
      </c>
      <c r="C28" s="4" t="s">
        <v>404</v>
      </c>
      <c r="G28" s="324">
        <f>SUM(G20:G26)</f>
        <v>6977465.6056792885</v>
      </c>
      <c r="I28" s="200">
        <f>SUM(I20:I26)</f>
        <v>1</v>
      </c>
      <c r="K28" s="11"/>
      <c r="M28" s="47">
        <f>(+M20+M22+M24+M26)</f>
        <v>7.7300000000000008E-2</v>
      </c>
      <c r="O28"/>
    </row>
    <row r="29" spans="1:20" ht="15.75" thickTop="1"/>
  </sheetData>
  <mergeCells count="4">
    <mergeCell ref="A1:M1"/>
    <mergeCell ref="A2:M2"/>
    <mergeCell ref="A3:M3"/>
    <mergeCell ref="A4:M4"/>
  </mergeCells>
  <phoneticPr fontId="22" type="noConversion"/>
  <printOptions horizontalCentered="1"/>
  <pageMargins left="0.75" right="0.75" top="0.75" bottom="1.28" header="0.5" footer="0.43"/>
  <pageSetup scale="93" orientation="landscape" verticalDpi="300" r:id="rId1"/>
  <headerFooter alignWithMargins="0">
    <oddFooter>&amp;RSchedule &amp;A
Page &amp;P of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fitToPage="1"/>
  </sheetPr>
  <dimension ref="A1:Q43"/>
  <sheetViews>
    <sheetView view="pageBreakPreview" zoomScale="80" zoomScaleNormal="90" zoomScaleSheetLayoutView="80" workbookViewId="0">
      <selection activeCell="F37" sqref="F37"/>
    </sheetView>
  </sheetViews>
  <sheetFormatPr defaultColWidth="10.109375" defaultRowHeight="15"/>
  <cols>
    <col min="1" max="1" width="5.88671875" style="103" customWidth="1"/>
    <col min="2" max="2" width="2.109375" style="103" customWidth="1"/>
    <col min="3" max="3" width="16.109375" style="103" customWidth="1"/>
    <col min="4" max="4" width="11" style="103" customWidth="1"/>
    <col min="5" max="5" width="5.109375" style="103" customWidth="1"/>
    <col min="6" max="6" width="11.6640625" style="103" customWidth="1"/>
    <col min="7" max="7" width="4.21875" style="103" customWidth="1"/>
    <col min="8" max="8" width="10.109375" style="103"/>
    <col min="9" max="9" width="4.21875" style="103" customWidth="1"/>
    <col min="10" max="10" width="10.109375" style="103"/>
    <col min="11" max="11" width="5.77734375" style="103" customWidth="1"/>
    <col min="12" max="12" width="12.6640625" style="103" customWidth="1"/>
    <col min="13" max="16384" width="10.109375" style="103"/>
  </cols>
  <sheetData>
    <row r="1" spans="1:17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  <c r="L1" s="1185"/>
    </row>
    <row r="2" spans="1:17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3" spans="1:17">
      <c r="A3" s="1185" t="s">
        <v>1037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  <c r="L3" s="1185"/>
    </row>
    <row r="4" spans="1:17">
      <c r="A4" s="1185" t="s">
        <v>1533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N4" s="108"/>
      <c r="O4" s="108"/>
      <c r="P4" s="108"/>
      <c r="Q4" s="108"/>
    </row>
    <row r="5" spans="1:17">
      <c r="N5" s="108"/>
      <c r="O5" s="108"/>
      <c r="P5" s="108"/>
      <c r="Q5" s="108"/>
    </row>
    <row r="6" spans="1:17">
      <c r="N6" s="108"/>
      <c r="O6" s="108"/>
      <c r="P6" s="108"/>
      <c r="Q6" s="108"/>
    </row>
    <row r="7" spans="1:17">
      <c r="A7" s="586" t="s">
        <v>1156</v>
      </c>
      <c r="L7" s="959" t="s">
        <v>1440</v>
      </c>
      <c r="N7" s="108"/>
      <c r="O7" s="108"/>
      <c r="P7" s="108"/>
      <c r="Q7" s="108"/>
    </row>
    <row r="8" spans="1:17">
      <c r="A8" s="586" t="s">
        <v>621</v>
      </c>
      <c r="K8" s="586"/>
      <c r="L8" s="931" t="s">
        <v>50</v>
      </c>
      <c r="N8" s="108"/>
      <c r="O8" s="108"/>
      <c r="P8" s="108"/>
      <c r="Q8" s="108"/>
    </row>
    <row r="9" spans="1:17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39"/>
      <c r="K9" s="960"/>
      <c r="L9" s="992" t="str">
        <f>'J-1 Base'!$M$9</f>
        <v>Witness:  Christian</v>
      </c>
      <c r="N9" s="108"/>
      <c r="O9" s="108"/>
      <c r="P9" s="108"/>
      <c r="Q9" s="108"/>
    </row>
    <row r="10" spans="1:17">
      <c r="J10" s="121" t="s">
        <v>354</v>
      </c>
      <c r="L10" s="121" t="s">
        <v>1154</v>
      </c>
    </row>
    <row r="11" spans="1:17">
      <c r="A11" s="121"/>
      <c r="F11" s="121" t="s">
        <v>105</v>
      </c>
      <c r="H11" s="121" t="s">
        <v>270</v>
      </c>
      <c r="J11" s="121" t="s">
        <v>355</v>
      </c>
      <c r="L11" s="121" t="s">
        <v>270</v>
      </c>
    </row>
    <row r="12" spans="1:17">
      <c r="A12" s="651"/>
      <c r="B12" s="939"/>
      <c r="C12" s="651" t="s">
        <v>356</v>
      </c>
      <c r="D12" s="939"/>
      <c r="E12" s="939"/>
      <c r="F12" s="651" t="s">
        <v>353</v>
      </c>
      <c r="G12" s="939"/>
      <c r="H12" s="651" t="s">
        <v>576</v>
      </c>
      <c r="I12" s="939"/>
      <c r="J12" s="651" t="s">
        <v>0</v>
      </c>
      <c r="K12" s="939"/>
      <c r="L12" s="651" t="s">
        <v>576</v>
      </c>
    </row>
    <row r="13" spans="1:17">
      <c r="C13" s="121" t="s">
        <v>1090</v>
      </c>
      <c r="F13" s="121" t="s">
        <v>1091</v>
      </c>
      <c r="H13" s="121" t="s">
        <v>1092</v>
      </c>
      <c r="J13" s="121" t="s">
        <v>15</v>
      </c>
      <c r="L13" s="121" t="s">
        <v>169</v>
      </c>
    </row>
    <row r="14" spans="1:17">
      <c r="F14" s="121" t="s">
        <v>629</v>
      </c>
      <c r="J14" s="121" t="s">
        <v>629</v>
      </c>
    </row>
    <row r="16" spans="1:17">
      <c r="A16" s="121">
        <v>1</v>
      </c>
      <c r="C16" s="586" t="s">
        <v>910</v>
      </c>
      <c r="F16" s="108">
        <f>'J-2 B'!F16</f>
        <v>242504.31246159747</v>
      </c>
      <c r="G16" s="108"/>
      <c r="H16" s="1018">
        <f>'J-2 B'!H16</f>
        <v>9.159292654358421E-3</v>
      </c>
      <c r="I16" s="135"/>
      <c r="J16" s="108">
        <f>(F16*H16)</f>
        <v>2221.1679677797488</v>
      </c>
      <c r="K16" s="108"/>
      <c r="L16" s="108"/>
      <c r="M16" s="108"/>
    </row>
    <row r="17" spans="1:13">
      <c r="L17" s="108"/>
    </row>
    <row r="18" spans="1:13">
      <c r="A18" s="121">
        <v>2</v>
      </c>
      <c r="C18" s="586" t="s">
        <v>1322</v>
      </c>
      <c r="F18" s="108"/>
      <c r="G18" s="108"/>
      <c r="H18" s="108"/>
      <c r="I18" s="135"/>
      <c r="J18" s="108">
        <f>'J-2 B'!J18</f>
        <v>2604.2471753763439</v>
      </c>
      <c r="K18" s="108"/>
      <c r="L18" s="108"/>
      <c r="M18" s="108"/>
    </row>
    <row r="19" spans="1:13">
      <c r="F19" s="108"/>
      <c r="G19" s="108"/>
      <c r="H19" s="579"/>
      <c r="I19" s="108"/>
      <c r="J19" s="108"/>
      <c r="K19" s="108"/>
      <c r="L19" s="108"/>
      <c r="M19" s="108"/>
    </row>
    <row r="20" spans="1:13">
      <c r="A20" s="121">
        <v>3</v>
      </c>
      <c r="C20" s="586" t="s">
        <v>909</v>
      </c>
      <c r="F20" s="113">
        <f>SUM(F16:F18)</f>
        <v>242504.31246159747</v>
      </c>
      <c r="G20" s="108"/>
      <c r="H20" s="108"/>
      <c r="I20" s="135"/>
      <c r="J20" s="113">
        <f>SUM(J16:J18)</f>
        <v>4825.4151431560931</v>
      </c>
      <c r="K20" s="108"/>
      <c r="L20" s="114">
        <f>(J20/F20)</f>
        <v>1.9898265289283203E-2</v>
      </c>
      <c r="M20" s="108"/>
    </row>
    <row r="21" spans="1:13">
      <c r="F21" s="108"/>
      <c r="G21" s="108"/>
      <c r="H21" s="579"/>
      <c r="I21" s="135"/>
      <c r="J21" s="135"/>
      <c r="K21" s="108"/>
      <c r="L21" s="108"/>
      <c r="M21" s="108"/>
    </row>
    <row r="22" spans="1:13">
      <c r="F22" s="108"/>
      <c r="G22" s="108"/>
      <c r="H22" s="579"/>
      <c r="I22" s="135"/>
      <c r="J22" s="135"/>
      <c r="K22" s="108"/>
      <c r="L22" s="108"/>
      <c r="M22" s="108"/>
    </row>
    <row r="23" spans="1:13">
      <c r="F23" s="108"/>
      <c r="G23" s="108"/>
      <c r="H23" s="579"/>
      <c r="I23" s="135"/>
      <c r="J23" s="135"/>
      <c r="K23" s="108"/>
      <c r="L23" s="108"/>
      <c r="M23" s="108"/>
    </row>
    <row r="24" spans="1:13" ht="15.75">
      <c r="A24" s="930"/>
      <c r="G24" s="108"/>
      <c r="I24" s="135"/>
      <c r="L24" s="108"/>
    </row>
    <row r="25" spans="1:13">
      <c r="C25" s="586" t="s">
        <v>530</v>
      </c>
      <c r="G25" s="108"/>
      <c r="H25" s="579"/>
      <c r="I25" s="135"/>
      <c r="J25" s="135"/>
      <c r="L25" s="108"/>
    </row>
    <row r="26" spans="1:13">
      <c r="C26" s="586"/>
      <c r="G26" s="108"/>
      <c r="H26" s="579"/>
      <c r="I26" s="135"/>
      <c r="J26" s="135"/>
      <c r="L26" s="108"/>
    </row>
    <row r="27" spans="1:13">
      <c r="C27" s="586" t="s">
        <v>1671</v>
      </c>
    </row>
    <row r="28" spans="1:13">
      <c r="C28" s="586"/>
    </row>
    <row r="29" spans="1:13">
      <c r="C29" s="586"/>
    </row>
    <row r="30" spans="1:13">
      <c r="C30" s="586"/>
      <c r="G30" s="108"/>
      <c r="I30" s="135"/>
    </row>
    <row r="31" spans="1:13">
      <c r="G31" s="108"/>
      <c r="H31" s="108"/>
      <c r="I31" s="135"/>
      <c r="J31" s="135"/>
    </row>
    <row r="32" spans="1:13">
      <c r="C32" s="586"/>
      <c r="G32" s="108"/>
    </row>
    <row r="33" spans="1:3">
      <c r="C33" s="586"/>
    </row>
    <row r="35" spans="1:3">
      <c r="C35" s="586"/>
    </row>
    <row r="40" spans="1:3">
      <c r="A40" s="586"/>
      <c r="C40" s="586"/>
    </row>
    <row r="41" spans="1:3">
      <c r="C41" s="586"/>
    </row>
    <row r="42" spans="1:3">
      <c r="C42" s="586"/>
    </row>
    <row r="43" spans="1:3">
      <c r="C43" s="586"/>
    </row>
  </sheetData>
  <mergeCells count="4">
    <mergeCell ref="A1:L1"/>
    <mergeCell ref="A2:L2"/>
    <mergeCell ref="A3:L3"/>
    <mergeCell ref="A4:L4"/>
  </mergeCells>
  <phoneticPr fontId="22" type="noConversion"/>
  <pageMargins left="0.75" right="0.75" top="0.83" bottom="1.1499999999999999" header="0.5" footer="0.5"/>
  <pageSetup orientation="landscape" verticalDpi="300" r:id="rId1"/>
  <headerFooter alignWithMargins="0">
    <oddFooter>&amp;RSchedule &amp;A
Page &amp;P of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pageSetUpPr fitToPage="1"/>
  </sheetPr>
  <dimension ref="A1:N47"/>
  <sheetViews>
    <sheetView view="pageBreakPreview" zoomScale="80" zoomScaleNormal="90" zoomScaleSheetLayoutView="80" workbookViewId="0">
      <selection activeCell="F37" sqref="F37"/>
    </sheetView>
  </sheetViews>
  <sheetFormatPr defaultColWidth="8.5546875" defaultRowHeight="15"/>
  <cols>
    <col min="1" max="1" width="3.88671875" style="103" customWidth="1"/>
    <col min="2" max="2" width="1" style="103" customWidth="1"/>
    <col min="3" max="3" width="34.77734375" style="103" customWidth="1"/>
    <col min="4" max="4" width="4.109375" style="103" customWidth="1"/>
    <col min="5" max="5" width="14.88671875" style="103" customWidth="1"/>
    <col min="6" max="6" width="1.6640625" style="103" customWidth="1"/>
    <col min="7" max="7" width="6.44140625" style="103" customWidth="1"/>
    <col min="8" max="8" width="2" style="103" customWidth="1"/>
    <col min="9" max="9" width="13.33203125" style="103" customWidth="1"/>
    <col min="10" max="10" width="2.109375" style="103" customWidth="1"/>
    <col min="11" max="11" width="8.5546875" style="103" customWidth="1"/>
    <col min="12" max="12" width="8.5546875" style="103"/>
    <col min="13" max="13" width="12.6640625" style="103" customWidth="1"/>
    <col min="14" max="16384" width="8.5546875" style="103"/>
  </cols>
  <sheetData>
    <row r="1" spans="1:12">
      <c r="A1" s="1185" t="str">
        <f>'Table of Contents'!A1:C1</f>
        <v>Atmos Energy Corporation, Kentucky/Mid-States Division</v>
      </c>
      <c r="B1" s="1185"/>
      <c r="C1" s="1185"/>
      <c r="D1" s="1185"/>
      <c r="E1" s="1185"/>
      <c r="F1" s="1185"/>
      <c r="G1" s="1185"/>
      <c r="H1" s="1185"/>
      <c r="I1" s="1185"/>
      <c r="J1" s="1185"/>
      <c r="K1" s="1185"/>
    </row>
    <row r="2" spans="1:12">
      <c r="A2" s="1185" t="str">
        <f>'Table of Contents'!A2:C2</f>
        <v>Kentucky Jurisdiction Case No. 2017-00349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</row>
    <row r="3" spans="1:12">
      <c r="A3" s="1185" t="s">
        <v>1093</v>
      </c>
      <c r="B3" s="1185"/>
      <c r="C3" s="1185"/>
      <c r="D3" s="1185"/>
      <c r="E3" s="1185"/>
      <c r="F3" s="1185"/>
      <c r="G3" s="1185"/>
      <c r="H3" s="1185"/>
      <c r="I3" s="1185"/>
      <c r="J3" s="1185"/>
      <c r="K3" s="1185"/>
    </row>
    <row r="4" spans="1:12">
      <c r="A4" s="1185" t="str">
        <f>'Table of Contents'!A4:C4</f>
        <v>Forecasted Test Period: Twelve Months Ended March 31, 2019</v>
      </c>
      <c r="B4" s="1185"/>
      <c r="C4" s="1185"/>
      <c r="D4" s="1185"/>
      <c r="E4" s="1185"/>
      <c r="F4" s="1185"/>
      <c r="G4" s="1185"/>
      <c r="H4" s="1185"/>
      <c r="I4" s="1185"/>
      <c r="J4" s="1185"/>
      <c r="K4" s="1185"/>
    </row>
    <row r="5" spans="1:12">
      <c r="A5" s="767"/>
      <c r="B5" s="767"/>
      <c r="C5" s="767"/>
      <c r="D5" s="767"/>
      <c r="E5" s="767"/>
      <c r="F5" s="767"/>
      <c r="G5" s="767"/>
      <c r="H5" s="767"/>
      <c r="I5" s="767"/>
      <c r="J5" s="767"/>
      <c r="K5" s="767"/>
    </row>
    <row r="6" spans="1:12">
      <c r="K6" s="959" t="s">
        <v>1440</v>
      </c>
    </row>
    <row r="7" spans="1:12">
      <c r="A7" s="586" t="s">
        <v>1156</v>
      </c>
      <c r="K7" s="931" t="s">
        <v>49</v>
      </c>
    </row>
    <row r="8" spans="1:12">
      <c r="A8" s="697" t="s">
        <v>621</v>
      </c>
      <c r="K8" s="931" t="s">
        <v>860</v>
      </c>
    </row>
    <row r="9" spans="1:12">
      <c r="A9" s="960" t="s">
        <v>369</v>
      </c>
      <c r="B9" s="939"/>
      <c r="C9" s="939"/>
      <c r="D9" s="939"/>
      <c r="E9" s="939"/>
      <c r="F9" s="939"/>
      <c r="G9" s="939"/>
      <c r="H9" s="939"/>
      <c r="I9" s="939"/>
      <c r="J9" s="967"/>
      <c r="K9" s="992" t="str">
        <f>'J-1 Base'!$M$9</f>
        <v>Witness:  Christian</v>
      </c>
    </row>
    <row r="10" spans="1:12">
      <c r="E10" s="767" t="s">
        <v>1058</v>
      </c>
      <c r="I10" s="121" t="s">
        <v>354</v>
      </c>
      <c r="K10" s="121" t="s">
        <v>1154</v>
      </c>
    </row>
    <row r="11" spans="1:12">
      <c r="A11" s="121" t="s">
        <v>94</v>
      </c>
      <c r="E11" s="121" t="s">
        <v>105</v>
      </c>
      <c r="G11" s="121" t="s">
        <v>270</v>
      </c>
      <c r="I11" s="121" t="s">
        <v>355</v>
      </c>
      <c r="K11" s="121" t="s">
        <v>270</v>
      </c>
    </row>
    <row r="12" spans="1:12">
      <c r="A12" s="651" t="s">
        <v>100</v>
      </c>
      <c r="B12" s="939"/>
      <c r="C12" s="651" t="s">
        <v>356</v>
      </c>
      <c r="D12" s="939"/>
      <c r="E12" s="651" t="s">
        <v>353</v>
      </c>
      <c r="F12" s="939"/>
      <c r="G12" s="651" t="s">
        <v>576</v>
      </c>
      <c r="H12" s="939"/>
      <c r="I12" s="651" t="s">
        <v>0</v>
      </c>
      <c r="J12" s="939"/>
      <c r="K12" s="651" t="s">
        <v>576</v>
      </c>
    </row>
    <row r="13" spans="1:12">
      <c r="C13" s="121" t="s">
        <v>1090</v>
      </c>
      <c r="E13" s="121" t="s">
        <v>1091</v>
      </c>
      <c r="G13" s="121" t="s">
        <v>1092</v>
      </c>
      <c r="I13" s="121" t="s">
        <v>15</v>
      </c>
      <c r="K13" s="121" t="s">
        <v>169</v>
      </c>
    </row>
    <row r="14" spans="1:12">
      <c r="E14" s="121"/>
      <c r="I14" s="121"/>
    </row>
    <row r="16" spans="1:12">
      <c r="A16" s="121">
        <v>1</v>
      </c>
      <c r="C16" s="586" t="str">
        <f>'J-3 B'!C16</f>
        <v>6.75% Debentures Unsecured due July 2028</v>
      </c>
      <c r="E16" s="341">
        <f>'J-3 B'!E16</f>
        <v>150000000</v>
      </c>
      <c r="F16" s="108"/>
      <c r="G16" s="994">
        <f>'J-3 B'!G16</f>
        <v>6.7500000000000004E-2</v>
      </c>
      <c r="H16" s="135"/>
      <c r="I16" s="574">
        <f t="shared" ref="I16" si="0">(E16*G16)</f>
        <v>10125000</v>
      </c>
      <c r="J16" s="108"/>
      <c r="K16" s="1010"/>
      <c r="L16" s="108"/>
    </row>
    <row r="17" spans="1:14">
      <c r="A17" s="121">
        <f>A16+1</f>
        <v>2</v>
      </c>
      <c r="C17" s="586" t="str">
        <f>'J-3 B'!C17</f>
        <v>6.67% MTN A1 due Dec 2025</v>
      </c>
      <c r="E17" s="86">
        <f>'J-3 B'!E17</f>
        <v>10000000</v>
      </c>
      <c r="F17" s="108"/>
      <c r="G17" s="994">
        <f>'J-3 B'!G17</f>
        <v>6.6699999999999995E-2</v>
      </c>
      <c r="H17" s="135"/>
      <c r="I17" s="630">
        <f t="shared" ref="I17:I25" si="1">(E17*G17)</f>
        <v>667000</v>
      </c>
    </row>
    <row r="18" spans="1:14">
      <c r="A18" s="121">
        <f t="shared" ref="A18:A34" si="2">A17+1</f>
        <v>3</v>
      </c>
      <c r="C18" s="586" t="str">
        <f>'J-3 B'!C18</f>
        <v>5.95% Sr Note due 10/15/2034</v>
      </c>
      <c r="E18" s="86">
        <f>'J-3 B'!E18</f>
        <v>200000000</v>
      </c>
      <c r="G18" s="994">
        <f>'J-3 B'!G18</f>
        <v>5.9499999999999997E-2</v>
      </c>
      <c r="H18" s="108"/>
      <c r="I18" s="630">
        <f t="shared" si="1"/>
        <v>11900000</v>
      </c>
      <c r="J18" s="108"/>
      <c r="K18" s="1010"/>
      <c r="L18" s="108"/>
    </row>
    <row r="19" spans="1:14">
      <c r="A19" s="121">
        <f t="shared" si="2"/>
        <v>4</v>
      </c>
      <c r="C19" s="586" t="str">
        <f>'J-3 B'!C19</f>
        <v>6.35% Sr Note due 6/15/2017</v>
      </c>
      <c r="E19" s="86">
        <f>'J-3 B'!E19</f>
        <v>0</v>
      </c>
      <c r="F19" s="108"/>
      <c r="G19" s="994">
        <f>'J-3 B'!G19</f>
        <v>6.3500000000000001E-2</v>
      </c>
      <c r="H19" s="135"/>
      <c r="I19" s="630">
        <f t="shared" si="1"/>
        <v>0</v>
      </c>
      <c r="J19" s="108"/>
      <c r="K19" s="1010"/>
      <c r="L19" s="108"/>
    </row>
    <row r="20" spans="1:14">
      <c r="A20" s="121">
        <f t="shared" si="2"/>
        <v>5</v>
      </c>
      <c r="C20" s="586" t="str">
        <f>'J-3 B'!C20</f>
        <v>Sr Note 5.50% Due 06/15/2041</v>
      </c>
      <c r="E20" s="86">
        <f>'J-3 B'!E20</f>
        <v>400000000</v>
      </c>
      <c r="G20" s="994">
        <f>'J-3 B'!G20</f>
        <v>5.5E-2</v>
      </c>
      <c r="H20" s="135"/>
      <c r="I20" s="630">
        <f t="shared" si="1"/>
        <v>22000000</v>
      </c>
      <c r="J20" s="108"/>
      <c r="K20" s="1010"/>
      <c r="L20" s="108"/>
    </row>
    <row r="21" spans="1:14">
      <c r="A21" s="121">
        <f t="shared" si="2"/>
        <v>6</v>
      </c>
      <c r="C21" s="586" t="str">
        <f>'J-3 B'!C21</f>
        <v>8.50% Sr Note due 3/15/2019</v>
      </c>
      <c r="E21" s="86">
        <f>'J-3 B'!E21</f>
        <v>450000000</v>
      </c>
      <c r="G21" s="994">
        <f>'J-3 B'!G21</f>
        <v>8.5000000000000006E-2</v>
      </c>
      <c r="H21" s="135"/>
      <c r="I21" s="630">
        <f t="shared" si="1"/>
        <v>38250000</v>
      </c>
      <c r="J21" s="108"/>
      <c r="K21" s="1010"/>
      <c r="L21" s="108"/>
    </row>
    <row r="22" spans="1:14">
      <c r="A22" s="121">
        <f t="shared" si="2"/>
        <v>7</v>
      </c>
      <c r="C22" s="586" t="str">
        <f>'J-3 B'!C22</f>
        <v>4.15% Sr Note due 1/15/2043</v>
      </c>
      <c r="E22" s="86">
        <f>'J-3 B'!E22</f>
        <v>500000000</v>
      </c>
      <c r="G22" s="994">
        <f>'J-3 B'!G22</f>
        <v>4.1500000000000002E-2</v>
      </c>
      <c r="H22" s="135"/>
      <c r="I22" s="630">
        <f t="shared" si="1"/>
        <v>20750000</v>
      </c>
      <c r="J22" s="108"/>
      <c r="K22" s="1010"/>
      <c r="L22" s="108"/>
    </row>
    <row r="23" spans="1:14">
      <c r="A23" s="121">
        <f t="shared" si="2"/>
        <v>8</v>
      </c>
      <c r="C23" s="586" t="str">
        <f>'J-3 B'!C23</f>
        <v>4.125% Sr Note due 10/15/2044</v>
      </c>
      <c r="E23" s="86">
        <f>'J-3 B'!E23</f>
        <v>750000000</v>
      </c>
      <c r="G23" s="994">
        <f>'J-3 B'!G23</f>
        <v>4.1250000000000002E-2</v>
      </c>
      <c r="H23" s="135"/>
      <c r="I23" s="630">
        <f t="shared" si="1"/>
        <v>30937500</v>
      </c>
      <c r="K23" s="425"/>
    </row>
    <row r="24" spans="1:14">
      <c r="A24" s="121">
        <f t="shared" si="2"/>
        <v>9</v>
      </c>
      <c r="C24" s="586" t="s">
        <v>1609</v>
      </c>
      <c r="E24" s="86">
        <f>'J-3 B'!E24</f>
        <v>500000000</v>
      </c>
      <c r="G24" s="994">
        <f>'J-3 B'!G24</f>
        <v>0.03</v>
      </c>
      <c r="H24" s="135"/>
      <c r="I24" s="630">
        <f t="shared" si="1"/>
        <v>15000000</v>
      </c>
      <c r="K24" s="425"/>
    </row>
    <row r="25" spans="1:14">
      <c r="A25" s="121">
        <f t="shared" si="2"/>
        <v>10</v>
      </c>
      <c r="C25" s="586" t="s">
        <v>1610</v>
      </c>
      <c r="E25" s="86">
        <v>125000000</v>
      </c>
      <c r="F25" s="108"/>
      <c r="G25" s="994">
        <v>1.8171111111111107E-2</v>
      </c>
      <c r="H25" s="135"/>
      <c r="I25" s="428">
        <f t="shared" si="1"/>
        <v>2271388.8888888885</v>
      </c>
      <c r="K25" s="425"/>
    </row>
    <row r="26" spans="1:14">
      <c r="A26" s="121">
        <f t="shared" si="2"/>
        <v>11</v>
      </c>
      <c r="C26" s="586" t="s">
        <v>97</v>
      </c>
      <c r="E26" s="732">
        <f>SUM(E16:E25)</f>
        <v>3085000000</v>
      </c>
      <c r="F26" s="108"/>
      <c r="G26" s="1019"/>
      <c r="I26" s="704">
        <f>SUM(I16:I25)</f>
        <v>151900888.8888889</v>
      </c>
    </row>
    <row r="27" spans="1:14">
      <c r="A27" s="121">
        <f t="shared" si="2"/>
        <v>12</v>
      </c>
      <c r="C27" s="586"/>
      <c r="E27" s="86"/>
      <c r="G27" s="1019"/>
      <c r="I27" s="108"/>
    </row>
    <row r="28" spans="1:14">
      <c r="A28" s="121">
        <f t="shared" si="2"/>
        <v>13</v>
      </c>
      <c r="C28" s="586" t="s">
        <v>1336</v>
      </c>
      <c r="E28" s="96"/>
      <c r="G28" s="1019"/>
      <c r="I28" s="354">
        <f>'J-3 B'!I28</f>
        <v>4955311.3260243991</v>
      </c>
    </row>
    <row r="29" spans="1:14">
      <c r="A29" s="121">
        <f t="shared" si="2"/>
        <v>14</v>
      </c>
      <c r="C29" s="586" t="s">
        <v>1337</v>
      </c>
      <c r="E29" s="409">
        <v>4370287.9400000013</v>
      </c>
      <c r="F29" s="108"/>
      <c r="G29" s="1019"/>
      <c r="H29" s="135"/>
      <c r="I29" s="108"/>
      <c r="N29" s="697"/>
    </row>
    <row r="30" spans="1:14">
      <c r="A30" s="121">
        <f t="shared" si="2"/>
        <v>15</v>
      </c>
      <c r="C30" s="586" t="s">
        <v>1611</v>
      </c>
      <c r="E30" s="409">
        <v>-22636092.190000001</v>
      </c>
      <c r="G30" s="1020"/>
    </row>
    <row r="31" spans="1:14">
      <c r="A31" s="121">
        <f t="shared" si="2"/>
        <v>16</v>
      </c>
    </row>
    <row r="32" spans="1:14">
      <c r="A32" s="121">
        <f t="shared" si="2"/>
        <v>17</v>
      </c>
      <c r="E32" s="108"/>
      <c r="G32" s="1020"/>
    </row>
    <row r="33" spans="1:11">
      <c r="A33" s="121">
        <f t="shared" si="2"/>
        <v>18</v>
      </c>
    </row>
    <row r="34" spans="1:11" ht="15.75" thickBot="1">
      <c r="A34" s="121">
        <f t="shared" si="2"/>
        <v>19</v>
      </c>
      <c r="C34" s="586" t="s">
        <v>1189</v>
      </c>
      <c r="E34" s="1021">
        <f>+E26+E29+E30</f>
        <v>3066734195.75</v>
      </c>
      <c r="G34" s="1020"/>
      <c r="I34" s="1021">
        <f>+I26+I28</f>
        <v>156856200.21491331</v>
      </c>
      <c r="K34" s="1022">
        <f>+I34/E34</f>
        <v>5.1147634650662181E-2</v>
      </c>
    </row>
    <row r="35" spans="1:11" ht="15.75" thickTop="1"/>
    <row r="36" spans="1:11">
      <c r="A36" s="586"/>
      <c r="C36" s="586"/>
    </row>
    <row r="37" spans="1:11">
      <c r="C37" s="586"/>
    </row>
    <row r="38" spans="1:11">
      <c r="C38" s="586"/>
    </row>
    <row r="40" spans="1:11">
      <c r="G40" s="994"/>
    </row>
    <row r="41" spans="1:11">
      <c r="G41" s="994"/>
    </row>
    <row r="42" spans="1:11">
      <c r="G42" s="994"/>
    </row>
    <row r="43" spans="1:11">
      <c r="G43" s="994"/>
    </row>
    <row r="44" spans="1:11">
      <c r="G44" s="994"/>
    </row>
    <row r="45" spans="1:11">
      <c r="G45" s="994"/>
    </row>
    <row r="46" spans="1:11">
      <c r="G46" s="994"/>
    </row>
    <row r="47" spans="1:11">
      <c r="G47" s="994"/>
    </row>
  </sheetData>
  <mergeCells count="4">
    <mergeCell ref="A1:K1"/>
    <mergeCell ref="A2:K2"/>
    <mergeCell ref="A3:K3"/>
    <mergeCell ref="A4:K4"/>
  </mergeCells>
  <phoneticPr fontId="22" type="noConversion"/>
  <printOptions horizontalCentered="1"/>
  <pageMargins left="0.81" right="0.46" top="1.24" bottom="0.75" header="0.5" footer="0.5"/>
  <pageSetup scale="83" orientation="portrait" verticalDpi="300" r:id="rId1"/>
  <headerFooter alignWithMargins="0">
    <oddFooter>&amp;RSchedule &amp;A
Page &amp;P of &amp;N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J138"/>
  <sheetViews>
    <sheetView view="pageBreakPreview" zoomScale="80" zoomScaleNormal="90" zoomScaleSheetLayoutView="80" workbookViewId="0">
      <pane xSplit="6" ySplit="13" topLeftCell="G14" activePane="bottomRight" state="frozen"/>
      <selection activeCell="F37" sqref="F37"/>
      <selection pane="topRight" activeCell="F37" sqref="F37"/>
      <selection pane="bottomLeft" activeCell="F37" sqref="F37"/>
      <selection pane="bottomRight" activeCell="L26" sqref="L26"/>
    </sheetView>
  </sheetViews>
  <sheetFormatPr defaultColWidth="6.44140625" defaultRowHeight="15"/>
  <cols>
    <col min="1" max="1" width="4.33203125" style="81" customWidth="1"/>
    <col min="2" max="2" width="11.44140625" style="81" customWidth="1"/>
    <col min="3" max="4" width="6.44140625" style="81"/>
    <col min="5" max="5" width="7.109375" style="81" customWidth="1"/>
    <col min="6" max="6" width="7.33203125" style="81" customWidth="1"/>
    <col min="7" max="7" width="12.77734375" style="81" customWidth="1"/>
    <col min="8" max="8" width="13.6640625" style="81" customWidth="1"/>
    <col min="9" max="10" width="9.88671875" style="81" customWidth="1"/>
    <col min="11" max="11" width="9.44140625" style="81" customWidth="1"/>
    <col min="12" max="12" width="9.77734375" style="81" customWidth="1"/>
    <col min="13" max="13" width="9.44140625" style="81" bestFit="1" customWidth="1"/>
    <col min="14" max="14" width="9.88671875" style="81" customWidth="1"/>
    <col min="15" max="15" width="9.5546875" style="81" customWidth="1"/>
    <col min="16" max="18" width="9.77734375" style="81" customWidth="1"/>
    <col min="19" max="19" width="9.44140625" style="81" customWidth="1"/>
    <col min="20" max="20" width="7.21875" style="81" customWidth="1"/>
    <col min="21" max="22" width="6.44140625" style="81"/>
    <col min="23" max="23" width="9.33203125" style="81" customWidth="1"/>
    <col min="24" max="24" width="6.44140625" style="81"/>
    <col min="25" max="25" width="10.6640625" style="81" customWidth="1"/>
    <col min="26" max="16384" width="6.44140625" style="81"/>
  </cols>
  <sheetData>
    <row r="1" spans="1:36" ht="15.75">
      <c r="A1" s="1172" t="str">
        <f>'Table of Contents'!A1:C1</f>
        <v>Atmos Energy Corporation, Kentucky/Mid-States Division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023"/>
    </row>
    <row r="2" spans="1:36">
      <c r="A2" s="1172" t="str">
        <f>'Table of Contents'!A2:C2</f>
        <v>Kentucky Jurisdiction Case No. 2017-00349</v>
      </c>
      <c r="B2" s="1172"/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024"/>
    </row>
    <row r="3" spans="1:36">
      <c r="A3" s="1172" t="s">
        <v>25</v>
      </c>
      <c r="B3" s="1172"/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025"/>
    </row>
    <row r="4" spans="1:36">
      <c r="A4" s="1172" t="str">
        <f>'Table of Contents'!A3:C3</f>
        <v>Base Period: Twelve Months Ended December 31, 2017</v>
      </c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</row>
    <row r="5" spans="1:36">
      <c r="A5" s="1172" t="str">
        <f>'Table of Contents'!A4:C4</f>
        <v>Forecasted Test Period: Twelve Months Ended March 31, 2019</v>
      </c>
      <c r="B5" s="1172"/>
      <c r="C5" s="1172"/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</row>
    <row r="6" spans="1:36">
      <c r="A6" s="1172" t="s">
        <v>1243</v>
      </c>
      <c r="B6" s="1172"/>
      <c r="C6" s="1172"/>
      <c r="D6" s="1172"/>
      <c r="E6" s="1172"/>
      <c r="F6" s="1172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  <c r="R6" s="1172"/>
      <c r="S6" s="673"/>
    </row>
    <row r="7" spans="1:36">
      <c r="A7" s="857"/>
      <c r="N7" s="88"/>
    </row>
    <row r="8" spans="1:36">
      <c r="A8" s="88" t="s">
        <v>199</v>
      </c>
      <c r="N8" s="88"/>
      <c r="O8" s="88"/>
      <c r="Q8" s="88"/>
      <c r="R8" s="170" t="s">
        <v>1441</v>
      </c>
    </row>
    <row r="9" spans="1:36">
      <c r="A9" s="697" t="s">
        <v>1057</v>
      </c>
      <c r="N9" s="88"/>
      <c r="O9" s="88"/>
      <c r="Q9" s="88"/>
      <c r="R9" s="988" t="s">
        <v>47</v>
      </c>
    </row>
    <row r="10" spans="1:36">
      <c r="A10" s="434" t="s">
        <v>369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392"/>
      <c r="P10" s="151"/>
      <c r="Q10" s="434"/>
      <c r="R10" s="1026" t="s">
        <v>1686</v>
      </c>
    </row>
    <row r="11" spans="1:36">
      <c r="T11" s="693"/>
    </row>
    <row r="12" spans="1:36">
      <c r="A12" s="88" t="s">
        <v>94</v>
      </c>
      <c r="G12" s="857" t="s">
        <v>44</v>
      </c>
      <c r="H12" s="857" t="s">
        <v>45</v>
      </c>
      <c r="I12" s="151"/>
      <c r="J12" s="151"/>
      <c r="K12" s="151"/>
      <c r="L12" s="151"/>
      <c r="M12" s="436" t="s">
        <v>625</v>
      </c>
      <c r="N12" s="436"/>
      <c r="O12" s="151"/>
      <c r="P12" s="151"/>
      <c r="Q12" s="151"/>
      <c r="R12" s="151"/>
    </row>
    <row r="13" spans="1:36">
      <c r="A13" s="434" t="s">
        <v>100</v>
      </c>
      <c r="B13" s="151"/>
      <c r="C13" s="436" t="s">
        <v>993</v>
      </c>
      <c r="D13" s="151"/>
      <c r="E13" s="151"/>
      <c r="F13" s="151"/>
      <c r="G13" s="436" t="s">
        <v>543</v>
      </c>
      <c r="H13" s="436" t="s">
        <v>543</v>
      </c>
      <c r="I13" s="692">
        <v>2016</v>
      </c>
      <c r="J13" s="692">
        <v>2015</v>
      </c>
      <c r="K13" s="692">
        <v>2014</v>
      </c>
      <c r="L13" s="692">
        <v>2013</v>
      </c>
      <c r="M13" s="692">
        <v>2012</v>
      </c>
      <c r="N13" s="692">
        <v>2011</v>
      </c>
      <c r="O13" s="692">
        <v>2010</v>
      </c>
      <c r="P13" s="692">
        <v>2009</v>
      </c>
      <c r="Q13" s="692">
        <v>2008</v>
      </c>
      <c r="R13" s="692">
        <v>2007</v>
      </c>
    </row>
    <row r="14" spans="1:36">
      <c r="K14" s="81" t="s">
        <v>327</v>
      </c>
    </row>
    <row r="15" spans="1:36" ht="15.75">
      <c r="A15" s="857">
        <v>1</v>
      </c>
      <c r="B15" s="622" t="s">
        <v>1164</v>
      </c>
      <c r="C15" s="998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2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</row>
    <row r="16" spans="1:36" ht="15.75">
      <c r="A16" s="857">
        <f>A15+1</f>
        <v>2</v>
      </c>
      <c r="B16" s="88" t="s">
        <v>312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2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.75">
      <c r="A17" s="857">
        <f t="shared" ref="A17:A80" si="0">A16+1</f>
        <v>3</v>
      </c>
      <c r="B17" s="88" t="s">
        <v>179</v>
      </c>
      <c r="G17" s="108">
        <f>('B.2 F'!I19+'B.2 F'!I124)/1000</f>
        <v>768.36166367999999</v>
      </c>
      <c r="H17" s="108">
        <f>('B.2 B'!I19+'B.2 B'!I124)/1000</f>
        <v>768.36166367999999</v>
      </c>
      <c r="I17" s="108">
        <v>128</v>
      </c>
      <c r="J17" s="108">
        <v>128</v>
      </c>
      <c r="K17" s="108">
        <v>128</v>
      </c>
      <c r="L17" s="108">
        <v>128</v>
      </c>
      <c r="M17" s="108">
        <v>128</v>
      </c>
      <c r="N17" s="108">
        <v>128</v>
      </c>
      <c r="O17" s="108">
        <v>128</v>
      </c>
      <c r="P17" s="108">
        <v>128</v>
      </c>
      <c r="Q17" s="108">
        <v>128</v>
      </c>
      <c r="R17" s="108">
        <v>128</v>
      </c>
      <c r="S17" s="102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</row>
    <row r="18" spans="1:36">
      <c r="A18" s="857">
        <f t="shared" si="0"/>
        <v>4</v>
      </c>
      <c r="B18" s="88" t="s">
        <v>26</v>
      </c>
      <c r="G18" s="108">
        <f>('B.2 F'!I26)/1000</f>
        <v>0</v>
      </c>
      <c r="H18" s="108">
        <f>('B.2 B'!I26)/1000</f>
        <v>0</v>
      </c>
      <c r="I18" s="108">
        <v>0</v>
      </c>
      <c r="J18" s="108">
        <v>0</v>
      </c>
      <c r="K18" s="108">
        <v>636</v>
      </c>
      <c r="L18" s="108">
        <v>901</v>
      </c>
      <c r="M18" s="108">
        <v>901</v>
      </c>
      <c r="N18" s="108">
        <v>901</v>
      </c>
      <c r="O18" s="108">
        <v>901</v>
      </c>
      <c r="P18" s="108">
        <v>901</v>
      </c>
      <c r="Q18" s="108">
        <v>901</v>
      </c>
      <c r="R18" s="108">
        <v>901</v>
      </c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</row>
    <row r="19" spans="1:36">
      <c r="A19" s="857">
        <f t="shared" si="0"/>
        <v>5</v>
      </c>
      <c r="B19" s="88" t="s">
        <v>27</v>
      </c>
      <c r="G19" s="108">
        <f>('B.2 F'!I47)/1000</f>
        <v>14279.673914722802</v>
      </c>
      <c r="H19" s="108">
        <f>('B.2 B'!I47)/1000</f>
        <v>14141.695432716124</v>
      </c>
      <c r="I19" s="108">
        <v>12454</v>
      </c>
      <c r="J19" s="108">
        <v>11560</v>
      </c>
      <c r="K19" s="108">
        <v>10792</v>
      </c>
      <c r="L19" s="108">
        <v>9630</v>
      </c>
      <c r="M19" s="108">
        <v>10104</v>
      </c>
      <c r="N19" s="108">
        <v>9388</v>
      </c>
      <c r="O19" s="108">
        <v>7731</v>
      </c>
      <c r="P19" s="108">
        <v>7540</v>
      </c>
      <c r="Q19" s="108">
        <v>6950</v>
      </c>
      <c r="R19" s="108">
        <v>6878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</row>
    <row r="20" spans="1:36">
      <c r="A20" s="857">
        <f t="shared" si="0"/>
        <v>6</v>
      </c>
      <c r="B20" s="88" t="s">
        <v>28</v>
      </c>
      <c r="G20" s="108">
        <f>('B.2 F'!I59)/1000</f>
        <v>31807.960000000003</v>
      </c>
      <c r="H20" s="108">
        <f>('B.2 B'!I59)/1000</f>
        <v>31807.960000000003</v>
      </c>
      <c r="I20" s="108">
        <v>31814</v>
      </c>
      <c r="J20" s="108">
        <v>31808</v>
      </c>
      <c r="K20" s="108">
        <v>31877</v>
      </c>
      <c r="L20" s="108">
        <v>32962</v>
      </c>
      <c r="M20" s="108">
        <v>32836</v>
      </c>
      <c r="N20" s="108">
        <v>33144</v>
      </c>
      <c r="O20" s="108">
        <v>31189</v>
      </c>
      <c r="P20" s="108">
        <v>31202</v>
      </c>
      <c r="Q20" s="108">
        <v>28807</v>
      </c>
      <c r="R20" s="108">
        <v>28746</v>
      </c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</row>
    <row r="21" spans="1:36">
      <c r="A21" s="857">
        <f t="shared" si="0"/>
        <v>7</v>
      </c>
      <c r="B21" s="88" t="s">
        <v>504</v>
      </c>
      <c r="G21" s="108">
        <f>('B.2 F'!I83+'B.2 F'!I149)/1000</f>
        <v>588244.25114979537</v>
      </c>
      <c r="H21" s="108">
        <f>('B.2 B'!I83+'B.2 B'!I149)/1000</f>
        <v>522189.74230903795</v>
      </c>
      <c r="I21" s="108">
        <v>472849</v>
      </c>
      <c r="J21" s="108">
        <v>413302</v>
      </c>
      <c r="K21" s="108">
        <v>381623</v>
      </c>
      <c r="L21" s="108">
        <v>340200</v>
      </c>
      <c r="M21" s="108">
        <v>323036</v>
      </c>
      <c r="N21" s="108">
        <v>296493</v>
      </c>
      <c r="O21" s="108">
        <v>283474</v>
      </c>
      <c r="P21" s="108">
        <v>271463</v>
      </c>
      <c r="Q21" s="108">
        <v>260621</v>
      </c>
      <c r="R21" s="108">
        <v>251843</v>
      </c>
    </row>
    <row r="22" spans="1:36">
      <c r="A22" s="857">
        <f t="shared" si="0"/>
        <v>8</v>
      </c>
      <c r="B22" s="88" t="s">
        <v>964</v>
      </c>
      <c r="G22" s="108">
        <f>('B.2 F'!I112+'B.2 F'!I174+'B.2 F'!I222+'B.2 F'!I259)/1000</f>
        <v>43504.506459212615</v>
      </c>
      <c r="H22" s="108">
        <f>('B.2 B'!I112+'B.2 B'!I174+'B.2 B'!I222+'B.2 B'!I259)/1000</f>
        <v>40213.634302542028</v>
      </c>
      <c r="I22" s="108">
        <v>21271</v>
      </c>
      <c r="J22" s="108">
        <v>18126</v>
      </c>
      <c r="K22" s="108">
        <v>16683</v>
      </c>
      <c r="L22" s="108">
        <v>15589</v>
      </c>
      <c r="M22" s="108">
        <v>15238</v>
      </c>
      <c r="N22" s="108">
        <v>16000</v>
      </c>
      <c r="O22" s="108">
        <v>15103</v>
      </c>
      <c r="P22" s="108">
        <v>14696</v>
      </c>
      <c r="Q22" s="108">
        <v>15422</v>
      </c>
      <c r="R22" s="108">
        <v>15165</v>
      </c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</row>
    <row r="23" spans="1:36">
      <c r="A23" s="857">
        <f t="shared" si="0"/>
        <v>9</v>
      </c>
      <c r="B23" s="88" t="s">
        <v>386</v>
      </c>
      <c r="G23" s="108"/>
      <c r="H23" s="108"/>
      <c r="I23" s="108">
        <v>3279</v>
      </c>
      <c r="J23" s="108">
        <v>3279</v>
      </c>
      <c r="K23" s="108">
        <v>3279</v>
      </c>
      <c r="L23" s="108">
        <v>3279</v>
      </c>
      <c r="M23" s="108">
        <v>3279</v>
      </c>
      <c r="N23" s="108">
        <v>3279</v>
      </c>
      <c r="O23" s="108">
        <v>3337</v>
      </c>
      <c r="P23" s="108">
        <v>3337</v>
      </c>
      <c r="Q23" s="108">
        <v>3337</v>
      </c>
      <c r="R23" s="108">
        <v>3337</v>
      </c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</row>
    <row r="24" spans="1:36">
      <c r="A24" s="857">
        <f t="shared" si="0"/>
        <v>10</v>
      </c>
      <c r="B24" s="88" t="s">
        <v>327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>
      <c r="A25" s="857">
        <f t="shared" si="0"/>
        <v>11</v>
      </c>
      <c r="B25" s="88" t="s">
        <v>166</v>
      </c>
      <c r="G25" s="108">
        <f t="shared" ref="G25:R25" si="1">SUM(G17:G24)</f>
        <v>678604.75318741077</v>
      </c>
      <c r="H25" s="108">
        <f t="shared" si="1"/>
        <v>609121.39370797621</v>
      </c>
      <c r="I25" s="108">
        <f t="shared" si="1"/>
        <v>541795</v>
      </c>
      <c r="J25" s="108">
        <f t="shared" si="1"/>
        <v>478203</v>
      </c>
      <c r="K25" s="108">
        <f t="shared" si="1"/>
        <v>445018</v>
      </c>
      <c r="L25" s="108">
        <f t="shared" si="1"/>
        <v>402689</v>
      </c>
      <c r="M25" s="108">
        <f t="shared" si="1"/>
        <v>385522</v>
      </c>
      <c r="N25" s="108">
        <f t="shared" si="1"/>
        <v>359333</v>
      </c>
      <c r="O25" s="108">
        <f t="shared" si="1"/>
        <v>341863</v>
      </c>
      <c r="P25" s="108">
        <f t="shared" si="1"/>
        <v>329267</v>
      </c>
      <c r="Q25" s="108">
        <f t="shared" si="1"/>
        <v>316166</v>
      </c>
      <c r="R25" s="108">
        <f t="shared" si="1"/>
        <v>306998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>
      <c r="A26" s="857">
        <f t="shared" si="0"/>
        <v>12</v>
      </c>
      <c r="B26" s="88" t="s">
        <v>387</v>
      </c>
      <c r="G26" s="109">
        <f>-'B.1 F '!D17/1000</f>
        <v>199674.58719442011</v>
      </c>
      <c r="H26" s="428">
        <f>-'B.1 B'!D17/1000</f>
        <v>190820.11853911277</v>
      </c>
      <c r="I26" s="108">
        <v>167228</v>
      </c>
      <c r="J26" s="108">
        <v>165298</v>
      </c>
      <c r="K26" s="108">
        <v>160839</v>
      </c>
      <c r="L26" s="108">
        <v>158300</v>
      </c>
      <c r="M26" s="108">
        <v>151849</v>
      </c>
      <c r="N26" s="108">
        <v>150795</v>
      </c>
      <c r="O26" s="108">
        <v>147462</v>
      </c>
      <c r="P26" s="108">
        <v>144016</v>
      </c>
      <c r="Q26" s="108">
        <v>139212</v>
      </c>
      <c r="R26" s="108">
        <v>134463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>
      <c r="A27" s="857">
        <f t="shared" si="0"/>
        <v>13</v>
      </c>
      <c r="B27" s="88" t="s">
        <v>388</v>
      </c>
      <c r="G27" s="108">
        <f t="shared" ref="G27:R27" si="2">G25-G26</f>
        <v>478930.16599299066</v>
      </c>
      <c r="H27" s="686">
        <f t="shared" si="2"/>
        <v>418301.27516886347</v>
      </c>
      <c r="I27" s="1027">
        <f t="shared" si="2"/>
        <v>374567</v>
      </c>
      <c r="J27" s="1027">
        <f t="shared" si="2"/>
        <v>312905</v>
      </c>
      <c r="K27" s="1027">
        <f t="shared" si="2"/>
        <v>284179</v>
      </c>
      <c r="L27" s="1027">
        <f t="shared" si="2"/>
        <v>244389</v>
      </c>
      <c r="M27" s="1027">
        <f t="shared" si="2"/>
        <v>233673</v>
      </c>
      <c r="N27" s="1027">
        <f t="shared" si="2"/>
        <v>208538</v>
      </c>
      <c r="O27" s="1027">
        <f t="shared" si="2"/>
        <v>194401</v>
      </c>
      <c r="P27" s="1027">
        <f t="shared" si="2"/>
        <v>185251</v>
      </c>
      <c r="Q27" s="1027">
        <f t="shared" si="2"/>
        <v>176954</v>
      </c>
      <c r="R27" s="1027">
        <f t="shared" si="2"/>
        <v>172535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>
      <c r="A28" s="857">
        <f t="shared" si="0"/>
        <v>14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36">
      <c r="A29" s="857">
        <f t="shared" si="0"/>
        <v>15</v>
      </c>
      <c r="B29" s="88" t="s">
        <v>790</v>
      </c>
      <c r="G29" s="108">
        <f>'B.1 F '!D16/1000</f>
        <v>27465.67781215431</v>
      </c>
      <c r="H29" s="108">
        <f>'B.1 B'!D16/1000</f>
        <v>27465.67781215431</v>
      </c>
      <c r="I29" s="108">
        <v>10146.378000000001</v>
      </c>
      <c r="J29" s="108">
        <v>26310.035</v>
      </c>
      <c r="K29" s="108">
        <v>12708</v>
      </c>
      <c r="L29" s="108">
        <v>16578</v>
      </c>
      <c r="M29" s="108">
        <v>6006</v>
      </c>
      <c r="N29" s="108">
        <v>3306</v>
      </c>
      <c r="O29" s="108">
        <v>7197</v>
      </c>
      <c r="P29" s="108">
        <v>4851</v>
      </c>
      <c r="Q29" s="108">
        <v>5215</v>
      </c>
      <c r="R29" s="108">
        <v>1897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>
      <c r="A30" s="857">
        <f t="shared" si="0"/>
        <v>16</v>
      </c>
      <c r="B30" s="88" t="s">
        <v>327</v>
      </c>
      <c r="G30" s="109"/>
      <c r="H30" s="109"/>
      <c r="I30" s="109"/>
      <c r="J30" s="109"/>
      <c r="K30" s="1028"/>
      <c r="L30" s="109"/>
      <c r="M30" s="109"/>
      <c r="N30" s="109"/>
      <c r="O30" s="109"/>
      <c r="P30" s="109"/>
      <c r="Q30" s="109"/>
      <c r="R30" s="109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>
      <c r="A31" s="857">
        <f t="shared" si="0"/>
        <v>17</v>
      </c>
      <c r="B31" s="88" t="s">
        <v>1188</v>
      </c>
      <c r="G31" s="108">
        <f t="shared" ref="G31:R31" si="3">SUM(G29:G30)</f>
        <v>27465.67781215431</v>
      </c>
      <c r="H31" s="108">
        <f t="shared" si="3"/>
        <v>27465.67781215431</v>
      </c>
      <c r="I31" s="108">
        <f t="shared" si="3"/>
        <v>10146.378000000001</v>
      </c>
      <c r="J31" s="108">
        <f t="shared" si="3"/>
        <v>26310.035</v>
      </c>
      <c r="K31" s="108">
        <f t="shared" si="3"/>
        <v>12708</v>
      </c>
      <c r="L31" s="108">
        <f t="shared" si="3"/>
        <v>16578</v>
      </c>
      <c r="M31" s="108">
        <f t="shared" si="3"/>
        <v>6006</v>
      </c>
      <c r="N31" s="108">
        <f t="shared" si="3"/>
        <v>3306</v>
      </c>
      <c r="O31" s="108">
        <f t="shared" si="3"/>
        <v>7197</v>
      </c>
      <c r="P31" s="108">
        <f t="shared" si="3"/>
        <v>4851</v>
      </c>
      <c r="Q31" s="108">
        <f t="shared" si="3"/>
        <v>5215</v>
      </c>
      <c r="R31" s="108">
        <f t="shared" si="3"/>
        <v>1897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</row>
    <row r="32" spans="1:36">
      <c r="A32" s="857">
        <f t="shared" si="0"/>
        <v>18</v>
      </c>
      <c r="G32" s="108"/>
      <c r="H32" s="108"/>
      <c r="I32" s="108"/>
      <c r="J32" s="108"/>
      <c r="K32" s="108"/>
      <c r="L32" s="108"/>
      <c r="M32" s="108"/>
      <c r="N32" s="108"/>
      <c r="O32" s="103"/>
      <c r="P32" s="108"/>
      <c r="Q32" s="108"/>
      <c r="R32" s="10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</row>
    <row r="33" spans="1:36">
      <c r="A33" s="857">
        <f t="shared" si="0"/>
        <v>19</v>
      </c>
      <c r="B33" s="88" t="s">
        <v>97</v>
      </c>
      <c r="G33" s="113">
        <f t="shared" ref="G33:R33" si="4">G27+G31</f>
        <v>506395.84380514495</v>
      </c>
      <c r="H33" s="113">
        <f t="shared" si="4"/>
        <v>445766.95298101776</v>
      </c>
      <c r="I33" s="113">
        <f t="shared" si="4"/>
        <v>384713.37800000003</v>
      </c>
      <c r="J33" s="113">
        <f t="shared" si="4"/>
        <v>339215.03499999997</v>
      </c>
      <c r="K33" s="113">
        <f t="shared" si="4"/>
        <v>296887</v>
      </c>
      <c r="L33" s="113">
        <f t="shared" si="4"/>
        <v>260967</v>
      </c>
      <c r="M33" s="113">
        <f t="shared" si="4"/>
        <v>239679</v>
      </c>
      <c r="N33" s="113">
        <f t="shared" si="4"/>
        <v>211844</v>
      </c>
      <c r="O33" s="113">
        <f t="shared" si="4"/>
        <v>201598</v>
      </c>
      <c r="P33" s="113">
        <f t="shared" si="4"/>
        <v>190102</v>
      </c>
      <c r="Q33" s="113">
        <f t="shared" si="4"/>
        <v>182169</v>
      </c>
      <c r="R33" s="113">
        <f t="shared" si="4"/>
        <v>174432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</row>
    <row r="34" spans="1:36">
      <c r="A34" s="857">
        <f t="shared" si="0"/>
        <v>20</v>
      </c>
      <c r="G34" s="108"/>
      <c r="H34" s="103"/>
      <c r="I34" s="108"/>
      <c r="J34" s="108"/>
      <c r="K34" s="108"/>
      <c r="L34" s="103"/>
      <c r="M34" s="108"/>
      <c r="N34" s="108"/>
      <c r="O34" s="108"/>
      <c r="P34" s="108"/>
      <c r="Q34" s="108"/>
      <c r="R34" s="108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</row>
    <row r="35" spans="1:36">
      <c r="A35" s="857">
        <f t="shared" si="0"/>
        <v>21</v>
      </c>
      <c r="B35" s="88" t="s">
        <v>389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>
      <c r="A36" s="857">
        <f t="shared" si="0"/>
        <v>22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>
      <c r="A37" s="857">
        <f t="shared" si="0"/>
        <v>23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36">
      <c r="A38" s="857">
        <f t="shared" si="0"/>
        <v>24</v>
      </c>
      <c r="B38" s="658" t="s">
        <v>1244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73"/>
      <c r="T38" s="73"/>
      <c r="U38" s="73"/>
      <c r="AA38" s="110"/>
    </row>
    <row r="39" spans="1:36">
      <c r="A39" s="857">
        <f t="shared" si="0"/>
        <v>25</v>
      </c>
      <c r="B39" s="622" t="s">
        <v>1077</v>
      </c>
      <c r="C39" s="998"/>
      <c r="D39" s="998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73"/>
      <c r="T39" s="73"/>
      <c r="U39" s="73"/>
      <c r="X39" s="110"/>
      <c r="AA39" s="110"/>
      <c r="AC39" s="110"/>
      <c r="AD39" s="110"/>
      <c r="AE39" s="110"/>
      <c r="AF39" s="110"/>
      <c r="AG39" s="110"/>
      <c r="AH39" s="110"/>
    </row>
    <row r="40" spans="1:36" ht="15.75">
      <c r="A40" s="857">
        <f t="shared" si="0"/>
        <v>26</v>
      </c>
      <c r="B40" s="88" t="s">
        <v>1078</v>
      </c>
      <c r="G40" s="131">
        <f>'J-1 F'!G20</f>
        <v>242504.31246159747</v>
      </c>
      <c r="H40" s="131">
        <f>'J-1 Base'!G19</f>
        <v>242504.31246159747</v>
      </c>
      <c r="I40" s="131">
        <v>829811</v>
      </c>
      <c r="J40" s="131">
        <v>457927</v>
      </c>
      <c r="K40" s="131">
        <v>196695</v>
      </c>
      <c r="L40" s="131">
        <v>367984</v>
      </c>
      <c r="M40" s="131">
        <v>570929</v>
      </c>
      <c r="N40" s="131">
        <v>206396</v>
      </c>
      <c r="O40" s="131">
        <v>126100</v>
      </c>
      <c r="P40" s="131">
        <v>72550</v>
      </c>
      <c r="Q40" s="131">
        <v>350542</v>
      </c>
      <c r="R40" s="131">
        <v>150599</v>
      </c>
      <c r="S40" s="1023"/>
      <c r="X40" s="110"/>
      <c r="Z40" s="110"/>
      <c r="AA40" s="110"/>
      <c r="AC40" s="110"/>
      <c r="AD40" s="110"/>
      <c r="AE40" s="110"/>
      <c r="AF40" s="110"/>
      <c r="AG40" s="110"/>
      <c r="AH40" s="110"/>
    </row>
    <row r="41" spans="1:36" ht="15.75">
      <c r="A41" s="857">
        <f t="shared" si="0"/>
        <v>27</v>
      </c>
      <c r="B41" s="88" t="s">
        <v>1079</v>
      </c>
      <c r="G41" s="131">
        <f>'J-1 F'!G22</f>
        <v>3066734.19575</v>
      </c>
      <c r="H41" s="131">
        <f>'J-1 Base'!G21</f>
        <v>3066734.19575</v>
      </c>
      <c r="I41" s="131">
        <v>2438779</v>
      </c>
      <c r="J41" s="131">
        <v>2437515</v>
      </c>
      <c r="K41" s="131">
        <v>2455986</v>
      </c>
      <c r="L41" s="131">
        <v>2455671</v>
      </c>
      <c r="M41" s="131">
        <v>1956305</v>
      </c>
      <c r="N41" s="131">
        <v>2206117</v>
      </c>
      <c r="O41" s="131">
        <v>1809551</v>
      </c>
      <c r="P41" s="131">
        <v>2169400</v>
      </c>
      <c r="Q41" s="131">
        <v>2119792</v>
      </c>
      <c r="R41" s="131">
        <v>2126315</v>
      </c>
      <c r="S41" s="1023"/>
      <c r="AA41" s="110"/>
    </row>
    <row r="42" spans="1:36">
      <c r="A42" s="857">
        <f t="shared" si="0"/>
        <v>28</v>
      </c>
      <c r="B42" s="88" t="s">
        <v>257</v>
      </c>
      <c r="G42" s="687"/>
      <c r="H42" s="687"/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X42" s="110"/>
      <c r="AA42" s="110"/>
      <c r="AC42" s="110"/>
      <c r="AD42" s="110"/>
      <c r="AE42" s="110"/>
      <c r="AF42" s="110"/>
      <c r="AG42" s="110"/>
      <c r="AH42" s="110"/>
    </row>
    <row r="43" spans="1:36" ht="15.75">
      <c r="A43" s="857">
        <f t="shared" si="0"/>
        <v>29</v>
      </c>
      <c r="B43" s="88" t="s">
        <v>258</v>
      </c>
      <c r="G43" s="647">
        <f>'J-1 F'!G26</f>
        <v>3668227.0974676916</v>
      </c>
      <c r="H43" s="647">
        <f>'J-1 Base'!G25</f>
        <v>3901710.1031300002</v>
      </c>
      <c r="I43" s="131">
        <v>3463059</v>
      </c>
      <c r="J43" s="131">
        <v>3194797</v>
      </c>
      <c r="K43" s="131">
        <v>3086232</v>
      </c>
      <c r="L43" s="131">
        <v>2580409</v>
      </c>
      <c r="M43" s="131">
        <v>2359243</v>
      </c>
      <c r="N43" s="131">
        <v>2255421</v>
      </c>
      <c r="O43" s="131">
        <v>2178348</v>
      </c>
      <c r="P43" s="131">
        <v>2176761</v>
      </c>
      <c r="Q43" s="131">
        <v>2052492</v>
      </c>
      <c r="R43" s="131">
        <v>1965754</v>
      </c>
      <c r="S43" s="1023"/>
      <c r="AA43" s="110"/>
    </row>
    <row r="44" spans="1:36">
      <c r="A44" s="857">
        <f t="shared" si="0"/>
        <v>30</v>
      </c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X44" s="110"/>
      <c r="Z44" s="110"/>
      <c r="AA44" s="110"/>
      <c r="AC44" s="110"/>
      <c r="AD44" s="110"/>
      <c r="AE44" s="110"/>
      <c r="AF44" s="110"/>
      <c r="AG44" s="110"/>
      <c r="AH44" s="110"/>
    </row>
    <row r="45" spans="1:36">
      <c r="A45" s="857">
        <f t="shared" si="0"/>
        <v>31</v>
      </c>
      <c r="B45" s="88" t="s">
        <v>97</v>
      </c>
      <c r="G45" s="113">
        <f>'J-1 F'!G28</f>
        <v>6977465.6056792885</v>
      </c>
      <c r="H45" s="113">
        <f>'J-1 Base'!G27</f>
        <v>7210948.6113415975</v>
      </c>
      <c r="I45" s="113">
        <f t="shared" ref="I45:R45" si="5">SUM(I40:I43)</f>
        <v>6731649</v>
      </c>
      <c r="J45" s="113">
        <f t="shared" si="5"/>
        <v>6090239</v>
      </c>
      <c r="K45" s="113">
        <f t="shared" si="5"/>
        <v>5738913</v>
      </c>
      <c r="L45" s="113">
        <f t="shared" si="5"/>
        <v>5404064</v>
      </c>
      <c r="M45" s="113">
        <f t="shared" si="5"/>
        <v>4886477</v>
      </c>
      <c r="N45" s="113">
        <f t="shared" si="5"/>
        <v>4667934</v>
      </c>
      <c r="O45" s="113">
        <f>SUM(O40:O43)</f>
        <v>4113999</v>
      </c>
      <c r="P45" s="113">
        <f t="shared" si="5"/>
        <v>4418711</v>
      </c>
      <c r="Q45" s="113">
        <f t="shared" si="5"/>
        <v>4522826</v>
      </c>
      <c r="R45" s="113">
        <f t="shared" si="5"/>
        <v>4242668</v>
      </c>
      <c r="AA45" s="110"/>
    </row>
    <row r="46" spans="1:36">
      <c r="A46" s="857">
        <f t="shared" si="0"/>
        <v>32</v>
      </c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X46" s="110"/>
      <c r="Z46" s="110"/>
      <c r="AA46" s="110"/>
      <c r="AB46" s="110"/>
      <c r="AC46" s="110"/>
      <c r="AD46" s="110"/>
      <c r="AE46" s="110"/>
      <c r="AF46" s="110"/>
      <c r="AG46" s="110"/>
      <c r="AH46" s="110"/>
    </row>
    <row r="47" spans="1:36">
      <c r="A47" s="857">
        <f t="shared" si="0"/>
        <v>33</v>
      </c>
      <c r="B47" s="622" t="s">
        <v>259</v>
      </c>
      <c r="C47" s="998"/>
      <c r="D47" s="998"/>
      <c r="E47" s="998"/>
      <c r="F47" s="99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AA47" s="110"/>
    </row>
    <row r="48" spans="1:36" ht="15.75">
      <c r="A48" s="857">
        <f t="shared" si="0"/>
        <v>34</v>
      </c>
      <c r="B48" s="88" t="s">
        <v>1197</v>
      </c>
      <c r="G48" s="131">
        <f>+I.1!L19</f>
        <v>170729.2759114207</v>
      </c>
      <c r="H48" s="131">
        <f>+I.1!J19</f>
        <v>156713.24688095582</v>
      </c>
      <c r="I48" s="131">
        <v>147431</v>
      </c>
      <c r="J48" s="131">
        <v>170468</v>
      </c>
      <c r="K48" s="131">
        <v>196882</v>
      </c>
      <c r="L48" s="131">
        <v>162968</v>
      </c>
      <c r="M48" s="131">
        <v>134778</v>
      </c>
      <c r="N48" s="131">
        <v>149662</v>
      </c>
      <c r="O48" s="131">
        <v>156816</v>
      </c>
      <c r="P48" s="131">
        <v>190356</v>
      </c>
      <c r="Q48" s="131">
        <v>244308.47516</v>
      </c>
      <c r="R48" s="131">
        <v>203286.68382000001</v>
      </c>
      <c r="S48" s="1023"/>
      <c r="AA48" s="110"/>
    </row>
    <row r="49" spans="1:34" ht="15.75">
      <c r="A49" s="857">
        <f t="shared" si="0"/>
        <v>35</v>
      </c>
      <c r="B49" s="88" t="s">
        <v>289</v>
      </c>
      <c r="G49" s="108"/>
      <c r="H49" s="108"/>
      <c r="I49" s="131">
        <v>0</v>
      </c>
      <c r="J49" s="131">
        <v>0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023"/>
      <c r="X49" s="110"/>
      <c r="Z49" s="110"/>
      <c r="AA49" s="110"/>
      <c r="AC49" s="110"/>
      <c r="AD49" s="110"/>
      <c r="AE49" s="110"/>
      <c r="AF49" s="110"/>
      <c r="AG49" s="110"/>
      <c r="AH49" s="110"/>
    </row>
    <row r="50" spans="1:34">
      <c r="A50" s="857">
        <f t="shared" si="0"/>
        <v>36</v>
      </c>
      <c r="B50" s="88" t="s">
        <v>626</v>
      </c>
      <c r="G50" s="131">
        <f>+I.1!L29+I.1!L21</f>
        <v>132559.30198317248</v>
      </c>
      <c r="H50" s="131">
        <f>+I.1!J29+I.1!J21</f>
        <v>115941.29052914414</v>
      </c>
      <c r="I50" s="131">
        <v>113447</v>
      </c>
      <c r="J50" s="131">
        <v>141526</v>
      </c>
      <c r="K50" s="131">
        <v>166452</v>
      </c>
      <c r="L50" s="131">
        <v>139358</v>
      </c>
      <c r="M50" s="131">
        <v>112027</v>
      </c>
      <c r="N50" s="131">
        <v>126219</v>
      </c>
      <c r="O50" s="131">
        <v>136649</v>
      </c>
      <c r="P50" s="131">
        <v>176587</v>
      </c>
      <c r="Q50" s="131">
        <v>224347.66394</v>
      </c>
      <c r="R50" s="131">
        <v>187733.05102000001</v>
      </c>
      <c r="Z50" s="110"/>
      <c r="AA50" s="110"/>
    </row>
    <row r="51" spans="1:34">
      <c r="A51" s="857">
        <f t="shared" si="0"/>
        <v>37</v>
      </c>
      <c r="B51" s="88" t="s">
        <v>260</v>
      </c>
      <c r="G51" s="131"/>
      <c r="H51" s="131"/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X51" s="110"/>
      <c r="Z51" s="110"/>
      <c r="AA51" s="110"/>
      <c r="AC51" s="110"/>
      <c r="AD51" s="110"/>
      <c r="AE51" s="110"/>
      <c r="AF51" s="110"/>
      <c r="AG51" s="110"/>
      <c r="AH51" s="110"/>
    </row>
    <row r="52" spans="1:34">
      <c r="A52" s="857">
        <f t="shared" si="0"/>
        <v>38</v>
      </c>
      <c r="B52" s="88" t="s">
        <v>261</v>
      </c>
      <c r="G52" s="131"/>
      <c r="H52" s="131"/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Z52" s="110"/>
      <c r="AA52" s="110"/>
    </row>
    <row r="53" spans="1:34">
      <c r="A53" s="857">
        <f t="shared" si="0"/>
        <v>39</v>
      </c>
      <c r="B53" s="88" t="s">
        <v>262</v>
      </c>
      <c r="G53" s="108">
        <f>+I.1!L43</f>
        <v>11813.415970839987</v>
      </c>
      <c r="H53" s="108">
        <f>+I.1!J43</f>
        <v>13466.005908462366</v>
      </c>
      <c r="I53" s="131">
        <v>9516</v>
      </c>
      <c r="J53" s="131">
        <v>9884</v>
      </c>
      <c r="K53" s="131">
        <v>9671</v>
      </c>
      <c r="L53" s="131">
        <v>7060</v>
      </c>
      <c r="M53" s="131">
        <v>8157</v>
      </c>
      <c r="N53" s="131">
        <v>8094</v>
      </c>
      <c r="O53" s="131">
        <v>5654</v>
      </c>
      <c r="P53" s="131">
        <v>2889</v>
      </c>
      <c r="Q53" s="131">
        <v>6985</v>
      </c>
      <c r="R53" s="131">
        <v>4307</v>
      </c>
      <c r="X53" s="110"/>
      <c r="Z53" s="110"/>
      <c r="AA53" s="110"/>
      <c r="AC53" s="110"/>
      <c r="AD53" s="110"/>
      <c r="AE53" s="110"/>
      <c r="AF53" s="110"/>
      <c r="AG53" s="110"/>
      <c r="AH53" s="110"/>
    </row>
    <row r="54" spans="1:34">
      <c r="A54" s="857">
        <f t="shared" si="0"/>
        <v>40</v>
      </c>
      <c r="B54" s="88" t="s">
        <v>263</v>
      </c>
      <c r="G54" s="647">
        <v>0</v>
      </c>
      <c r="H54" s="647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Z54" s="110"/>
      <c r="AA54" s="110"/>
    </row>
    <row r="55" spans="1:34">
      <c r="A55" s="857">
        <f t="shared" si="0"/>
        <v>41</v>
      </c>
      <c r="B55" s="88" t="s">
        <v>801</v>
      </c>
      <c r="G55" s="108">
        <f t="shared" ref="G55:R55" si="6">G48-G50-G53-G54</f>
        <v>26356.557957408229</v>
      </c>
      <c r="H55" s="108">
        <f t="shared" si="6"/>
        <v>27305.950443349313</v>
      </c>
      <c r="I55" s="108">
        <f t="shared" si="6"/>
        <v>24468</v>
      </c>
      <c r="J55" s="108">
        <f t="shared" si="6"/>
        <v>19058</v>
      </c>
      <c r="K55" s="108">
        <f t="shared" si="6"/>
        <v>20759</v>
      </c>
      <c r="L55" s="108">
        <f t="shared" si="6"/>
        <v>16550</v>
      </c>
      <c r="M55" s="108">
        <f t="shared" si="6"/>
        <v>14594</v>
      </c>
      <c r="N55" s="108">
        <f t="shared" si="6"/>
        <v>15349</v>
      </c>
      <c r="O55" s="108">
        <f t="shared" si="6"/>
        <v>14513</v>
      </c>
      <c r="P55" s="108">
        <f t="shared" si="6"/>
        <v>10880</v>
      </c>
      <c r="Q55" s="108">
        <f t="shared" si="6"/>
        <v>12975.811220000003</v>
      </c>
      <c r="R55" s="108">
        <f t="shared" si="6"/>
        <v>11246.632799999992</v>
      </c>
      <c r="Z55" s="110"/>
      <c r="AA55" s="110"/>
    </row>
    <row r="56" spans="1:34" ht="15.75">
      <c r="A56" s="857">
        <f t="shared" si="0"/>
        <v>42</v>
      </c>
      <c r="B56" s="88" t="s">
        <v>982</v>
      </c>
      <c r="G56" s="131">
        <v>0</v>
      </c>
      <c r="H56" s="131">
        <v>0</v>
      </c>
      <c r="I56" s="131">
        <v>178.96176999999997</v>
      </c>
      <c r="J56" s="131">
        <v>182.35240999999999</v>
      </c>
      <c r="K56" s="131">
        <v>139</v>
      </c>
      <c r="L56" s="131">
        <v>88</v>
      </c>
      <c r="M56" s="131">
        <v>101</v>
      </c>
      <c r="N56" s="131">
        <v>22</v>
      </c>
      <c r="O56" s="131">
        <v>286</v>
      </c>
      <c r="P56" s="131">
        <v>199</v>
      </c>
      <c r="Q56" s="131">
        <v>160</v>
      </c>
      <c r="R56" s="131">
        <v>94</v>
      </c>
      <c r="S56" s="1023"/>
      <c r="Z56" s="110"/>
      <c r="AA56" s="110"/>
      <c r="AC56" s="110"/>
      <c r="AD56" s="110"/>
      <c r="AE56" s="110"/>
      <c r="AF56" s="110"/>
      <c r="AG56" s="110"/>
      <c r="AH56" s="110"/>
    </row>
    <row r="57" spans="1:34">
      <c r="A57" s="857">
        <f t="shared" si="0"/>
        <v>43</v>
      </c>
      <c r="B57" s="88" t="s">
        <v>1080</v>
      </c>
      <c r="G57" s="647">
        <f>+I.1!L38</f>
        <v>2087.3508900000002</v>
      </c>
      <c r="H57" s="647">
        <f>+I.1!J38</f>
        <v>2087.3508900000002</v>
      </c>
      <c r="I57" s="131">
        <v>2087.3508899999993</v>
      </c>
      <c r="J57" s="131">
        <v>2063.0607799999993</v>
      </c>
      <c r="K57" s="131">
        <v>2019</v>
      </c>
      <c r="L57" s="131">
        <v>2033</v>
      </c>
      <c r="M57" s="131">
        <v>2046</v>
      </c>
      <c r="N57" s="131">
        <v>2657</v>
      </c>
      <c r="O57" s="131">
        <v>1748</v>
      </c>
      <c r="P57" s="131">
        <v>2278</v>
      </c>
      <c r="Q57" s="131">
        <v>2529</v>
      </c>
      <c r="R57" s="131">
        <v>1547</v>
      </c>
    </row>
    <row r="58" spans="1:34">
      <c r="A58" s="857">
        <f t="shared" si="0"/>
        <v>44</v>
      </c>
      <c r="B58" s="88" t="s">
        <v>1081</v>
      </c>
      <c r="G58" s="108">
        <f t="shared" ref="G58:R58" si="7">G55+G56+G57</f>
        <v>28443.908847408231</v>
      </c>
      <c r="H58" s="108">
        <f t="shared" si="7"/>
        <v>29393.301333349315</v>
      </c>
      <c r="I58" s="108">
        <f t="shared" si="7"/>
        <v>26734.31266</v>
      </c>
      <c r="J58" s="108">
        <f t="shared" si="7"/>
        <v>21303.413189999999</v>
      </c>
      <c r="K58" s="108">
        <f t="shared" si="7"/>
        <v>22917</v>
      </c>
      <c r="L58" s="108">
        <f t="shared" si="7"/>
        <v>18671</v>
      </c>
      <c r="M58" s="108">
        <f t="shared" si="7"/>
        <v>16741</v>
      </c>
      <c r="N58" s="108">
        <f>N55+N56+N57</f>
        <v>18028</v>
      </c>
      <c r="O58" s="108">
        <f t="shared" si="7"/>
        <v>16547</v>
      </c>
      <c r="P58" s="108">
        <f t="shared" si="7"/>
        <v>13357</v>
      </c>
      <c r="Q58" s="108">
        <f t="shared" si="7"/>
        <v>15664.811220000003</v>
      </c>
      <c r="R58" s="108">
        <f t="shared" si="7"/>
        <v>12887.632799999992</v>
      </c>
    </row>
    <row r="59" spans="1:34">
      <c r="A59" s="857">
        <f t="shared" si="0"/>
        <v>45</v>
      </c>
      <c r="B59" s="88" t="s">
        <v>1082</v>
      </c>
      <c r="G59" s="647">
        <f>+I.1!L41</f>
        <v>9888.6462299706327</v>
      </c>
      <c r="H59" s="647">
        <f>+I.1!J41</f>
        <v>8242.3254719855431</v>
      </c>
      <c r="I59" s="1029">
        <v>7556.4154099999996</v>
      </c>
      <c r="J59" s="1029">
        <v>6925.9951200000005</v>
      </c>
      <c r="K59" s="1029">
        <v>6559</v>
      </c>
      <c r="L59" s="1029">
        <v>6524</v>
      </c>
      <c r="M59" s="1029">
        <v>5612</v>
      </c>
      <c r="N59" s="1029">
        <v>5792</v>
      </c>
      <c r="O59" s="1029">
        <v>6270</v>
      </c>
      <c r="P59" s="1029">
        <v>6633</v>
      </c>
      <c r="Q59" s="1029">
        <v>6138</v>
      </c>
      <c r="R59" s="1029">
        <v>6155</v>
      </c>
    </row>
    <row r="60" spans="1:34">
      <c r="A60" s="857">
        <f t="shared" si="0"/>
        <v>46</v>
      </c>
      <c r="B60" s="88" t="s">
        <v>1083</v>
      </c>
      <c r="G60" s="108">
        <f t="shared" ref="G60:R60" si="8">G58-G59</f>
        <v>18555.262617437598</v>
      </c>
      <c r="H60" s="108">
        <f t="shared" si="8"/>
        <v>21150.975861363771</v>
      </c>
      <c r="I60" s="108">
        <f t="shared" si="8"/>
        <v>19177.897250000002</v>
      </c>
      <c r="J60" s="108">
        <f t="shared" si="8"/>
        <v>14377.41807</v>
      </c>
      <c r="K60" s="108">
        <f t="shared" si="8"/>
        <v>16358</v>
      </c>
      <c r="L60" s="108">
        <f t="shared" si="8"/>
        <v>12147</v>
      </c>
      <c r="M60" s="108">
        <f t="shared" si="8"/>
        <v>11129</v>
      </c>
      <c r="N60" s="108">
        <f t="shared" si="8"/>
        <v>12236</v>
      </c>
      <c r="O60" s="108">
        <f t="shared" si="8"/>
        <v>10277</v>
      </c>
      <c r="P60" s="108">
        <f t="shared" si="8"/>
        <v>6724</v>
      </c>
      <c r="Q60" s="108">
        <f t="shared" si="8"/>
        <v>9526.8112200000032</v>
      </c>
      <c r="R60" s="108">
        <f t="shared" si="8"/>
        <v>6732.6327999999921</v>
      </c>
    </row>
    <row r="61" spans="1:34">
      <c r="A61" s="857">
        <f t="shared" si="0"/>
        <v>47</v>
      </c>
      <c r="B61" s="88" t="s">
        <v>1084</v>
      </c>
      <c r="G61" s="1030" t="s">
        <v>343</v>
      </c>
      <c r="H61" s="1030" t="s">
        <v>343</v>
      </c>
      <c r="I61" s="1030" t="s">
        <v>343</v>
      </c>
      <c r="J61" s="1030" t="s">
        <v>343</v>
      </c>
      <c r="K61" s="1030" t="s">
        <v>343</v>
      </c>
      <c r="L61" s="1030" t="s">
        <v>343</v>
      </c>
      <c r="M61" s="1030" t="s">
        <v>343</v>
      </c>
      <c r="N61" s="1030" t="s">
        <v>343</v>
      </c>
      <c r="O61" s="1030" t="s">
        <v>343</v>
      </c>
      <c r="P61" s="1030" t="s">
        <v>343</v>
      </c>
      <c r="Q61" s="1030" t="s">
        <v>343</v>
      </c>
      <c r="R61" s="1030" t="s">
        <v>343</v>
      </c>
    </row>
    <row r="62" spans="1:34" ht="15.75">
      <c r="A62" s="857">
        <f t="shared" si="0"/>
        <v>48</v>
      </c>
      <c r="B62" s="88" t="s">
        <v>385</v>
      </c>
      <c r="G62" s="113">
        <f t="shared" ref="G62:R62" si="9">G60</f>
        <v>18555.262617437598</v>
      </c>
      <c r="H62" s="113">
        <f t="shared" si="9"/>
        <v>21150.975861363771</v>
      </c>
      <c r="I62" s="113">
        <f t="shared" si="9"/>
        <v>19177.897250000002</v>
      </c>
      <c r="J62" s="113">
        <f t="shared" si="9"/>
        <v>14377.41807</v>
      </c>
      <c r="K62" s="113">
        <f t="shared" si="9"/>
        <v>16358</v>
      </c>
      <c r="L62" s="113">
        <f t="shared" si="9"/>
        <v>12147</v>
      </c>
      <c r="M62" s="113">
        <f t="shared" si="9"/>
        <v>11129</v>
      </c>
      <c r="N62" s="113">
        <f t="shared" si="9"/>
        <v>12236</v>
      </c>
      <c r="O62" s="113">
        <f t="shared" si="9"/>
        <v>10277</v>
      </c>
      <c r="P62" s="113">
        <f t="shared" si="9"/>
        <v>6724</v>
      </c>
      <c r="Q62" s="113">
        <f t="shared" si="9"/>
        <v>9526.8112200000032</v>
      </c>
      <c r="R62" s="113">
        <f t="shared" si="9"/>
        <v>6732.6327999999921</v>
      </c>
      <c r="S62" s="1023"/>
    </row>
    <row r="63" spans="1:34">
      <c r="A63" s="857">
        <f t="shared" si="0"/>
        <v>49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</row>
    <row r="64" spans="1:34">
      <c r="A64" s="857">
        <f t="shared" si="0"/>
        <v>50</v>
      </c>
      <c r="B64" s="88" t="s">
        <v>733</v>
      </c>
      <c r="G64" s="579">
        <f t="shared" ref="G64:R64" si="10">ROUND(G56/G62,4)</f>
        <v>0</v>
      </c>
      <c r="H64" s="579">
        <f t="shared" si="10"/>
        <v>0</v>
      </c>
      <c r="I64" s="579">
        <f t="shared" ref="I64" si="11">ROUND(I56/I62,4)</f>
        <v>9.2999999999999992E-3</v>
      </c>
      <c r="J64" s="579">
        <f t="shared" si="10"/>
        <v>1.2699999999999999E-2</v>
      </c>
      <c r="K64" s="579">
        <f t="shared" si="10"/>
        <v>8.5000000000000006E-3</v>
      </c>
      <c r="L64" s="579">
        <f t="shared" si="10"/>
        <v>7.1999999999999998E-3</v>
      </c>
      <c r="M64" s="579">
        <f t="shared" si="10"/>
        <v>9.1000000000000004E-3</v>
      </c>
      <c r="N64" s="579">
        <f t="shared" si="10"/>
        <v>1.8E-3</v>
      </c>
      <c r="O64" s="579">
        <f t="shared" si="10"/>
        <v>2.7799999999999998E-2</v>
      </c>
      <c r="P64" s="579">
        <f t="shared" si="10"/>
        <v>2.9600000000000001E-2</v>
      </c>
      <c r="Q64" s="579">
        <f t="shared" si="10"/>
        <v>1.6799999999999999E-2</v>
      </c>
      <c r="R64" s="579">
        <f t="shared" si="10"/>
        <v>1.4E-2</v>
      </c>
    </row>
    <row r="65" spans="1:19">
      <c r="A65" s="857">
        <f t="shared" si="0"/>
        <v>51</v>
      </c>
      <c r="B65" s="88" t="s">
        <v>734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9">
      <c r="A66" s="857">
        <f t="shared" si="0"/>
        <v>52</v>
      </c>
      <c r="B66" s="88" t="s">
        <v>735</v>
      </c>
      <c r="G66" s="579">
        <f t="shared" ref="G66:R66" si="12">ROUND(G56/G62,4)</f>
        <v>0</v>
      </c>
      <c r="H66" s="579">
        <f t="shared" si="12"/>
        <v>0</v>
      </c>
      <c r="I66" s="579">
        <f>ROUND(I56/I62,4)</f>
        <v>9.2999999999999992E-3</v>
      </c>
      <c r="J66" s="579">
        <f>ROUND(J56/J62,4)</f>
        <v>1.2699999999999999E-2</v>
      </c>
      <c r="K66" s="579">
        <f t="shared" si="12"/>
        <v>8.5000000000000006E-3</v>
      </c>
      <c r="L66" s="579">
        <f t="shared" si="12"/>
        <v>7.1999999999999998E-3</v>
      </c>
      <c r="M66" s="579">
        <f t="shared" si="12"/>
        <v>9.1000000000000004E-3</v>
      </c>
      <c r="N66" s="579">
        <f t="shared" si="12"/>
        <v>1.8E-3</v>
      </c>
      <c r="O66" s="579">
        <f t="shared" si="12"/>
        <v>2.7799999999999998E-2</v>
      </c>
      <c r="P66" s="579">
        <f t="shared" si="12"/>
        <v>2.9600000000000001E-2</v>
      </c>
      <c r="Q66" s="579">
        <f t="shared" si="12"/>
        <v>1.6799999999999999E-2</v>
      </c>
      <c r="R66" s="579">
        <f t="shared" si="12"/>
        <v>1.4E-2</v>
      </c>
    </row>
    <row r="67" spans="1:19">
      <c r="A67" s="857">
        <f t="shared" si="0"/>
        <v>53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</row>
    <row r="68" spans="1:19">
      <c r="A68" s="857">
        <f t="shared" si="0"/>
        <v>54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</row>
    <row r="69" spans="1:19">
      <c r="A69" s="857">
        <f t="shared" si="0"/>
        <v>55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</row>
    <row r="70" spans="1:19">
      <c r="A70" s="857">
        <f t="shared" si="0"/>
        <v>56</v>
      </c>
      <c r="B70" s="622" t="s">
        <v>736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</row>
    <row r="71" spans="1:19">
      <c r="A71" s="857">
        <f t="shared" si="0"/>
        <v>57</v>
      </c>
      <c r="B71" s="88" t="s">
        <v>737</v>
      </c>
      <c r="C71" s="998"/>
      <c r="G71" s="579">
        <f>+'J-1 F'!K20</f>
        <v>1.9900000000000001E-2</v>
      </c>
      <c r="H71" s="579">
        <f>+'J-1 Base'!K19</f>
        <v>1.9898265289283203E-2</v>
      </c>
      <c r="I71" s="579">
        <v>1.12E-2</v>
      </c>
      <c r="J71" s="579">
        <v>1.09E-2</v>
      </c>
      <c r="K71" s="579">
        <v>1.49E-2</v>
      </c>
      <c r="L71" s="579">
        <v>1.17E-2</v>
      </c>
      <c r="M71" s="579">
        <v>1.2200000000000001E-2</v>
      </c>
      <c r="N71" s="579">
        <v>1.03E-2</v>
      </c>
      <c r="O71" s="579">
        <v>3.2300000000000002E-2</v>
      </c>
      <c r="P71" s="579">
        <v>6.8000000000000005E-2</v>
      </c>
      <c r="Q71" s="579">
        <v>4.3999999999999997E-2</v>
      </c>
      <c r="R71" s="579">
        <v>5.6000000000000001E-2</v>
      </c>
    </row>
    <row r="72" spans="1:19">
      <c r="A72" s="857">
        <f t="shared" si="0"/>
        <v>58</v>
      </c>
      <c r="B72" s="88" t="s">
        <v>738</v>
      </c>
      <c r="F72" s="73"/>
      <c r="G72" s="579">
        <f>+'J-1 F'!K22</f>
        <v>5.11E-2</v>
      </c>
      <c r="H72" s="579">
        <f>+'J-1 Base'!K21</f>
        <v>5.1299999999999998E-2</v>
      </c>
      <c r="I72" s="579">
        <v>5.8900000000000001E-2</v>
      </c>
      <c r="J72" s="579">
        <v>5.8999999999999997E-2</v>
      </c>
      <c r="K72" s="579">
        <v>6.0299999999999999E-2</v>
      </c>
      <c r="L72" s="579">
        <v>6.2600000000000003E-2</v>
      </c>
      <c r="M72" s="579">
        <v>6.5100000000000005E-2</v>
      </c>
      <c r="N72" s="579">
        <v>6.7500000000000004E-2</v>
      </c>
      <c r="O72" s="579">
        <v>6.88E-2</v>
      </c>
      <c r="P72" s="579">
        <v>6.9000000000000006E-2</v>
      </c>
      <c r="Q72" s="579">
        <v>6.0999999999999999E-2</v>
      </c>
      <c r="R72" s="579">
        <v>6.0999999999999999E-2</v>
      </c>
    </row>
    <row r="73" spans="1:19">
      <c r="A73" s="857">
        <f t="shared" si="0"/>
        <v>59</v>
      </c>
      <c r="B73" s="88" t="s">
        <v>984</v>
      </c>
      <c r="F73" s="73"/>
      <c r="G73" s="687" t="s">
        <v>343</v>
      </c>
      <c r="H73" s="687" t="s">
        <v>343</v>
      </c>
      <c r="I73" s="687" t="s">
        <v>343</v>
      </c>
      <c r="J73" s="687" t="s">
        <v>343</v>
      </c>
      <c r="K73" s="687" t="s">
        <v>343</v>
      </c>
      <c r="L73" s="687" t="s">
        <v>343</v>
      </c>
      <c r="M73" s="687" t="s">
        <v>343</v>
      </c>
      <c r="N73" s="687" t="s">
        <v>343</v>
      </c>
      <c r="O73" s="687" t="s">
        <v>343</v>
      </c>
      <c r="P73" s="687" t="s">
        <v>343</v>
      </c>
      <c r="Q73" s="687" t="s">
        <v>343</v>
      </c>
      <c r="R73" s="687" t="s">
        <v>343</v>
      </c>
    </row>
    <row r="74" spans="1:19">
      <c r="A74" s="857">
        <f t="shared" si="0"/>
        <v>60</v>
      </c>
      <c r="F74" s="73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9">
      <c r="A75" s="857">
        <f t="shared" si="0"/>
        <v>61</v>
      </c>
      <c r="B75" s="622" t="s">
        <v>992</v>
      </c>
      <c r="F75" s="73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9" ht="15.75">
      <c r="A76" s="857">
        <f t="shared" si="0"/>
        <v>62</v>
      </c>
      <c r="B76" s="88" t="s">
        <v>816</v>
      </c>
      <c r="C76" s="998"/>
      <c r="D76" s="998"/>
      <c r="F76" s="73"/>
      <c r="G76" s="688">
        <f>(+G53+G58)/G59</f>
        <v>4.071065329067574</v>
      </c>
      <c r="H76" s="688">
        <f>(+H53+H58)/H59</f>
        <v>5.1999047341049787</v>
      </c>
      <c r="I76" s="688">
        <v>5.75</v>
      </c>
      <c r="J76" s="688">
        <v>5.39</v>
      </c>
      <c r="K76" s="688">
        <v>4.6900000000000004</v>
      </c>
      <c r="L76" s="688">
        <v>3.91</v>
      </c>
      <c r="M76" s="688">
        <v>3.0571918341904318</v>
      </c>
      <c r="N76" s="688">
        <v>2.9660460457804634</v>
      </c>
      <c r="O76" s="688">
        <v>3.0043972293563703</v>
      </c>
      <c r="P76" s="688">
        <v>2.8387360945505051</v>
      </c>
      <c r="Q76" s="688">
        <v>3.06</v>
      </c>
      <c r="R76" s="688">
        <v>2.75</v>
      </c>
      <c r="S76" s="1023"/>
    </row>
    <row r="77" spans="1:19">
      <c r="A77" s="857">
        <f t="shared" si="0"/>
        <v>63</v>
      </c>
      <c r="B77" s="88" t="s">
        <v>817</v>
      </c>
      <c r="F77" s="73"/>
      <c r="G77" s="688">
        <f>(+G53+G58-G56)/G59</f>
        <v>4.071065329067574</v>
      </c>
      <c r="H77" s="688">
        <f>(+H53+H58-H56)/H59</f>
        <v>5.1999047341049787</v>
      </c>
      <c r="I77" s="688">
        <v>5.77</v>
      </c>
      <c r="J77" s="688">
        <v>5.41</v>
      </c>
      <c r="K77" s="688">
        <v>4.7</v>
      </c>
      <c r="L77" s="688">
        <v>3.92</v>
      </c>
      <c r="M77" s="688">
        <v>3.0409960261804581</v>
      </c>
      <c r="N77" s="688">
        <v>2.9527909831987955</v>
      </c>
      <c r="O77" s="688">
        <v>2.9852512711754482</v>
      </c>
      <c r="P77" s="688">
        <v>2.8022744139729294</v>
      </c>
      <c r="Q77" s="688">
        <v>3.12</v>
      </c>
      <c r="R77" s="688">
        <v>2.81</v>
      </c>
    </row>
    <row r="78" spans="1:19">
      <c r="A78" s="857">
        <f t="shared" si="0"/>
        <v>64</v>
      </c>
      <c r="B78" s="88" t="s">
        <v>1114</v>
      </c>
      <c r="F78" s="73"/>
      <c r="G78" s="688">
        <f>G58/G59</f>
        <v>2.8764209160602872</v>
      </c>
      <c r="H78" s="688">
        <f>H58/H59</f>
        <v>3.5661417925381422</v>
      </c>
      <c r="I78" s="688">
        <v>3.24</v>
      </c>
      <c r="J78" s="688">
        <v>3.71</v>
      </c>
      <c r="K78" s="688">
        <v>3.24</v>
      </c>
      <c r="L78" s="688">
        <v>2.89</v>
      </c>
      <c r="M78" s="688">
        <v>2.3614121580460989</v>
      </c>
      <c r="N78" s="688">
        <v>2.2575233976506173</v>
      </c>
      <c r="O78" s="688">
        <v>2.2312955612628738</v>
      </c>
      <c r="P78" s="688">
        <v>2.200873963233271</v>
      </c>
      <c r="Q78" s="688">
        <v>2.2599999999999998</v>
      </c>
      <c r="R78" s="688">
        <v>2.12</v>
      </c>
    </row>
    <row r="79" spans="1:19">
      <c r="A79" s="857">
        <f t="shared" si="0"/>
        <v>65</v>
      </c>
      <c r="B79" s="88" t="s">
        <v>1115</v>
      </c>
      <c r="F79" s="73"/>
      <c r="G79" s="688">
        <f>(+G53+G58+((1/3)*'C.2.1 F'!D114/1000))/(G59+((1/3)*'C.2.1 F'!D114/1000))</f>
        <v>4.0358363593107889</v>
      </c>
      <c r="H79" s="688">
        <f>(+H53+H58+((1/3)*'C.2.1 B'!D118/1000))/(H59+((1/3)*'C.2.1 B'!D118/1000))</f>
        <v>5.1358262924554525</v>
      </c>
      <c r="I79" s="688">
        <v>5.17</v>
      </c>
      <c r="J79" s="688">
        <v>4.8899999999999997</v>
      </c>
      <c r="K79" s="688">
        <v>4.32</v>
      </c>
      <c r="L79" s="688">
        <v>3.6</v>
      </c>
      <c r="M79" s="688">
        <v>2.84</v>
      </c>
      <c r="N79" s="688">
        <v>2.78</v>
      </c>
      <c r="O79" s="688">
        <v>2.78</v>
      </c>
      <c r="P79" s="688">
        <v>2.5499999999999998</v>
      </c>
      <c r="Q79" s="688">
        <v>2.76</v>
      </c>
      <c r="R79" s="688">
        <v>2.687794631619842</v>
      </c>
    </row>
    <row r="80" spans="1:19">
      <c r="A80" s="857">
        <f t="shared" si="0"/>
        <v>66</v>
      </c>
      <c r="B80" s="88" t="s">
        <v>1116</v>
      </c>
      <c r="F80" s="73"/>
      <c r="G80" s="688">
        <f>(G58-G56)/G59</f>
        <v>2.8764209160602872</v>
      </c>
      <c r="H80" s="688">
        <f>(H58-H56)/H59</f>
        <v>3.5661417925381422</v>
      </c>
      <c r="I80" s="688">
        <v>4.04</v>
      </c>
      <c r="J80" s="688">
        <v>3.73</v>
      </c>
      <c r="K80" s="688">
        <v>3.25</v>
      </c>
      <c r="L80" s="688">
        <v>2.81</v>
      </c>
      <c r="M80" s="688">
        <v>2.3452163500361256</v>
      </c>
      <c r="N80" s="688">
        <v>2.244268335068949</v>
      </c>
      <c r="O80" s="688">
        <v>2.2121496030819521</v>
      </c>
      <c r="P80" s="688">
        <v>2.1644122826556949</v>
      </c>
      <c r="Q80" s="688">
        <v>2.31</v>
      </c>
      <c r="R80" s="688">
        <v>2.16</v>
      </c>
    </row>
    <row r="81" spans="1:19">
      <c r="A81" s="857">
        <f t="shared" ref="A81:A132" si="13">A80+1</f>
        <v>67</v>
      </c>
      <c r="B81" s="88" t="s">
        <v>1117</v>
      </c>
      <c r="F81" s="73"/>
      <c r="G81" s="687" t="s">
        <v>343</v>
      </c>
      <c r="H81" s="687" t="s">
        <v>343</v>
      </c>
      <c r="I81" s="688" t="s">
        <v>343</v>
      </c>
      <c r="J81" s="688" t="s">
        <v>343</v>
      </c>
      <c r="K81" s="688" t="s">
        <v>343</v>
      </c>
      <c r="L81" s="688" t="s">
        <v>343</v>
      </c>
      <c r="M81" s="688" t="s">
        <v>343</v>
      </c>
      <c r="N81" s="688" t="s">
        <v>343</v>
      </c>
      <c r="O81" s="688" t="s">
        <v>343</v>
      </c>
      <c r="P81" s="688" t="s">
        <v>343</v>
      </c>
      <c r="Q81" s="688" t="s">
        <v>343</v>
      </c>
      <c r="R81" s="688" t="s">
        <v>343</v>
      </c>
    </row>
    <row r="82" spans="1:19">
      <c r="A82" s="857">
        <f t="shared" si="13"/>
        <v>68</v>
      </c>
      <c r="B82" s="88" t="s">
        <v>1118</v>
      </c>
      <c r="G82" s="688">
        <f>(+G53+G58)/(G59*(1-0.35))</f>
        <v>6.2631774293347293</v>
      </c>
      <c r="H82" s="688">
        <f>(+H53+H58)/(H59*(1-0.35))</f>
        <v>7.9998534370845826</v>
      </c>
      <c r="I82" s="688">
        <v>3.65</v>
      </c>
      <c r="J82" s="688">
        <v>3.39</v>
      </c>
      <c r="K82" s="688">
        <v>3.02</v>
      </c>
      <c r="L82" s="688">
        <v>2.6</v>
      </c>
      <c r="M82" s="688">
        <v>2.2116799519301451</v>
      </c>
      <c r="N82" s="688">
        <v>2.1340881930445068</v>
      </c>
      <c r="O82" s="688">
        <v>2.0837815317021438</v>
      </c>
      <c r="P82" s="688">
        <v>2.1800332256334456</v>
      </c>
      <c r="Q82" s="688">
        <v>2.15</v>
      </c>
      <c r="R82" s="688">
        <v>2.04</v>
      </c>
    </row>
    <row r="83" spans="1:19">
      <c r="A83" s="857">
        <f t="shared" si="13"/>
        <v>69</v>
      </c>
      <c r="F83" s="112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9">
      <c r="A84" s="857">
        <f t="shared" si="13"/>
        <v>70</v>
      </c>
      <c r="B84" s="622" t="s">
        <v>1119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9" ht="15.75">
      <c r="A85" s="857">
        <f t="shared" si="13"/>
        <v>71</v>
      </c>
      <c r="B85" s="88" t="s">
        <v>751</v>
      </c>
      <c r="C85" s="998"/>
      <c r="D85" s="998"/>
      <c r="G85" s="687" t="s">
        <v>343</v>
      </c>
      <c r="H85" s="687" t="str">
        <f>I85</f>
        <v>A2</v>
      </c>
      <c r="I85" s="687" t="s">
        <v>1697</v>
      </c>
      <c r="J85" s="687" t="s">
        <v>1697</v>
      </c>
      <c r="K85" s="687" t="s">
        <v>1697</v>
      </c>
      <c r="L85" s="687" t="s">
        <v>1698</v>
      </c>
      <c r="M85" s="687" t="s">
        <v>1698</v>
      </c>
      <c r="N85" s="687" t="s">
        <v>1698</v>
      </c>
      <c r="O85" s="687" t="s">
        <v>1699</v>
      </c>
      <c r="P85" s="687" t="s">
        <v>1699</v>
      </c>
      <c r="Q85" s="687" t="s">
        <v>1700</v>
      </c>
      <c r="R85" s="687" t="s">
        <v>1700</v>
      </c>
      <c r="S85" s="1023"/>
    </row>
    <row r="86" spans="1:19" ht="15.75">
      <c r="A86" s="857">
        <f t="shared" si="13"/>
        <v>72</v>
      </c>
      <c r="B86" s="88" t="s">
        <v>752</v>
      </c>
      <c r="F86" s="73"/>
      <c r="G86" s="687" t="s">
        <v>343</v>
      </c>
      <c r="H86" s="687" t="str">
        <f>I86</f>
        <v>A</v>
      </c>
      <c r="I86" s="687" t="s">
        <v>171</v>
      </c>
      <c r="J86" s="687" t="s">
        <v>1701</v>
      </c>
      <c r="K86" s="687" t="s">
        <v>1701</v>
      </c>
      <c r="L86" s="687" t="s">
        <v>1701</v>
      </c>
      <c r="M86" s="687" t="s">
        <v>1702</v>
      </c>
      <c r="N86" s="687" t="s">
        <v>1702</v>
      </c>
      <c r="O86" s="687" t="s">
        <v>1702</v>
      </c>
      <c r="P86" s="687" t="s">
        <v>1702</v>
      </c>
      <c r="Q86" s="687" t="s">
        <v>1703</v>
      </c>
      <c r="R86" s="687" t="s">
        <v>1703</v>
      </c>
      <c r="S86" s="1023"/>
    </row>
    <row r="87" spans="1:19">
      <c r="A87" s="857">
        <f t="shared" si="13"/>
        <v>73</v>
      </c>
      <c r="B87" s="88" t="s">
        <v>582</v>
      </c>
      <c r="G87" s="687" t="s">
        <v>343</v>
      </c>
      <c r="H87" s="687" t="s">
        <v>343</v>
      </c>
      <c r="I87" s="687"/>
      <c r="J87" s="687" t="s">
        <v>343</v>
      </c>
      <c r="K87" s="687" t="s">
        <v>343</v>
      </c>
      <c r="L87" s="687" t="s">
        <v>343</v>
      </c>
      <c r="M87" s="687" t="s">
        <v>343</v>
      </c>
      <c r="N87" s="687" t="s">
        <v>343</v>
      </c>
      <c r="O87" s="687" t="s">
        <v>343</v>
      </c>
      <c r="P87" s="687" t="s">
        <v>343</v>
      </c>
      <c r="Q87" s="687" t="s">
        <v>343</v>
      </c>
      <c r="R87" s="687" t="s">
        <v>343</v>
      </c>
    </row>
    <row r="88" spans="1:19">
      <c r="A88" s="857">
        <f t="shared" si="13"/>
        <v>74</v>
      </c>
      <c r="B88" s="88" t="s">
        <v>583</v>
      </c>
      <c r="G88" s="687" t="s">
        <v>343</v>
      </c>
      <c r="H88" s="687" t="s">
        <v>343</v>
      </c>
      <c r="I88" s="687"/>
      <c r="J88" s="687" t="s">
        <v>343</v>
      </c>
      <c r="K88" s="687" t="s">
        <v>343</v>
      </c>
      <c r="L88" s="687" t="s">
        <v>343</v>
      </c>
      <c r="M88" s="687" t="s">
        <v>343</v>
      </c>
      <c r="N88" s="687" t="s">
        <v>343</v>
      </c>
      <c r="O88" s="687" t="s">
        <v>343</v>
      </c>
      <c r="P88" s="687" t="s">
        <v>343</v>
      </c>
      <c r="Q88" s="687" t="s">
        <v>343</v>
      </c>
      <c r="R88" s="687" t="s">
        <v>343</v>
      </c>
    </row>
    <row r="89" spans="1:19">
      <c r="A89" s="857">
        <f t="shared" si="13"/>
        <v>75</v>
      </c>
      <c r="G89" s="687" t="s">
        <v>327</v>
      </c>
      <c r="H89" s="687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9">
      <c r="A90" s="857">
        <f t="shared" si="13"/>
        <v>76</v>
      </c>
      <c r="B90" s="622" t="s">
        <v>584</v>
      </c>
      <c r="G90" s="687"/>
      <c r="H90" s="687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9" ht="15.75">
      <c r="A91" s="857">
        <f t="shared" si="13"/>
        <v>77</v>
      </c>
      <c r="B91" s="88" t="s">
        <v>585</v>
      </c>
      <c r="C91" s="998"/>
      <c r="D91" s="998"/>
      <c r="E91" s="998"/>
      <c r="G91" s="687" t="s">
        <v>343</v>
      </c>
      <c r="H91" s="687" t="s">
        <v>343</v>
      </c>
      <c r="I91" s="108">
        <v>103931</v>
      </c>
      <c r="J91" s="108">
        <v>101479</v>
      </c>
      <c r="K91" s="108">
        <v>100388</v>
      </c>
      <c r="L91" s="108">
        <v>90640</v>
      </c>
      <c r="M91" s="108">
        <v>90240</v>
      </c>
      <c r="N91" s="108">
        <v>90296</v>
      </c>
      <c r="O91" s="108">
        <v>90164</v>
      </c>
      <c r="P91" s="108">
        <v>92552</v>
      </c>
      <c r="Q91" s="108">
        <v>90814</v>
      </c>
      <c r="R91" s="108">
        <v>89326</v>
      </c>
      <c r="S91" s="1023"/>
    </row>
    <row r="92" spans="1:19">
      <c r="A92" s="857">
        <f t="shared" si="13"/>
        <v>78</v>
      </c>
      <c r="B92" s="88" t="s">
        <v>866</v>
      </c>
      <c r="G92" s="687" t="s">
        <v>343</v>
      </c>
      <c r="H92" s="687" t="s">
        <v>343</v>
      </c>
      <c r="I92" s="108">
        <v>0</v>
      </c>
      <c r="J92" s="108">
        <v>0</v>
      </c>
      <c r="K92" s="108">
        <v>0</v>
      </c>
      <c r="L92" s="108">
        <v>0</v>
      </c>
      <c r="M92" s="108">
        <v>0</v>
      </c>
      <c r="N92" s="108">
        <v>0</v>
      </c>
      <c r="O92" s="108">
        <v>0</v>
      </c>
      <c r="P92" s="108">
        <v>0</v>
      </c>
      <c r="Q92" s="108">
        <v>0</v>
      </c>
      <c r="R92" s="108">
        <v>0</v>
      </c>
    </row>
    <row r="93" spans="1:19" ht="15.75">
      <c r="A93" s="857">
        <f t="shared" si="13"/>
        <v>79</v>
      </c>
      <c r="B93" s="88" t="s">
        <v>637</v>
      </c>
      <c r="G93" s="687" t="s">
        <v>343</v>
      </c>
      <c r="H93" s="687" t="s">
        <v>343</v>
      </c>
      <c r="I93" s="108">
        <v>103524</v>
      </c>
      <c r="J93" s="108">
        <v>101892</v>
      </c>
      <c r="K93" s="108">
        <v>97608</v>
      </c>
      <c r="L93" s="108">
        <v>91711</v>
      </c>
      <c r="M93" s="108">
        <v>91172</v>
      </c>
      <c r="N93" s="108">
        <v>90652</v>
      </c>
      <c r="O93" s="108">
        <v>92422</v>
      </c>
      <c r="P93" s="108">
        <v>91620</v>
      </c>
      <c r="Q93" s="108">
        <v>89941</v>
      </c>
      <c r="R93" s="108">
        <v>87486</v>
      </c>
      <c r="S93" s="1023"/>
    </row>
    <row r="94" spans="1:19">
      <c r="A94" s="857">
        <f t="shared" si="13"/>
        <v>80</v>
      </c>
      <c r="B94" s="88" t="s">
        <v>1038</v>
      </c>
      <c r="G94" s="687" t="s">
        <v>343</v>
      </c>
      <c r="H94" s="687" t="s">
        <v>343</v>
      </c>
      <c r="I94" s="688">
        <v>3.38</v>
      </c>
      <c r="J94" s="688">
        <v>3.09</v>
      </c>
      <c r="K94" s="688">
        <v>2.96</v>
      </c>
      <c r="L94" s="688">
        <v>2.64</v>
      </c>
      <c r="M94" s="688">
        <v>2.37</v>
      </c>
      <c r="N94" s="688">
        <v>2.27</v>
      </c>
      <c r="O94" s="688">
        <v>2.2000000000000002</v>
      </c>
      <c r="P94" s="688">
        <v>2.0699999999999998</v>
      </c>
      <c r="Q94" s="688">
        <v>1.99</v>
      </c>
      <c r="R94" s="688">
        <v>1.91</v>
      </c>
    </row>
    <row r="95" spans="1:19">
      <c r="A95" s="857">
        <f t="shared" si="13"/>
        <v>81</v>
      </c>
      <c r="B95" s="88" t="s">
        <v>1039</v>
      </c>
      <c r="G95" s="687" t="s">
        <v>343</v>
      </c>
      <c r="H95" s="687" t="s">
        <v>343</v>
      </c>
      <c r="I95" s="688">
        <v>1.68</v>
      </c>
      <c r="J95" s="688">
        <v>1.56</v>
      </c>
      <c r="K95" s="688">
        <v>1.48</v>
      </c>
      <c r="L95" s="688">
        <v>1.4</v>
      </c>
      <c r="M95" s="688">
        <v>1.38</v>
      </c>
      <c r="N95" s="688">
        <v>1.36</v>
      </c>
      <c r="O95" s="688">
        <v>1.34</v>
      </c>
      <c r="P95" s="688">
        <v>1.32</v>
      </c>
      <c r="Q95" s="688">
        <v>1.3</v>
      </c>
      <c r="R95" s="688">
        <v>1.28</v>
      </c>
    </row>
    <row r="96" spans="1:19" ht="15.75">
      <c r="A96" s="857">
        <f t="shared" si="13"/>
        <v>82</v>
      </c>
      <c r="B96" s="88" t="s">
        <v>850</v>
      </c>
      <c r="G96" s="687" t="s">
        <v>343</v>
      </c>
      <c r="H96" s="687" t="s">
        <v>343</v>
      </c>
      <c r="I96" s="688">
        <v>1.68</v>
      </c>
      <c r="J96" s="688">
        <v>1.56</v>
      </c>
      <c r="K96" s="688">
        <v>1.48</v>
      </c>
      <c r="L96" s="688">
        <v>1.4</v>
      </c>
      <c r="M96" s="688">
        <v>1.38</v>
      </c>
      <c r="N96" s="688">
        <v>1.36</v>
      </c>
      <c r="O96" s="688">
        <v>1.34</v>
      </c>
      <c r="P96" s="688">
        <v>1.32</v>
      </c>
      <c r="Q96" s="688">
        <v>1.3</v>
      </c>
      <c r="R96" s="688">
        <v>1.28</v>
      </c>
      <c r="S96" s="1023"/>
    </row>
    <row r="97" spans="1:19">
      <c r="A97" s="857">
        <f t="shared" si="13"/>
        <v>83</v>
      </c>
      <c r="B97" s="88" t="s">
        <v>536</v>
      </c>
      <c r="G97" s="687" t="s">
        <v>343</v>
      </c>
      <c r="H97" s="687" t="s">
        <v>343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9">
      <c r="A98" s="857">
        <f t="shared" si="13"/>
        <v>84</v>
      </c>
      <c r="B98" s="88" t="s">
        <v>34</v>
      </c>
      <c r="G98" s="687" t="s">
        <v>343</v>
      </c>
      <c r="H98" s="687" t="s">
        <v>343</v>
      </c>
      <c r="I98" s="689">
        <f>I96/I94</f>
        <v>0.49704142011834318</v>
      </c>
      <c r="J98" s="689">
        <f>J96/J94</f>
        <v>0.50485436893203883</v>
      </c>
      <c r="K98" s="689">
        <f>K96/K94</f>
        <v>0.5</v>
      </c>
      <c r="L98" s="689">
        <f>L96/L94</f>
        <v>0.53030303030303028</v>
      </c>
      <c r="M98" s="1031">
        <f t="shared" ref="M98:R98" si="14">M96/M94</f>
        <v>0.58227848101265811</v>
      </c>
      <c r="N98" s="1031">
        <f t="shared" si="14"/>
        <v>0.59911894273127753</v>
      </c>
      <c r="O98" s="1031">
        <f t="shared" si="14"/>
        <v>0.60909090909090913</v>
      </c>
      <c r="P98" s="1031">
        <f t="shared" si="14"/>
        <v>0.63768115942028991</v>
      </c>
      <c r="Q98" s="1031">
        <f t="shared" si="14"/>
        <v>0.65326633165829151</v>
      </c>
      <c r="R98" s="1031">
        <f t="shared" si="14"/>
        <v>0.67015706806282727</v>
      </c>
    </row>
    <row r="99" spans="1:19">
      <c r="A99" s="857">
        <f t="shared" si="13"/>
        <v>85</v>
      </c>
      <c r="B99" s="88" t="s">
        <v>537</v>
      </c>
      <c r="G99" s="687" t="s">
        <v>343</v>
      </c>
      <c r="H99" s="687" t="s">
        <v>343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9" ht="15.75">
      <c r="A100" s="857">
        <f t="shared" si="13"/>
        <v>86</v>
      </c>
      <c r="B100" s="88" t="s">
        <v>538</v>
      </c>
      <c r="G100" s="687" t="s">
        <v>343</v>
      </c>
      <c r="H100" s="687" t="s">
        <v>343</v>
      </c>
      <c r="I100" s="1032">
        <v>64.25</v>
      </c>
      <c r="J100" s="1032">
        <v>58.08</v>
      </c>
      <c r="K100" s="1032">
        <v>47.06</v>
      </c>
      <c r="L100" s="1032">
        <v>36.86</v>
      </c>
      <c r="M100" s="1032">
        <v>35.4</v>
      </c>
      <c r="N100" s="1032">
        <v>31.72</v>
      </c>
      <c r="O100" s="1032">
        <v>30.06</v>
      </c>
      <c r="P100" s="1032">
        <v>27.88</v>
      </c>
      <c r="Q100" s="1032">
        <v>29.46</v>
      </c>
      <c r="R100" s="1032">
        <v>33.01</v>
      </c>
      <c r="S100" s="1023"/>
    </row>
    <row r="101" spans="1:19">
      <c r="A101" s="857">
        <f t="shared" si="13"/>
        <v>87</v>
      </c>
      <c r="B101" s="88" t="s">
        <v>539</v>
      </c>
      <c r="G101" s="687" t="s">
        <v>343</v>
      </c>
      <c r="H101" s="687" t="s">
        <v>343</v>
      </c>
      <c r="I101" s="1032">
        <v>57.82</v>
      </c>
      <c r="J101" s="1032">
        <v>47.35</v>
      </c>
      <c r="K101" s="1032">
        <v>41.08</v>
      </c>
      <c r="L101" s="1032">
        <v>33.200000000000003</v>
      </c>
      <c r="M101" s="1032">
        <v>30.97</v>
      </c>
      <c r="N101" s="1032">
        <v>29.1</v>
      </c>
      <c r="O101" s="1032">
        <v>27.39</v>
      </c>
      <c r="P101" s="1032">
        <v>21.17</v>
      </c>
      <c r="Q101" s="1032">
        <v>26.11</v>
      </c>
      <c r="R101" s="1032">
        <v>28.45</v>
      </c>
    </row>
    <row r="102" spans="1:19">
      <c r="A102" s="857">
        <f t="shared" si="13"/>
        <v>88</v>
      </c>
      <c r="B102" s="88" t="s">
        <v>540</v>
      </c>
      <c r="G102" s="687" t="s">
        <v>343</v>
      </c>
      <c r="H102" s="687" t="s">
        <v>343</v>
      </c>
      <c r="I102" s="1032">
        <v>74.33</v>
      </c>
      <c r="J102" s="1032">
        <v>58.81</v>
      </c>
      <c r="K102" s="1032">
        <v>48.01</v>
      </c>
      <c r="L102" s="1032">
        <v>42.69</v>
      </c>
      <c r="M102" s="1032">
        <v>33.15</v>
      </c>
      <c r="N102" s="1032">
        <v>34.979999999999997</v>
      </c>
      <c r="O102" s="1032">
        <v>29.52</v>
      </c>
      <c r="P102" s="1032">
        <v>25.95</v>
      </c>
      <c r="Q102" s="1032">
        <v>28.96</v>
      </c>
      <c r="R102" s="1032">
        <v>33</v>
      </c>
    </row>
    <row r="103" spans="1:19">
      <c r="A103" s="857">
        <f t="shared" si="13"/>
        <v>89</v>
      </c>
      <c r="B103" s="88" t="s">
        <v>541</v>
      </c>
      <c r="G103" s="687" t="s">
        <v>343</v>
      </c>
      <c r="H103" s="687" t="s">
        <v>343</v>
      </c>
      <c r="I103" s="1032">
        <v>61.74</v>
      </c>
      <c r="J103" s="1032">
        <v>52.02</v>
      </c>
      <c r="K103" s="1032">
        <v>44.19</v>
      </c>
      <c r="L103" s="1032">
        <v>35.11</v>
      </c>
      <c r="M103" s="1032">
        <v>30.6</v>
      </c>
      <c r="N103" s="1032">
        <v>31.51</v>
      </c>
      <c r="O103" s="1032">
        <v>26.52</v>
      </c>
      <c r="P103" s="1032">
        <v>20.2</v>
      </c>
      <c r="Q103" s="1032">
        <v>25.09</v>
      </c>
      <c r="R103" s="1032">
        <v>30.63</v>
      </c>
    </row>
    <row r="104" spans="1:19">
      <c r="A104" s="857">
        <f t="shared" si="13"/>
        <v>90</v>
      </c>
      <c r="B104" s="88" t="s">
        <v>542</v>
      </c>
      <c r="G104" s="687" t="s">
        <v>343</v>
      </c>
      <c r="H104" s="687" t="s">
        <v>343</v>
      </c>
      <c r="I104" s="1032">
        <v>81.319999999999993</v>
      </c>
      <c r="J104" s="1032">
        <v>56.41</v>
      </c>
      <c r="K104" s="1032">
        <v>53.4</v>
      </c>
      <c r="L104" s="1032">
        <v>44.87</v>
      </c>
      <c r="M104" s="1032">
        <v>35.07</v>
      </c>
      <c r="N104" s="1032">
        <v>34.94</v>
      </c>
      <c r="O104" s="1032">
        <v>29.98</v>
      </c>
      <c r="P104" s="1032">
        <v>26.37</v>
      </c>
      <c r="Q104" s="1032">
        <v>28.54</v>
      </c>
      <c r="R104" s="1032">
        <v>33.11</v>
      </c>
    </row>
    <row r="105" spans="1:19">
      <c r="A105" s="857">
        <f t="shared" si="13"/>
        <v>91</v>
      </c>
      <c r="B105" s="88" t="s">
        <v>1069</v>
      </c>
      <c r="G105" s="687" t="s">
        <v>343</v>
      </c>
      <c r="H105" s="687" t="s">
        <v>343</v>
      </c>
      <c r="I105" s="1032">
        <v>70.599999999999994</v>
      </c>
      <c r="J105" s="1032">
        <v>51.28</v>
      </c>
      <c r="K105" s="1032">
        <v>46.94</v>
      </c>
      <c r="L105" s="1032">
        <v>38.590000000000003</v>
      </c>
      <c r="M105" s="1032">
        <v>30.91</v>
      </c>
      <c r="N105" s="1032">
        <v>31.34</v>
      </c>
      <c r="O105" s="1032">
        <v>26.41</v>
      </c>
      <c r="P105" s="1032">
        <v>22.81</v>
      </c>
      <c r="Q105" s="1032">
        <v>25.81</v>
      </c>
      <c r="R105" s="1032">
        <v>29.38</v>
      </c>
    </row>
    <row r="106" spans="1:19">
      <c r="A106" s="857">
        <f t="shared" si="13"/>
        <v>92</v>
      </c>
      <c r="B106" s="88" t="s">
        <v>1070</v>
      </c>
      <c r="G106" s="687" t="s">
        <v>343</v>
      </c>
      <c r="H106" s="687" t="s">
        <v>343</v>
      </c>
      <c r="I106" s="1032">
        <v>81.16</v>
      </c>
      <c r="J106" s="1032">
        <v>58.18</v>
      </c>
      <c r="K106" s="1032">
        <v>52.68</v>
      </c>
      <c r="L106" s="1032">
        <v>45.19</v>
      </c>
      <c r="M106" s="1032">
        <v>36.94</v>
      </c>
      <c r="N106" s="1032">
        <v>34.32</v>
      </c>
      <c r="O106" s="1032">
        <v>29.81</v>
      </c>
      <c r="P106" s="1032">
        <v>28.8</v>
      </c>
      <c r="Q106" s="1032">
        <v>28.25</v>
      </c>
      <c r="R106" s="1032">
        <v>30.66</v>
      </c>
    </row>
    <row r="107" spans="1:19">
      <c r="A107" s="857">
        <f t="shared" si="13"/>
        <v>93</v>
      </c>
      <c r="B107" s="88" t="s">
        <v>1071</v>
      </c>
      <c r="G107" s="687" t="s">
        <v>343</v>
      </c>
      <c r="H107" s="687" t="s">
        <v>343</v>
      </c>
      <c r="I107" s="1032">
        <v>71.88</v>
      </c>
      <c r="J107" s="1032">
        <v>51.48</v>
      </c>
      <c r="K107" s="1032">
        <v>47.01</v>
      </c>
      <c r="L107" s="1032">
        <v>39.4</v>
      </c>
      <c r="M107" s="1032">
        <v>34.94</v>
      </c>
      <c r="N107" s="1032">
        <v>28.87</v>
      </c>
      <c r="O107" s="1032">
        <v>26.82</v>
      </c>
      <c r="P107" s="1032">
        <v>24.65</v>
      </c>
      <c r="Q107" s="1032">
        <v>25.49</v>
      </c>
      <c r="R107" s="1032">
        <v>26.47</v>
      </c>
    </row>
    <row r="108" spans="1:19">
      <c r="A108" s="857">
        <f t="shared" si="13"/>
        <v>94</v>
      </c>
      <c r="B108" s="88" t="s">
        <v>1072</v>
      </c>
      <c r="G108" s="687" t="s">
        <v>343</v>
      </c>
      <c r="H108" s="687" t="s">
        <v>343</v>
      </c>
      <c r="I108" s="1032">
        <v>33.450000000000003</v>
      </c>
      <c r="J108" s="1032">
        <v>31.35</v>
      </c>
      <c r="K108" s="1032">
        <v>31.62</v>
      </c>
      <c r="L108" s="1032">
        <v>28.14</v>
      </c>
      <c r="M108" s="1032">
        <v>25.876837186855614</v>
      </c>
      <c r="N108" s="1032">
        <v>24.879991616290869</v>
      </c>
      <c r="O108" s="1032">
        <v>23.569582999718683</v>
      </c>
      <c r="P108" s="1032">
        <v>23.758578912901115</v>
      </c>
      <c r="Q108" s="1032">
        <v>22.820426724185854</v>
      </c>
      <c r="R108" s="1032">
        <v>22.469355096815491</v>
      </c>
    </row>
    <row r="109" spans="1:19">
      <c r="A109" s="857">
        <f t="shared" si="13"/>
        <v>95</v>
      </c>
      <c r="G109" s="687"/>
      <c r="H109" s="687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9">
      <c r="A110" s="857">
        <f t="shared" si="13"/>
        <v>96</v>
      </c>
      <c r="B110" s="81" t="s">
        <v>839</v>
      </c>
      <c r="G110" s="108"/>
      <c r="H110" s="108"/>
      <c r="I110" s="108"/>
      <c r="J110" s="108"/>
      <c r="K110" s="108"/>
      <c r="L110" s="108"/>
      <c r="M110" s="108"/>
      <c r="N110" s="108"/>
      <c r="O110" s="690"/>
      <c r="P110" s="690"/>
      <c r="Q110" s="690"/>
      <c r="R110" s="690"/>
    </row>
    <row r="111" spans="1:19">
      <c r="A111" s="857">
        <f t="shared" si="13"/>
        <v>97</v>
      </c>
      <c r="G111" s="108"/>
      <c r="H111" s="108"/>
      <c r="I111" s="108"/>
      <c r="J111" s="108"/>
      <c r="K111" s="108"/>
      <c r="L111" s="108"/>
      <c r="M111" s="108"/>
      <c r="N111" s="108"/>
      <c r="O111" s="690"/>
      <c r="P111" s="108"/>
      <c r="Q111" s="108"/>
      <c r="R111" s="108"/>
    </row>
    <row r="112" spans="1:19">
      <c r="A112" s="857">
        <f t="shared" si="13"/>
        <v>98</v>
      </c>
      <c r="B112" s="622" t="s">
        <v>1095</v>
      </c>
      <c r="C112" s="998"/>
      <c r="D112" s="998"/>
      <c r="E112" s="99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9" ht="15.75">
      <c r="A113" s="857">
        <f t="shared" si="13"/>
        <v>99</v>
      </c>
      <c r="B113" s="88" t="s">
        <v>624</v>
      </c>
      <c r="G113" s="691" t="s">
        <v>343</v>
      </c>
      <c r="H113" s="691" t="s">
        <v>343</v>
      </c>
      <c r="I113" s="690">
        <v>0.105</v>
      </c>
      <c r="J113" s="690">
        <v>0.1</v>
      </c>
      <c r="K113" s="690">
        <v>0.10199999999999999</v>
      </c>
      <c r="L113" s="690">
        <v>9.8000000000000004E-2</v>
      </c>
      <c r="M113" s="690">
        <v>8.3297938918196424E-2</v>
      </c>
      <c r="N113" s="690">
        <v>8.5520016942695926E-2</v>
      </c>
      <c r="O113" s="690">
        <v>8.7185418321332489E-2</v>
      </c>
      <c r="P113" s="690">
        <v>8.6681501437724351E-2</v>
      </c>
      <c r="Q113" s="690">
        <v>8.7999999999999995E-2</v>
      </c>
      <c r="R113" s="690">
        <v>8.7999999999999995E-2</v>
      </c>
      <c r="S113" s="1023"/>
    </row>
    <row r="114" spans="1:19">
      <c r="A114" s="857">
        <f t="shared" si="13"/>
        <v>100</v>
      </c>
      <c r="B114" s="88" t="s">
        <v>334</v>
      </c>
      <c r="G114" s="690">
        <f>(G55)/G45</f>
        <v>3.7773827127080902E-3</v>
      </c>
      <c r="H114" s="690">
        <f>(H55)/H45</f>
        <v>3.786734854884653E-3</v>
      </c>
      <c r="I114" s="690">
        <v>5.5E-2</v>
      </c>
      <c r="J114" s="690">
        <v>5.1999999999999998E-2</v>
      </c>
      <c r="K114" s="690">
        <v>5.1999999999999998E-2</v>
      </c>
      <c r="L114" s="690">
        <v>4.8000000000000001E-2</v>
      </c>
      <c r="M114" s="690">
        <v>4.0231888705646007E-2</v>
      </c>
      <c r="N114" s="690">
        <v>4.3176826787451009E-2</v>
      </c>
      <c r="O114" s="690">
        <v>4.4499578680161404E-2</v>
      </c>
      <c r="P114" s="690">
        <v>4.2668457525681526E-2</v>
      </c>
      <c r="Q114" s="690">
        <v>4.2999999999999997E-2</v>
      </c>
      <c r="R114" s="690">
        <v>4.2999999999999997E-2</v>
      </c>
    </row>
    <row r="115" spans="1:19">
      <c r="A115" s="857">
        <f t="shared" si="13"/>
        <v>101</v>
      </c>
      <c r="B115" s="88" t="s">
        <v>335</v>
      </c>
      <c r="G115" s="690">
        <f>G55/G27</f>
        <v>5.5032152553518558E-2</v>
      </c>
      <c r="H115" s="690">
        <f>H55/H27</f>
        <v>6.5278190778467526E-2</v>
      </c>
      <c r="I115" s="690">
        <v>4.4999999999999998E-2</v>
      </c>
      <c r="J115" s="690">
        <v>4.4999999999999998E-2</v>
      </c>
      <c r="K115" s="690">
        <v>4.4999999999999998E-2</v>
      </c>
      <c r="L115" s="690">
        <v>4.2999999999999997E-2</v>
      </c>
      <c r="M115" s="690">
        <v>3.618310387082551E-2</v>
      </c>
      <c r="N115" s="690">
        <v>3.8142668443685655E-2</v>
      </c>
      <c r="O115" s="690">
        <v>4.1128106498813176E-2</v>
      </c>
      <c r="P115" s="690">
        <v>4.2747157694961804E-2</v>
      </c>
      <c r="Q115" s="690">
        <v>4.4999999999999998E-2</v>
      </c>
      <c r="R115" s="690">
        <v>4.4999999999999998E-2</v>
      </c>
    </row>
    <row r="116" spans="1:19">
      <c r="A116" s="857">
        <f t="shared" si="13"/>
        <v>102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9">
      <c r="A117" s="857">
        <f t="shared" si="13"/>
        <v>103</v>
      </c>
      <c r="B117" s="622" t="s">
        <v>1163</v>
      </c>
      <c r="C117" s="998"/>
      <c r="D117" s="998"/>
      <c r="E117" s="99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9">
      <c r="A118" s="857">
        <f t="shared" si="13"/>
        <v>104</v>
      </c>
      <c r="B118" s="88" t="s">
        <v>336</v>
      </c>
      <c r="D118" s="88" t="s">
        <v>56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9" ht="15.75">
      <c r="A119" s="857">
        <f t="shared" si="13"/>
        <v>105</v>
      </c>
      <c r="B119" s="88" t="s">
        <v>1046</v>
      </c>
      <c r="G119" s="108">
        <f>+I.3!O16/1000</f>
        <v>10026.385522694047</v>
      </c>
      <c r="H119" s="108">
        <f>+I.3!M16/1000</f>
        <v>9997.1595259268761</v>
      </c>
      <c r="I119" s="108">
        <v>9094</v>
      </c>
      <c r="J119" s="108">
        <v>9826</v>
      </c>
      <c r="K119" s="108">
        <v>11729</v>
      </c>
      <c r="L119" s="108">
        <v>10695</v>
      </c>
      <c r="M119" s="108">
        <v>8433</v>
      </c>
      <c r="N119" s="108">
        <v>10187</v>
      </c>
      <c r="O119" s="108">
        <v>10735</v>
      </c>
      <c r="P119" s="108">
        <v>10261</v>
      </c>
      <c r="Q119" s="108">
        <v>10854.609817299999</v>
      </c>
      <c r="R119" s="108">
        <v>10384.574465399999</v>
      </c>
      <c r="S119" s="1023"/>
    </row>
    <row r="120" spans="1:19">
      <c r="A120" s="857">
        <f t="shared" si="13"/>
        <v>106</v>
      </c>
      <c r="B120" s="88" t="s">
        <v>1047</v>
      </c>
      <c r="G120" s="108">
        <f>+I.3!O17/1000</f>
        <v>4895.8320899999999</v>
      </c>
      <c r="H120" s="108">
        <f>+I.3!M17/1000</f>
        <v>4895.8320899999999</v>
      </c>
      <c r="I120" s="108">
        <v>4538</v>
      </c>
      <c r="J120" s="108">
        <v>4845</v>
      </c>
      <c r="K120" s="108">
        <v>5650</v>
      </c>
      <c r="L120" s="108">
        <v>5143</v>
      </c>
      <c r="M120" s="108">
        <v>3972</v>
      </c>
      <c r="N120" s="108">
        <v>4642</v>
      </c>
      <c r="O120" s="108">
        <v>5049</v>
      </c>
      <c r="P120" s="108">
        <v>4659</v>
      </c>
      <c r="Q120" s="108">
        <v>5017.1545153999996</v>
      </c>
      <c r="R120" s="108">
        <v>4793.0605848999994</v>
      </c>
    </row>
    <row r="121" spans="1:19">
      <c r="A121" s="857">
        <f t="shared" si="13"/>
        <v>107</v>
      </c>
      <c r="B121" s="88" t="s">
        <v>174</v>
      </c>
      <c r="G121" s="108">
        <f>+I.3!O18/1000</f>
        <v>972.67046000000005</v>
      </c>
      <c r="H121" s="108">
        <f>+I.3!M18/1000</f>
        <v>972.67046000000016</v>
      </c>
      <c r="I121" s="108">
        <v>1048</v>
      </c>
      <c r="J121" s="108">
        <v>693</v>
      </c>
      <c r="K121" s="108">
        <v>810</v>
      </c>
      <c r="L121" s="108">
        <v>811</v>
      </c>
      <c r="M121" s="108">
        <v>995</v>
      </c>
      <c r="N121" s="108">
        <v>821</v>
      </c>
      <c r="O121" s="108">
        <v>724</v>
      </c>
      <c r="P121" s="108">
        <v>960</v>
      </c>
      <c r="Q121" s="108">
        <v>1714.5599533</v>
      </c>
      <c r="R121" s="108">
        <v>1757.0290563999999</v>
      </c>
    </row>
    <row r="122" spans="1:19">
      <c r="A122" s="857">
        <f t="shared" si="13"/>
        <v>108</v>
      </c>
      <c r="B122" s="88" t="s">
        <v>789</v>
      </c>
      <c r="G122" s="108">
        <f>+I.3!O19/1000</f>
        <v>963.10667000000001</v>
      </c>
      <c r="H122" s="108">
        <f>+I.3!M19/1000</f>
        <v>963.10667000000001</v>
      </c>
      <c r="I122" s="108">
        <v>916</v>
      </c>
      <c r="J122" s="108">
        <v>1025</v>
      </c>
      <c r="K122" s="108">
        <v>1234</v>
      </c>
      <c r="L122" s="108">
        <v>1179</v>
      </c>
      <c r="M122" s="108">
        <v>980</v>
      </c>
      <c r="N122" s="108">
        <v>1111</v>
      </c>
      <c r="O122" s="108">
        <v>1192</v>
      </c>
      <c r="P122" s="108">
        <v>1176</v>
      </c>
      <c r="Q122" s="108">
        <v>1252.6995403999999</v>
      </c>
      <c r="R122" s="108">
        <v>1194.8405935000001</v>
      </c>
    </row>
    <row r="123" spans="1:19">
      <c r="A123" s="857">
        <f t="shared" si="13"/>
        <v>109</v>
      </c>
      <c r="B123" s="1033" t="s">
        <v>86</v>
      </c>
      <c r="G123" s="428">
        <f>+I.3!O20/1000</f>
        <v>0</v>
      </c>
      <c r="H123" s="428">
        <f>+I.3!M20/1000</f>
        <v>0</v>
      </c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9">
      <c r="A124" s="857">
        <f t="shared" si="13"/>
        <v>110</v>
      </c>
      <c r="B124" s="88" t="s">
        <v>309</v>
      </c>
      <c r="G124" s="108">
        <f>SUM(G119:G123)</f>
        <v>16857.994742694045</v>
      </c>
      <c r="H124" s="108">
        <f>SUM(H119:H123)</f>
        <v>16828.768745926875</v>
      </c>
      <c r="I124" s="1027">
        <f t="shared" ref="I124:R124" si="15">I119+I120+I121+I122</f>
        <v>15596</v>
      </c>
      <c r="J124" s="1027">
        <f t="shared" si="15"/>
        <v>16389</v>
      </c>
      <c r="K124" s="1027">
        <f t="shared" si="15"/>
        <v>19423</v>
      </c>
      <c r="L124" s="1027">
        <f t="shared" si="15"/>
        <v>17828</v>
      </c>
      <c r="M124" s="1027">
        <f t="shared" si="15"/>
        <v>14380</v>
      </c>
      <c r="N124" s="1027">
        <f t="shared" si="15"/>
        <v>16761</v>
      </c>
      <c r="O124" s="1027">
        <f t="shared" si="15"/>
        <v>17700</v>
      </c>
      <c r="P124" s="1027">
        <f t="shared" si="15"/>
        <v>17056</v>
      </c>
      <c r="Q124" s="1027">
        <f t="shared" si="15"/>
        <v>18839.0238264</v>
      </c>
      <c r="R124" s="1027">
        <f t="shared" si="15"/>
        <v>18129.504700199999</v>
      </c>
    </row>
    <row r="125" spans="1:19">
      <c r="A125" s="857">
        <f t="shared" si="13"/>
        <v>111</v>
      </c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9">
      <c r="A126" s="857">
        <f t="shared" si="13"/>
        <v>112</v>
      </c>
      <c r="B126" s="88" t="s">
        <v>310</v>
      </c>
      <c r="D126" s="88" t="s">
        <v>56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9">
      <c r="A127" s="857">
        <f t="shared" si="13"/>
        <v>113</v>
      </c>
      <c r="B127" s="88"/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  <c r="N127" s="108">
        <v>0</v>
      </c>
      <c r="O127" s="108">
        <v>0</v>
      </c>
      <c r="P127" s="108">
        <v>0</v>
      </c>
      <c r="Q127" s="108">
        <v>0</v>
      </c>
      <c r="R127" s="108">
        <v>0</v>
      </c>
    </row>
    <row r="128" spans="1:19">
      <c r="A128" s="857">
        <f t="shared" si="13"/>
        <v>114</v>
      </c>
      <c r="B128" s="88" t="s">
        <v>437</v>
      </c>
      <c r="G128" s="108">
        <f t="shared" ref="G128:R128" si="16">G130-G127</f>
        <v>17178.296642805231</v>
      </c>
      <c r="H128" s="108">
        <f t="shared" si="16"/>
        <v>17148.515352099486</v>
      </c>
      <c r="I128" s="108">
        <f t="shared" si="16"/>
        <v>15417</v>
      </c>
      <c r="J128" s="108">
        <f t="shared" si="16"/>
        <v>18606</v>
      </c>
      <c r="K128" s="108">
        <f t="shared" si="16"/>
        <v>21324</v>
      </c>
      <c r="L128" s="108">
        <f t="shared" si="16"/>
        <v>18367</v>
      </c>
      <c r="M128" s="108">
        <f t="shared" si="16"/>
        <v>17441</v>
      </c>
      <c r="N128" s="108">
        <f t="shared" si="16"/>
        <v>16748</v>
      </c>
      <c r="O128" s="108">
        <f t="shared" si="16"/>
        <v>17596</v>
      </c>
      <c r="P128" s="108">
        <f t="shared" si="16"/>
        <v>17034</v>
      </c>
      <c r="Q128" s="108">
        <f t="shared" si="16"/>
        <v>18789.664000000001</v>
      </c>
      <c r="R128" s="108">
        <f t="shared" si="16"/>
        <v>19493.048999999999</v>
      </c>
    </row>
    <row r="129" spans="1:20">
      <c r="A129" s="857">
        <f t="shared" si="13"/>
        <v>115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</row>
    <row r="130" spans="1:20" ht="15.75">
      <c r="A130" s="857">
        <f t="shared" si="13"/>
        <v>116</v>
      </c>
      <c r="B130" s="88" t="s">
        <v>1173</v>
      </c>
      <c r="G130" s="108">
        <f>+G124+(0.019*G124)</f>
        <v>17178.296642805231</v>
      </c>
      <c r="H130" s="108">
        <f>+H124+(0.019*H124)</f>
        <v>17148.515352099486</v>
      </c>
      <c r="I130" s="108">
        <v>15417</v>
      </c>
      <c r="J130" s="108">
        <v>18606</v>
      </c>
      <c r="K130" s="108">
        <v>21324</v>
      </c>
      <c r="L130" s="108">
        <v>18367</v>
      </c>
      <c r="M130" s="108">
        <v>17441</v>
      </c>
      <c r="N130" s="108">
        <v>16748</v>
      </c>
      <c r="O130" s="108">
        <v>17596</v>
      </c>
      <c r="P130" s="108">
        <v>17034</v>
      </c>
      <c r="Q130" s="108">
        <v>18789.664000000001</v>
      </c>
      <c r="R130" s="108">
        <v>19493.048999999999</v>
      </c>
      <c r="S130" s="1023"/>
    </row>
    <row r="131" spans="1:20">
      <c r="A131" s="857">
        <f t="shared" si="13"/>
        <v>117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</row>
    <row r="132" spans="1:20" ht="15.75">
      <c r="A132" s="857">
        <f t="shared" si="13"/>
        <v>118</v>
      </c>
      <c r="B132" s="88" t="s">
        <v>311</v>
      </c>
      <c r="G132" s="579">
        <v>3.1671145996881644E-2</v>
      </c>
      <c r="H132" s="579">
        <v>2.958794126568913E-2</v>
      </c>
      <c r="I132" s="579">
        <v>3.3300000000000003E-2</v>
      </c>
      <c r="J132" s="579">
        <v>3.6578607167145429E-2</v>
      </c>
      <c r="K132" s="579">
        <v>3.5000000000000003E-2</v>
      </c>
      <c r="L132" s="579">
        <v>3.3099999999999997E-2</v>
      </c>
      <c r="M132" s="579">
        <v>3.49E-2</v>
      </c>
      <c r="N132" s="579">
        <v>3.5799999999999998E-2</v>
      </c>
      <c r="O132" s="579">
        <v>3.4000000000000002E-2</v>
      </c>
      <c r="P132" s="579">
        <v>3.4299999999999997E-2</v>
      </c>
      <c r="Q132" s="579">
        <v>3.1732611870051476E-2</v>
      </c>
      <c r="R132" s="579">
        <v>3.4804141665331238E-2</v>
      </c>
      <c r="S132" s="1023"/>
      <c r="T132" s="673"/>
    </row>
    <row r="133" spans="1:20">
      <c r="A133" s="88"/>
      <c r="B133" s="88"/>
      <c r="G133" s="579"/>
      <c r="H133" s="579"/>
      <c r="I133" s="579"/>
      <c r="J133" s="579"/>
      <c r="K133" s="579"/>
      <c r="L133" s="579"/>
      <c r="M133" s="579"/>
      <c r="N133" s="579"/>
      <c r="O133" s="579"/>
      <c r="P133" s="579"/>
      <c r="Q133" s="579"/>
      <c r="R133" s="579"/>
    </row>
    <row r="134" spans="1:20">
      <c r="B134" s="81" t="s">
        <v>900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</row>
    <row r="135" spans="1:20">
      <c r="B135" s="88" t="s">
        <v>1174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</row>
    <row r="136" spans="1:20"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</row>
    <row r="137" spans="1:20"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</row>
    <row r="138" spans="1:20"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</row>
  </sheetData>
  <mergeCells count="6">
    <mergeCell ref="A5:R5"/>
    <mergeCell ref="A6:R6"/>
    <mergeCell ref="A1:R1"/>
    <mergeCell ref="A2:R2"/>
    <mergeCell ref="A3:R3"/>
    <mergeCell ref="A4:R4"/>
  </mergeCells>
  <phoneticPr fontId="22" type="noConversion"/>
  <printOptions horizontalCentered="1"/>
  <pageMargins left="0.75" right="0.75" top="0.62" bottom="0.81" header="0.5" footer="0.39"/>
  <pageSetup scale="60" fitToHeight="4" orientation="landscape" verticalDpi="300" r:id="rId1"/>
  <headerFooter alignWithMargins="0">
    <oddFooter>&amp;RSchedule &amp;A
Page &amp;P of &amp;N</oddFooter>
  </headerFooter>
  <rowBreaks count="2" manualBreakCount="2">
    <brk id="46" max="17" man="1"/>
    <brk id="88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270"/>
  <sheetViews>
    <sheetView view="pageBreakPreview" zoomScale="60" zoomScaleNormal="70" workbookViewId="0">
      <pane ySplit="12" topLeftCell="A111" activePane="bottomLeft" state="frozen"/>
      <selection activeCell="F59" sqref="F59:F60"/>
      <selection pane="bottomLeft" activeCell="F183" sqref="F183"/>
    </sheetView>
  </sheetViews>
  <sheetFormatPr defaultRowHeight="15"/>
  <cols>
    <col min="1" max="1" width="4.6640625" style="80" customWidth="1"/>
    <col min="2" max="2" width="6.88671875" style="80" customWidth="1"/>
    <col min="3" max="3" width="36.21875" style="80" customWidth="1"/>
    <col min="4" max="4" width="14.5546875" style="80" bestFit="1" customWidth="1"/>
    <col min="5" max="5" width="10" style="80" customWidth="1"/>
    <col min="6" max="6" width="15.88671875" style="80" customWidth="1"/>
    <col min="7" max="7" width="13.109375" style="862" bestFit="1" customWidth="1"/>
    <col min="8" max="8" width="12.33203125" style="862" customWidth="1"/>
    <col min="9" max="9" width="13.5546875" style="80" customWidth="1"/>
    <col min="10" max="10" width="3.21875" style="80" customWidth="1"/>
    <col min="11" max="11" width="14.5546875" style="80" bestFit="1" customWidth="1"/>
    <col min="12" max="12" width="12.6640625" style="862" bestFit="1" customWidth="1"/>
    <col min="13" max="13" width="9.77734375" style="862" bestFit="1" customWidth="1"/>
    <col min="14" max="14" width="13.44140625" style="80" customWidth="1"/>
    <col min="15" max="15" width="8.88671875" style="80"/>
    <col min="16" max="17" width="12" style="80" bestFit="1" customWidth="1"/>
    <col min="18" max="18" width="7.77734375" style="80" customWidth="1"/>
    <col min="19" max="19" width="7.6640625" style="80" customWidth="1"/>
    <col min="20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F '!A4</f>
        <v>as of March 31, 2019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 ht="15.75">
      <c r="A5" s="150"/>
      <c r="B5" s="150"/>
      <c r="C5" s="150"/>
      <c r="D5" s="911"/>
      <c r="E5" s="734"/>
      <c r="F5" s="150"/>
      <c r="G5" s="865"/>
      <c r="H5" s="865"/>
      <c r="I5" s="81"/>
      <c r="J5" s="81"/>
      <c r="K5" s="150"/>
    </row>
    <row r="6" spans="1:17" ht="15.75">
      <c r="A6" s="88" t="str">
        <f>'B.1 F '!A6</f>
        <v>Data:______Base Period__X___Forecasted Period</v>
      </c>
      <c r="B6" s="81"/>
      <c r="C6" s="81"/>
      <c r="D6" s="81"/>
      <c r="E6" s="911"/>
      <c r="F6" s="81"/>
      <c r="G6" s="865"/>
      <c r="K6" s="81"/>
      <c r="N6" s="910" t="s">
        <v>1444</v>
      </c>
    </row>
    <row r="7" spans="1:17">
      <c r="A7" s="88" t="str">
        <f>'B.1 F 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1016</v>
      </c>
    </row>
    <row r="8" spans="1:17">
      <c r="A8" s="392" t="str">
        <f>'B.1 F '!A8</f>
        <v>Workpaper Reference No(s).</v>
      </c>
      <c r="B8" s="151"/>
      <c r="C8" s="151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74"/>
      <c r="C9" s="74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74"/>
      <c r="D10" s="596">
        <v>43555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863" t="s">
        <v>269</v>
      </c>
      <c r="C11" s="487" t="s">
        <v>217</v>
      </c>
      <c r="D11" s="862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86" t="s">
        <v>300</v>
      </c>
      <c r="D12" s="1048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863">
        <v>1</v>
      </c>
      <c r="B15" s="81"/>
      <c r="C15" s="622" t="s">
        <v>301</v>
      </c>
    </row>
    <row r="16" spans="1:17">
      <c r="A16" s="863">
        <f>A15+1</f>
        <v>2</v>
      </c>
      <c r="B16" s="1050">
        <v>30100</v>
      </c>
      <c r="C16" s="88" t="s">
        <v>295</v>
      </c>
      <c r="D16" s="323">
        <v>8329.7199999999993</v>
      </c>
      <c r="E16" s="1051">
        <v>0</v>
      </c>
      <c r="F16" s="1051">
        <f>D16+E16</f>
        <v>8329.7199999999993</v>
      </c>
      <c r="G16" s="467">
        <v>1</v>
      </c>
      <c r="H16" s="467">
        <f>$G$16</f>
        <v>1</v>
      </c>
      <c r="I16" s="347">
        <f>F16*G16*H16</f>
        <v>8329.7199999999993</v>
      </c>
      <c r="J16" s="925"/>
      <c r="K16" s="323">
        <v>8329.7199999999993</v>
      </c>
      <c r="L16" s="467">
        <f t="shared" ref="L16:M17" si="0">$G$16</f>
        <v>1</v>
      </c>
      <c r="M16" s="467">
        <f t="shared" si="0"/>
        <v>1</v>
      </c>
      <c r="N16" s="1051">
        <f>K16*L16*M16</f>
        <v>8329.7199999999993</v>
      </c>
    </row>
    <row r="17" spans="1:14">
      <c r="A17" s="863">
        <f t="shared" ref="A17:A80" si="1">A16+1</f>
        <v>3</v>
      </c>
      <c r="B17" s="1050">
        <v>30200</v>
      </c>
      <c r="C17" s="88" t="s">
        <v>154</v>
      </c>
      <c r="D17" s="323">
        <v>119852.69</v>
      </c>
      <c r="E17" s="431">
        <v>0</v>
      </c>
      <c r="F17" s="431">
        <f>D17+E17</f>
        <v>119852.69</v>
      </c>
      <c r="G17" s="467">
        <f>$G$16</f>
        <v>1</v>
      </c>
      <c r="H17" s="467">
        <f>$G$16</f>
        <v>1</v>
      </c>
      <c r="I17" s="431">
        <f>F17*G17*H17</f>
        <v>119852.69</v>
      </c>
      <c r="K17" s="323">
        <v>119852.68999999996</v>
      </c>
      <c r="L17" s="467">
        <f t="shared" si="0"/>
        <v>1</v>
      </c>
      <c r="M17" s="467">
        <f t="shared" si="0"/>
        <v>1</v>
      </c>
      <c r="N17" s="431">
        <f>K17*L17*M17</f>
        <v>119852.68999999996</v>
      </c>
    </row>
    <row r="18" spans="1:14">
      <c r="A18" s="863">
        <f t="shared" si="1"/>
        <v>4</v>
      </c>
      <c r="B18" s="1052"/>
      <c r="C18" s="88"/>
      <c r="D18" s="621"/>
      <c r="E18" s="621"/>
      <c r="F18" s="621"/>
      <c r="G18" s="467"/>
      <c r="H18" s="467"/>
      <c r="I18" s="621"/>
      <c r="K18" s="621"/>
      <c r="N18" s="621"/>
    </row>
    <row r="19" spans="1:14">
      <c r="A19" s="863">
        <f t="shared" si="1"/>
        <v>5</v>
      </c>
      <c r="B19" s="1052"/>
      <c r="C19" s="88" t="s">
        <v>302</v>
      </c>
      <c r="D19" s="361">
        <f>SUM(D16:D17)</f>
        <v>128182.41</v>
      </c>
      <c r="E19" s="347">
        <f>SUM(E16:E17)</f>
        <v>0</v>
      </c>
      <c r="F19" s="347">
        <f>SUM(F16:F17)</f>
        <v>128182.41</v>
      </c>
      <c r="G19" s="1053"/>
      <c r="H19" s="1053"/>
      <c r="I19" s="347">
        <f>SUM(I16:I17)</f>
        <v>128182.41</v>
      </c>
      <c r="K19" s="361">
        <f>SUM(K16:K17)</f>
        <v>128182.40999999996</v>
      </c>
      <c r="N19" s="347">
        <f>SUM(N16:N17)</f>
        <v>128182.40999999996</v>
      </c>
    </row>
    <row r="20" spans="1:14">
      <c r="A20" s="863">
        <f t="shared" si="1"/>
        <v>6</v>
      </c>
      <c r="B20" s="1052"/>
      <c r="C20" s="81"/>
      <c r="G20" s="467"/>
      <c r="H20" s="467"/>
    </row>
    <row r="21" spans="1:14">
      <c r="A21" s="863">
        <f t="shared" si="1"/>
        <v>7</v>
      </c>
      <c r="B21" s="1052"/>
      <c r="C21" s="622" t="s">
        <v>155</v>
      </c>
      <c r="G21" s="467"/>
      <c r="H21" s="467"/>
    </row>
    <row r="22" spans="1:14">
      <c r="A22" s="863">
        <f t="shared" si="1"/>
        <v>8</v>
      </c>
      <c r="B22" s="1050">
        <v>32540</v>
      </c>
      <c r="C22" s="88" t="s">
        <v>162</v>
      </c>
      <c r="D22" s="323">
        <v>0</v>
      </c>
      <c r="E22" s="1051">
        <v>0</v>
      </c>
      <c r="F22" s="1051">
        <f t="shared" ref="F22:F24" si="2">D22+E22</f>
        <v>0</v>
      </c>
      <c r="G22" s="467">
        <f t="shared" ref="G22:H24" si="3">$G$16</f>
        <v>1</v>
      </c>
      <c r="H22" s="467">
        <f t="shared" si="3"/>
        <v>1</v>
      </c>
      <c r="I22" s="1051">
        <f t="shared" ref="I22:I24" si="4">F22*G22*H22</f>
        <v>0</v>
      </c>
      <c r="K22" s="323">
        <v>0</v>
      </c>
      <c r="L22" s="467">
        <f t="shared" ref="L22:M24" si="5">$G$16</f>
        <v>1</v>
      </c>
      <c r="M22" s="467">
        <f t="shared" si="5"/>
        <v>1</v>
      </c>
      <c r="N22" s="1051">
        <f t="shared" ref="N22:N24" si="6">K22*L22*M22</f>
        <v>0</v>
      </c>
    </row>
    <row r="23" spans="1:14">
      <c r="A23" s="863">
        <f t="shared" si="1"/>
        <v>9</v>
      </c>
      <c r="B23" s="1050">
        <v>33202</v>
      </c>
      <c r="C23" s="88" t="s">
        <v>602</v>
      </c>
      <c r="D23" s="323">
        <v>0</v>
      </c>
      <c r="E23" s="431">
        <v>0</v>
      </c>
      <c r="F23" s="431">
        <f t="shared" si="2"/>
        <v>0</v>
      </c>
      <c r="G23" s="467">
        <f t="shared" si="3"/>
        <v>1</v>
      </c>
      <c r="H23" s="467">
        <f t="shared" si="3"/>
        <v>1</v>
      </c>
      <c r="I23" s="431">
        <f t="shared" si="4"/>
        <v>0</v>
      </c>
      <c r="K23" s="323">
        <v>0</v>
      </c>
      <c r="L23" s="467">
        <f t="shared" si="5"/>
        <v>1</v>
      </c>
      <c r="M23" s="467">
        <f t="shared" si="5"/>
        <v>1</v>
      </c>
      <c r="N23" s="431">
        <f t="shared" si="6"/>
        <v>0</v>
      </c>
    </row>
    <row r="24" spans="1:14">
      <c r="A24" s="863">
        <f t="shared" si="1"/>
        <v>10</v>
      </c>
      <c r="B24" s="1050">
        <v>33400</v>
      </c>
      <c r="C24" s="88" t="s">
        <v>1129</v>
      </c>
      <c r="D24" s="323">
        <v>0</v>
      </c>
      <c r="E24" s="431">
        <v>0</v>
      </c>
      <c r="F24" s="431">
        <f t="shared" si="2"/>
        <v>0</v>
      </c>
      <c r="G24" s="467">
        <f t="shared" si="3"/>
        <v>1</v>
      </c>
      <c r="H24" s="467">
        <f t="shared" si="3"/>
        <v>1</v>
      </c>
      <c r="I24" s="431">
        <f t="shared" si="4"/>
        <v>0</v>
      </c>
      <c r="K24" s="323">
        <v>0</v>
      </c>
      <c r="L24" s="467">
        <f t="shared" si="5"/>
        <v>1</v>
      </c>
      <c r="M24" s="467">
        <f t="shared" si="5"/>
        <v>1</v>
      </c>
      <c r="N24" s="431">
        <f t="shared" si="6"/>
        <v>0</v>
      </c>
    </row>
    <row r="25" spans="1:14">
      <c r="A25" s="863">
        <f t="shared" si="1"/>
        <v>11</v>
      </c>
      <c r="B25" s="1052"/>
      <c r="C25" s="81"/>
      <c r="D25" s="621"/>
      <c r="G25" s="467"/>
      <c r="H25" s="467"/>
      <c r="K25" s="621"/>
    </row>
    <row r="26" spans="1:14">
      <c r="A26" s="863">
        <f t="shared" si="1"/>
        <v>12</v>
      </c>
      <c r="B26" s="1052"/>
      <c r="C26" s="81" t="s">
        <v>279</v>
      </c>
      <c r="D26" s="361">
        <f>SUM(D22:D25)</f>
        <v>0</v>
      </c>
      <c r="E26" s="347">
        <f>SUM(E22:E25)</f>
        <v>0</v>
      </c>
      <c r="F26" s="347">
        <f>SUM(F22:F25)</f>
        <v>0</v>
      </c>
      <c r="G26" s="467"/>
      <c r="H26" s="467"/>
      <c r="I26" s="347">
        <f>SUM(I22:I25)</f>
        <v>0</v>
      </c>
      <c r="K26" s="361">
        <f>SUM(K22:K25)</f>
        <v>0</v>
      </c>
      <c r="N26" s="347">
        <f>SUM(N22:N25)</f>
        <v>0</v>
      </c>
    </row>
    <row r="27" spans="1:14">
      <c r="A27" s="863">
        <f t="shared" si="1"/>
        <v>13</v>
      </c>
      <c r="B27" s="1052"/>
      <c r="C27" s="88"/>
      <c r="G27" s="467"/>
      <c r="H27" s="467"/>
    </row>
    <row r="28" spans="1:14">
      <c r="A28" s="863">
        <f t="shared" si="1"/>
        <v>14</v>
      </c>
      <c r="B28" s="1052"/>
      <c r="C28" s="622" t="s">
        <v>280</v>
      </c>
      <c r="G28" s="467"/>
      <c r="H28" s="467"/>
    </row>
    <row r="29" spans="1:14">
      <c r="A29" s="863">
        <f t="shared" si="1"/>
        <v>15</v>
      </c>
      <c r="B29" s="1050">
        <v>35010</v>
      </c>
      <c r="C29" s="88" t="s">
        <v>296</v>
      </c>
      <c r="D29" s="323">
        <v>261126.69</v>
      </c>
      <c r="E29" s="1051">
        <v>0</v>
      </c>
      <c r="F29" s="1051">
        <f t="shared" ref="F29:F45" si="7">D29+E29</f>
        <v>261126.69</v>
      </c>
      <c r="G29" s="467">
        <f t="shared" ref="G29:H45" si="8">$G$16</f>
        <v>1</v>
      </c>
      <c r="H29" s="467">
        <f t="shared" si="8"/>
        <v>1</v>
      </c>
      <c r="I29" s="1051">
        <f t="shared" ref="I29:I45" si="9">F29*G29*H29</f>
        <v>261126.69</v>
      </c>
      <c r="K29" s="323">
        <v>261126.68999999997</v>
      </c>
      <c r="L29" s="467">
        <f t="shared" ref="L29:M45" si="10">$G$16</f>
        <v>1</v>
      </c>
      <c r="M29" s="467">
        <f t="shared" si="10"/>
        <v>1</v>
      </c>
      <c r="N29" s="1051">
        <f t="shared" ref="N29:N45" si="11">K29*L29*M29</f>
        <v>261126.68999999997</v>
      </c>
    </row>
    <row r="30" spans="1:14">
      <c r="A30" s="863">
        <f t="shared" si="1"/>
        <v>16</v>
      </c>
      <c r="B30" s="1050">
        <v>35020</v>
      </c>
      <c r="C30" s="88" t="s">
        <v>799</v>
      </c>
      <c r="D30" s="323">
        <v>4681.58</v>
      </c>
      <c r="E30" s="431">
        <v>0</v>
      </c>
      <c r="F30" s="431">
        <f t="shared" si="7"/>
        <v>4681.58</v>
      </c>
      <c r="G30" s="467">
        <f t="shared" si="8"/>
        <v>1</v>
      </c>
      <c r="H30" s="467">
        <f t="shared" si="8"/>
        <v>1</v>
      </c>
      <c r="I30" s="431">
        <f t="shared" si="9"/>
        <v>4681.58</v>
      </c>
      <c r="K30" s="323">
        <v>4681.5800000000008</v>
      </c>
      <c r="L30" s="467">
        <f t="shared" si="10"/>
        <v>1</v>
      </c>
      <c r="M30" s="467">
        <f t="shared" si="10"/>
        <v>1</v>
      </c>
      <c r="N30" s="431">
        <f t="shared" si="11"/>
        <v>4681.5800000000008</v>
      </c>
    </row>
    <row r="31" spans="1:14">
      <c r="A31" s="863">
        <f t="shared" si="1"/>
        <v>17</v>
      </c>
      <c r="B31" s="1050">
        <v>35100</v>
      </c>
      <c r="C31" s="88" t="s">
        <v>977</v>
      </c>
      <c r="D31" s="323">
        <v>17916.189999999999</v>
      </c>
      <c r="E31" s="431">
        <v>0</v>
      </c>
      <c r="F31" s="431">
        <f t="shared" si="7"/>
        <v>17916.189999999999</v>
      </c>
      <c r="G31" s="467">
        <f t="shared" si="8"/>
        <v>1</v>
      </c>
      <c r="H31" s="467">
        <f t="shared" si="8"/>
        <v>1</v>
      </c>
      <c r="I31" s="431">
        <f t="shared" si="9"/>
        <v>17916.189999999999</v>
      </c>
      <c r="K31" s="323">
        <v>17916.189999999999</v>
      </c>
      <c r="L31" s="467">
        <f t="shared" si="10"/>
        <v>1</v>
      </c>
      <c r="M31" s="467">
        <f t="shared" si="10"/>
        <v>1</v>
      </c>
      <c r="N31" s="431">
        <f t="shared" si="11"/>
        <v>17916.189999999999</v>
      </c>
    </row>
    <row r="32" spans="1:14">
      <c r="A32" s="863">
        <f t="shared" si="1"/>
        <v>18</v>
      </c>
      <c r="B32" s="1050">
        <v>35102</v>
      </c>
      <c r="C32" s="88" t="s">
        <v>281</v>
      </c>
      <c r="D32" s="323">
        <v>153261.29999999999</v>
      </c>
      <c r="E32" s="431">
        <v>0</v>
      </c>
      <c r="F32" s="431">
        <f t="shared" si="7"/>
        <v>153261.29999999999</v>
      </c>
      <c r="G32" s="467">
        <f t="shared" si="8"/>
        <v>1</v>
      </c>
      <c r="H32" s="467">
        <f t="shared" si="8"/>
        <v>1</v>
      </c>
      <c r="I32" s="431">
        <f t="shared" si="9"/>
        <v>153261.29999999999</v>
      </c>
      <c r="K32" s="323">
        <v>153261.30000000002</v>
      </c>
      <c r="L32" s="467">
        <f t="shared" si="10"/>
        <v>1</v>
      </c>
      <c r="M32" s="467">
        <f t="shared" si="10"/>
        <v>1</v>
      </c>
      <c r="N32" s="431">
        <f t="shared" si="11"/>
        <v>153261.30000000002</v>
      </c>
    </row>
    <row r="33" spans="1:14">
      <c r="A33" s="863">
        <f t="shared" si="1"/>
        <v>19</v>
      </c>
      <c r="B33" s="1050">
        <v>35103</v>
      </c>
      <c r="C33" s="88" t="s">
        <v>591</v>
      </c>
      <c r="D33" s="323">
        <v>23138.38</v>
      </c>
      <c r="E33" s="431">
        <v>0</v>
      </c>
      <c r="F33" s="431">
        <f t="shared" si="7"/>
        <v>23138.38</v>
      </c>
      <c r="G33" s="467">
        <f t="shared" si="8"/>
        <v>1</v>
      </c>
      <c r="H33" s="467">
        <f t="shared" si="8"/>
        <v>1</v>
      </c>
      <c r="I33" s="431">
        <f t="shared" si="9"/>
        <v>23138.38</v>
      </c>
      <c r="K33" s="323">
        <v>23138.38</v>
      </c>
      <c r="L33" s="467">
        <f t="shared" si="10"/>
        <v>1</v>
      </c>
      <c r="M33" s="467">
        <f t="shared" si="10"/>
        <v>1</v>
      </c>
      <c r="N33" s="431">
        <f t="shared" si="11"/>
        <v>23138.38</v>
      </c>
    </row>
    <row r="34" spans="1:14">
      <c r="A34" s="863">
        <f t="shared" si="1"/>
        <v>20</v>
      </c>
      <c r="B34" s="1050">
        <v>35104</v>
      </c>
      <c r="C34" s="88" t="s">
        <v>592</v>
      </c>
      <c r="D34" s="323">
        <v>137442.53</v>
      </c>
      <c r="E34" s="431">
        <v>0</v>
      </c>
      <c r="F34" s="431">
        <f t="shared" si="7"/>
        <v>137442.53</v>
      </c>
      <c r="G34" s="467">
        <f t="shared" si="8"/>
        <v>1</v>
      </c>
      <c r="H34" s="467">
        <f t="shared" si="8"/>
        <v>1</v>
      </c>
      <c r="I34" s="431">
        <f t="shared" si="9"/>
        <v>137442.53</v>
      </c>
      <c r="K34" s="323">
        <v>137442.53</v>
      </c>
      <c r="L34" s="467">
        <f t="shared" si="10"/>
        <v>1</v>
      </c>
      <c r="M34" s="467">
        <f t="shared" si="10"/>
        <v>1</v>
      </c>
      <c r="N34" s="431">
        <f t="shared" si="11"/>
        <v>137442.53</v>
      </c>
    </row>
    <row r="35" spans="1:14">
      <c r="A35" s="863">
        <f t="shared" si="1"/>
        <v>21</v>
      </c>
      <c r="B35" s="1050">
        <v>35200</v>
      </c>
      <c r="C35" s="88" t="s">
        <v>446</v>
      </c>
      <c r="D35" s="323">
        <v>7430333.9400000004</v>
      </c>
      <c r="E35" s="431">
        <v>0</v>
      </c>
      <c r="F35" s="431">
        <f t="shared" si="7"/>
        <v>7430333.9400000004</v>
      </c>
      <c r="G35" s="467">
        <f t="shared" si="8"/>
        <v>1</v>
      </c>
      <c r="H35" s="467">
        <f t="shared" si="8"/>
        <v>1</v>
      </c>
      <c r="I35" s="431">
        <f t="shared" si="9"/>
        <v>7430333.9400000004</v>
      </c>
      <c r="K35" s="323">
        <v>7430333.9399999985</v>
      </c>
      <c r="L35" s="467">
        <f t="shared" si="10"/>
        <v>1</v>
      </c>
      <c r="M35" s="467">
        <f t="shared" si="10"/>
        <v>1</v>
      </c>
      <c r="N35" s="431">
        <f t="shared" si="11"/>
        <v>7430333.9399999985</v>
      </c>
    </row>
    <row r="36" spans="1:14">
      <c r="A36" s="863">
        <f t="shared" si="1"/>
        <v>22</v>
      </c>
      <c r="B36" s="1050">
        <v>35201</v>
      </c>
      <c r="C36" s="88" t="s">
        <v>593</v>
      </c>
      <c r="D36" s="323">
        <v>1699998.54</v>
      </c>
      <c r="E36" s="431">
        <v>0</v>
      </c>
      <c r="F36" s="431">
        <f t="shared" si="7"/>
        <v>1699998.54</v>
      </c>
      <c r="G36" s="467">
        <f t="shared" si="8"/>
        <v>1</v>
      </c>
      <c r="H36" s="467">
        <f t="shared" si="8"/>
        <v>1</v>
      </c>
      <c r="I36" s="431">
        <f t="shared" si="9"/>
        <v>1699998.54</v>
      </c>
      <c r="K36" s="323">
        <v>1699998.5399999993</v>
      </c>
      <c r="L36" s="467">
        <f t="shared" si="10"/>
        <v>1</v>
      </c>
      <c r="M36" s="467">
        <f t="shared" si="10"/>
        <v>1</v>
      </c>
      <c r="N36" s="431">
        <f t="shared" si="11"/>
        <v>1699998.5399999993</v>
      </c>
    </row>
    <row r="37" spans="1:14">
      <c r="A37" s="863">
        <f t="shared" si="1"/>
        <v>23</v>
      </c>
      <c r="B37" s="1050">
        <v>35202</v>
      </c>
      <c r="C37" s="88" t="s">
        <v>594</v>
      </c>
      <c r="D37" s="323">
        <v>415818.86</v>
      </c>
      <c r="E37" s="431">
        <v>0</v>
      </c>
      <c r="F37" s="431">
        <f t="shared" si="7"/>
        <v>415818.86</v>
      </c>
      <c r="G37" s="467">
        <f t="shared" si="8"/>
        <v>1</v>
      </c>
      <c r="H37" s="467">
        <f t="shared" si="8"/>
        <v>1</v>
      </c>
      <c r="I37" s="431">
        <f t="shared" si="9"/>
        <v>415818.86</v>
      </c>
      <c r="K37" s="323">
        <v>415818.86</v>
      </c>
      <c r="L37" s="467">
        <f t="shared" si="10"/>
        <v>1</v>
      </c>
      <c r="M37" s="467">
        <f t="shared" si="10"/>
        <v>1</v>
      </c>
      <c r="N37" s="431">
        <f t="shared" si="11"/>
        <v>415818.86</v>
      </c>
    </row>
    <row r="38" spans="1:14">
      <c r="A38" s="863">
        <f t="shared" si="1"/>
        <v>24</v>
      </c>
      <c r="B38" s="1050">
        <v>35203</v>
      </c>
      <c r="C38" s="88" t="s">
        <v>347</v>
      </c>
      <c r="D38" s="323">
        <v>1694832.96</v>
      </c>
      <c r="E38" s="431">
        <v>0</v>
      </c>
      <c r="F38" s="431">
        <f t="shared" si="7"/>
        <v>1694832.96</v>
      </c>
      <c r="G38" s="467">
        <f t="shared" si="8"/>
        <v>1</v>
      </c>
      <c r="H38" s="467">
        <f t="shared" si="8"/>
        <v>1</v>
      </c>
      <c r="I38" s="431">
        <f t="shared" si="9"/>
        <v>1694832.96</v>
      </c>
      <c r="K38" s="323">
        <v>1694832.9600000007</v>
      </c>
      <c r="L38" s="467">
        <f t="shared" si="10"/>
        <v>1</v>
      </c>
      <c r="M38" s="467">
        <f t="shared" si="10"/>
        <v>1</v>
      </c>
      <c r="N38" s="431">
        <f t="shared" si="11"/>
        <v>1694832.9600000007</v>
      </c>
    </row>
    <row r="39" spans="1:14">
      <c r="A39" s="863">
        <f t="shared" si="1"/>
        <v>25</v>
      </c>
      <c r="B39" s="1050">
        <v>35210</v>
      </c>
      <c r="C39" s="88" t="s">
        <v>595</v>
      </c>
      <c r="D39" s="323">
        <v>178530.09</v>
      </c>
      <c r="E39" s="431">
        <v>0</v>
      </c>
      <c r="F39" s="431">
        <f t="shared" si="7"/>
        <v>178530.09</v>
      </c>
      <c r="G39" s="467">
        <f t="shared" si="8"/>
        <v>1</v>
      </c>
      <c r="H39" s="467">
        <f t="shared" si="8"/>
        <v>1</v>
      </c>
      <c r="I39" s="431">
        <f t="shared" si="9"/>
        <v>178530.09</v>
      </c>
      <c r="K39" s="323">
        <v>178530.09000000003</v>
      </c>
      <c r="L39" s="467">
        <f t="shared" si="10"/>
        <v>1</v>
      </c>
      <c r="M39" s="467">
        <f t="shared" si="10"/>
        <v>1</v>
      </c>
      <c r="N39" s="431">
        <f t="shared" si="11"/>
        <v>178530.09000000003</v>
      </c>
    </row>
    <row r="40" spans="1:14">
      <c r="A40" s="863">
        <f t="shared" si="1"/>
        <v>26</v>
      </c>
      <c r="B40" s="1050">
        <v>35211</v>
      </c>
      <c r="C40" s="88" t="s">
        <v>596</v>
      </c>
      <c r="D40" s="323">
        <v>54614.27</v>
      </c>
      <c r="E40" s="431">
        <v>0</v>
      </c>
      <c r="F40" s="431">
        <f t="shared" si="7"/>
        <v>54614.27</v>
      </c>
      <c r="G40" s="467">
        <f t="shared" si="8"/>
        <v>1</v>
      </c>
      <c r="H40" s="467">
        <f t="shared" si="8"/>
        <v>1</v>
      </c>
      <c r="I40" s="431">
        <f t="shared" si="9"/>
        <v>54614.27</v>
      </c>
      <c r="K40" s="323">
        <v>54614.270000000011</v>
      </c>
      <c r="L40" s="467">
        <f t="shared" si="10"/>
        <v>1</v>
      </c>
      <c r="M40" s="467">
        <f t="shared" si="10"/>
        <v>1</v>
      </c>
      <c r="N40" s="431">
        <f t="shared" si="11"/>
        <v>54614.270000000011</v>
      </c>
    </row>
    <row r="41" spans="1:14">
      <c r="A41" s="863">
        <f t="shared" si="1"/>
        <v>27</v>
      </c>
      <c r="B41" s="1050">
        <v>35301</v>
      </c>
      <c r="C41" s="81" t="s">
        <v>163</v>
      </c>
      <c r="D41" s="323">
        <v>178496.9</v>
      </c>
      <c r="E41" s="431">
        <v>0</v>
      </c>
      <c r="F41" s="431">
        <f t="shared" si="7"/>
        <v>178496.9</v>
      </c>
      <c r="G41" s="467">
        <f t="shared" si="8"/>
        <v>1</v>
      </c>
      <c r="H41" s="467">
        <f t="shared" si="8"/>
        <v>1</v>
      </c>
      <c r="I41" s="431">
        <f t="shared" si="9"/>
        <v>178496.9</v>
      </c>
      <c r="K41" s="323">
        <v>178496.89999999994</v>
      </c>
      <c r="L41" s="467">
        <f t="shared" si="10"/>
        <v>1</v>
      </c>
      <c r="M41" s="467">
        <f t="shared" si="10"/>
        <v>1</v>
      </c>
      <c r="N41" s="431">
        <f t="shared" si="11"/>
        <v>178496.89999999994</v>
      </c>
    </row>
    <row r="42" spans="1:14">
      <c r="A42" s="863">
        <f t="shared" si="1"/>
        <v>28</v>
      </c>
      <c r="B42" s="1050">
        <v>35302</v>
      </c>
      <c r="C42" s="88" t="s">
        <v>602</v>
      </c>
      <c r="D42" s="323">
        <v>209458.21</v>
      </c>
      <c r="E42" s="431">
        <v>0</v>
      </c>
      <c r="F42" s="431">
        <f t="shared" si="7"/>
        <v>209458.21</v>
      </c>
      <c r="G42" s="467">
        <f t="shared" si="8"/>
        <v>1</v>
      </c>
      <c r="H42" s="467">
        <f t="shared" si="8"/>
        <v>1</v>
      </c>
      <c r="I42" s="431">
        <f t="shared" si="9"/>
        <v>209458.21</v>
      </c>
      <c r="K42" s="323">
        <v>209458.21</v>
      </c>
      <c r="L42" s="467">
        <f t="shared" si="10"/>
        <v>1</v>
      </c>
      <c r="M42" s="467">
        <f t="shared" si="10"/>
        <v>1</v>
      </c>
      <c r="N42" s="431">
        <f t="shared" si="11"/>
        <v>209458.21</v>
      </c>
    </row>
    <row r="43" spans="1:14">
      <c r="A43" s="863">
        <f t="shared" si="1"/>
        <v>29</v>
      </c>
      <c r="B43" s="1050">
        <v>35400</v>
      </c>
      <c r="C43" s="88" t="s">
        <v>597</v>
      </c>
      <c r="D43" s="323">
        <v>923446.05</v>
      </c>
      <c r="E43" s="431">
        <v>0</v>
      </c>
      <c r="F43" s="431">
        <f t="shared" si="7"/>
        <v>923446.05</v>
      </c>
      <c r="G43" s="467">
        <f t="shared" si="8"/>
        <v>1</v>
      </c>
      <c r="H43" s="467">
        <f t="shared" si="8"/>
        <v>1</v>
      </c>
      <c r="I43" s="431">
        <f t="shared" si="9"/>
        <v>923446.05</v>
      </c>
      <c r="K43" s="323">
        <v>923446.05000000016</v>
      </c>
      <c r="L43" s="467">
        <f t="shared" si="10"/>
        <v>1</v>
      </c>
      <c r="M43" s="467">
        <f t="shared" si="10"/>
        <v>1</v>
      </c>
      <c r="N43" s="431">
        <f t="shared" si="11"/>
        <v>923446.05000000016</v>
      </c>
    </row>
    <row r="44" spans="1:14">
      <c r="A44" s="863">
        <f t="shared" si="1"/>
        <v>30</v>
      </c>
      <c r="B44" s="1050">
        <v>35500</v>
      </c>
      <c r="C44" s="88" t="s">
        <v>1000</v>
      </c>
      <c r="D44" s="323">
        <v>481913.9747228034</v>
      </c>
      <c r="E44" s="431">
        <v>0</v>
      </c>
      <c r="F44" s="431">
        <f t="shared" si="7"/>
        <v>481913.9747228034</v>
      </c>
      <c r="G44" s="467">
        <f t="shared" si="8"/>
        <v>1</v>
      </c>
      <c r="H44" s="467">
        <f t="shared" si="8"/>
        <v>1</v>
      </c>
      <c r="I44" s="431">
        <f t="shared" si="9"/>
        <v>481913.9747228034</v>
      </c>
      <c r="K44" s="323">
        <v>439116.75239859428</v>
      </c>
      <c r="L44" s="467">
        <f t="shared" si="10"/>
        <v>1</v>
      </c>
      <c r="M44" s="467">
        <f t="shared" si="10"/>
        <v>1</v>
      </c>
      <c r="N44" s="431">
        <f t="shared" si="11"/>
        <v>439116.75239859428</v>
      </c>
    </row>
    <row r="45" spans="1:14">
      <c r="A45" s="863">
        <f t="shared" si="1"/>
        <v>31</v>
      </c>
      <c r="B45" s="1050">
        <v>35600</v>
      </c>
      <c r="C45" s="88" t="s">
        <v>1049</v>
      </c>
      <c r="D45" s="323">
        <v>414663.45</v>
      </c>
      <c r="E45" s="1054">
        <v>0</v>
      </c>
      <c r="F45" s="1054">
        <f t="shared" si="7"/>
        <v>414663.45</v>
      </c>
      <c r="G45" s="467">
        <f t="shared" si="8"/>
        <v>1</v>
      </c>
      <c r="H45" s="467">
        <f t="shared" si="8"/>
        <v>1</v>
      </c>
      <c r="I45" s="1054">
        <f t="shared" si="9"/>
        <v>414663.45</v>
      </c>
      <c r="K45" s="323">
        <v>414663.45000000013</v>
      </c>
      <c r="L45" s="467">
        <f t="shared" si="10"/>
        <v>1</v>
      </c>
      <c r="M45" s="467">
        <f t="shared" si="10"/>
        <v>1</v>
      </c>
      <c r="N45" s="1054">
        <f t="shared" si="11"/>
        <v>414663.45000000013</v>
      </c>
    </row>
    <row r="46" spans="1:14">
      <c r="A46" s="863">
        <f t="shared" si="1"/>
        <v>32</v>
      </c>
      <c r="B46" s="1052"/>
      <c r="C46" s="88"/>
      <c r="D46" s="621"/>
      <c r="G46" s="467"/>
      <c r="H46" s="467"/>
      <c r="K46" s="621"/>
    </row>
    <row r="47" spans="1:14">
      <c r="A47" s="863">
        <f t="shared" si="1"/>
        <v>33</v>
      </c>
      <c r="B47" s="1052"/>
      <c r="C47" s="88" t="s">
        <v>216</v>
      </c>
      <c r="D47" s="361">
        <f>SUM(D29:D46)</f>
        <v>14279673.914722802</v>
      </c>
      <c r="E47" s="347">
        <f>SUM(E29:E46)</f>
        <v>0</v>
      </c>
      <c r="F47" s="347">
        <f>SUM(F29:F46)</f>
        <v>14279673.914722802</v>
      </c>
      <c r="G47" s="467"/>
      <c r="H47" s="467"/>
      <c r="I47" s="347">
        <f>SUM(I29:I46)</f>
        <v>14279673.914722802</v>
      </c>
      <c r="K47" s="361">
        <f>SUM(K29:K46)</f>
        <v>14236876.692398593</v>
      </c>
      <c r="N47" s="361">
        <f>SUM(N29:N46)</f>
        <v>14236876.692398593</v>
      </c>
    </row>
    <row r="48" spans="1:14">
      <c r="A48" s="863">
        <f t="shared" si="1"/>
        <v>34</v>
      </c>
      <c r="B48" s="1052"/>
      <c r="C48" s="88"/>
      <c r="G48" s="467"/>
      <c r="H48" s="467"/>
    </row>
    <row r="49" spans="1:14">
      <c r="A49" s="863">
        <f t="shared" si="1"/>
        <v>35</v>
      </c>
      <c r="B49" s="1052"/>
      <c r="C49" s="622" t="s">
        <v>1001</v>
      </c>
      <c r="G49" s="467"/>
      <c r="H49" s="467"/>
    </row>
    <row r="50" spans="1:14">
      <c r="A50" s="863">
        <f t="shared" si="1"/>
        <v>36</v>
      </c>
      <c r="B50" s="1050">
        <v>36510</v>
      </c>
      <c r="C50" s="88" t="s">
        <v>296</v>
      </c>
      <c r="D50" s="323">
        <v>26970.37</v>
      </c>
      <c r="E50" s="1051">
        <v>0</v>
      </c>
      <c r="F50" s="1051">
        <f t="shared" ref="F50:F57" si="12">D50+E50</f>
        <v>26970.37</v>
      </c>
      <c r="G50" s="467">
        <f t="shared" ref="G50:H57" si="13">$G$16</f>
        <v>1</v>
      </c>
      <c r="H50" s="467">
        <f t="shared" si="13"/>
        <v>1</v>
      </c>
      <c r="I50" s="361">
        <f t="shared" ref="I50:I57" si="14">F50*G50*H50</f>
        <v>26970.37</v>
      </c>
      <c r="K50" s="323">
        <v>26970.37</v>
      </c>
      <c r="L50" s="467">
        <f t="shared" ref="L50:M57" si="15">$G$16</f>
        <v>1</v>
      </c>
      <c r="M50" s="467">
        <f t="shared" si="15"/>
        <v>1</v>
      </c>
      <c r="N50" s="1051">
        <f t="shared" ref="N50:N57" si="16">K50*L50*M50</f>
        <v>26970.37</v>
      </c>
    </row>
    <row r="51" spans="1:14">
      <c r="A51" s="863">
        <f t="shared" si="1"/>
        <v>37</v>
      </c>
      <c r="B51" s="1050">
        <v>36520</v>
      </c>
      <c r="C51" s="88" t="s">
        <v>799</v>
      </c>
      <c r="D51" s="323">
        <v>867772</v>
      </c>
      <c r="E51" s="431">
        <v>0</v>
      </c>
      <c r="F51" s="431">
        <f t="shared" si="12"/>
        <v>867772</v>
      </c>
      <c r="G51" s="467">
        <f t="shared" si="13"/>
        <v>1</v>
      </c>
      <c r="H51" s="467">
        <f t="shared" si="13"/>
        <v>1</v>
      </c>
      <c r="I51" s="431">
        <f t="shared" si="14"/>
        <v>867772</v>
      </c>
      <c r="K51" s="323">
        <v>867772</v>
      </c>
      <c r="L51" s="467">
        <f t="shared" si="15"/>
        <v>1</v>
      </c>
      <c r="M51" s="467">
        <f t="shared" si="15"/>
        <v>1</v>
      </c>
      <c r="N51" s="431">
        <f t="shared" si="16"/>
        <v>867772</v>
      </c>
    </row>
    <row r="52" spans="1:14">
      <c r="A52" s="863">
        <f t="shared" si="1"/>
        <v>38</v>
      </c>
      <c r="B52" s="1050">
        <v>36602</v>
      </c>
      <c r="C52" s="88" t="s">
        <v>863</v>
      </c>
      <c r="D52" s="323">
        <v>49001.72</v>
      </c>
      <c r="E52" s="431">
        <v>0</v>
      </c>
      <c r="F52" s="431">
        <f t="shared" si="12"/>
        <v>49001.72</v>
      </c>
      <c r="G52" s="467">
        <f t="shared" si="13"/>
        <v>1</v>
      </c>
      <c r="H52" s="467">
        <f t="shared" si="13"/>
        <v>1</v>
      </c>
      <c r="I52" s="431">
        <f t="shared" si="14"/>
        <v>49001.72</v>
      </c>
      <c r="K52" s="323">
        <v>49001.719999999987</v>
      </c>
      <c r="L52" s="467">
        <f t="shared" si="15"/>
        <v>1</v>
      </c>
      <c r="M52" s="467">
        <f t="shared" si="15"/>
        <v>1</v>
      </c>
      <c r="N52" s="431">
        <f t="shared" si="16"/>
        <v>49001.719999999987</v>
      </c>
    </row>
    <row r="53" spans="1:14">
      <c r="A53" s="863">
        <f t="shared" si="1"/>
        <v>39</v>
      </c>
      <c r="B53" s="1050">
        <v>36603</v>
      </c>
      <c r="C53" s="88" t="s">
        <v>1002</v>
      </c>
      <c r="D53" s="323">
        <v>60826.29</v>
      </c>
      <c r="E53" s="431">
        <v>0</v>
      </c>
      <c r="F53" s="431">
        <f t="shared" si="12"/>
        <v>60826.29</v>
      </c>
      <c r="G53" s="467">
        <f t="shared" si="13"/>
        <v>1</v>
      </c>
      <c r="H53" s="467">
        <f t="shared" si="13"/>
        <v>1</v>
      </c>
      <c r="I53" s="431">
        <f t="shared" si="14"/>
        <v>60826.29</v>
      </c>
      <c r="K53" s="323">
        <v>60826.290000000008</v>
      </c>
      <c r="L53" s="467">
        <f t="shared" si="15"/>
        <v>1</v>
      </c>
      <c r="M53" s="467">
        <f t="shared" si="15"/>
        <v>1</v>
      </c>
      <c r="N53" s="431">
        <f t="shared" si="16"/>
        <v>60826.290000000008</v>
      </c>
    </row>
    <row r="54" spans="1:14">
      <c r="A54" s="863">
        <f t="shared" si="1"/>
        <v>40</v>
      </c>
      <c r="B54" s="1050">
        <v>36700</v>
      </c>
      <c r="C54" s="88" t="s">
        <v>851</v>
      </c>
      <c r="D54" s="323">
        <v>158925.44</v>
      </c>
      <c r="E54" s="431">
        <v>0</v>
      </c>
      <c r="F54" s="431">
        <f t="shared" si="12"/>
        <v>158925.44</v>
      </c>
      <c r="G54" s="467">
        <f t="shared" si="13"/>
        <v>1</v>
      </c>
      <c r="H54" s="467">
        <f t="shared" si="13"/>
        <v>1</v>
      </c>
      <c r="I54" s="431">
        <f t="shared" si="14"/>
        <v>158925.44</v>
      </c>
      <c r="K54" s="323">
        <v>158925.43999999997</v>
      </c>
      <c r="L54" s="467">
        <f t="shared" si="15"/>
        <v>1</v>
      </c>
      <c r="M54" s="467">
        <f t="shared" si="15"/>
        <v>1</v>
      </c>
      <c r="N54" s="431">
        <f t="shared" si="16"/>
        <v>158925.43999999997</v>
      </c>
    </row>
    <row r="55" spans="1:14">
      <c r="A55" s="863">
        <f t="shared" si="1"/>
        <v>41</v>
      </c>
      <c r="B55" s="1050">
        <v>36701</v>
      </c>
      <c r="C55" s="88" t="s">
        <v>16</v>
      </c>
      <c r="D55" s="323">
        <v>27643441.630000003</v>
      </c>
      <c r="E55" s="431">
        <v>0</v>
      </c>
      <c r="F55" s="431">
        <f t="shared" si="12"/>
        <v>27643441.630000003</v>
      </c>
      <c r="G55" s="467">
        <f t="shared" si="13"/>
        <v>1</v>
      </c>
      <c r="H55" s="467">
        <f t="shared" si="13"/>
        <v>1</v>
      </c>
      <c r="I55" s="431">
        <f t="shared" si="14"/>
        <v>27643441.630000003</v>
      </c>
      <c r="K55" s="323">
        <v>27643441.629999999</v>
      </c>
      <c r="L55" s="467">
        <f t="shared" si="15"/>
        <v>1</v>
      </c>
      <c r="M55" s="467">
        <f t="shared" si="15"/>
        <v>1</v>
      </c>
      <c r="N55" s="431">
        <f t="shared" si="16"/>
        <v>27643441.629999999</v>
      </c>
    </row>
    <row r="56" spans="1:14">
      <c r="A56" s="863">
        <f t="shared" si="1"/>
        <v>42</v>
      </c>
      <c r="B56" s="1050">
        <v>36900</v>
      </c>
      <c r="C56" s="88" t="s">
        <v>1003</v>
      </c>
      <c r="D56" s="323">
        <v>731466.64</v>
      </c>
      <c r="E56" s="431">
        <v>0</v>
      </c>
      <c r="F56" s="431">
        <f t="shared" si="12"/>
        <v>731466.64</v>
      </c>
      <c r="G56" s="467">
        <f t="shared" si="13"/>
        <v>1</v>
      </c>
      <c r="H56" s="467">
        <f t="shared" si="13"/>
        <v>1</v>
      </c>
      <c r="I56" s="431">
        <f t="shared" si="14"/>
        <v>731466.64</v>
      </c>
      <c r="K56" s="323">
        <v>731466.6399999999</v>
      </c>
      <c r="L56" s="467">
        <f t="shared" si="15"/>
        <v>1</v>
      </c>
      <c r="M56" s="467">
        <f t="shared" si="15"/>
        <v>1</v>
      </c>
      <c r="N56" s="431">
        <f t="shared" si="16"/>
        <v>731466.6399999999</v>
      </c>
    </row>
    <row r="57" spans="1:14">
      <c r="A57" s="863">
        <f t="shared" si="1"/>
        <v>43</v>
      </c>
      <c r="B57" s="1050">
        <v>36901</v>
      </c>
      <c r="C57" s="88" t="s">
        <v>1003</v>
      </c>
      <c r="D57" s="323">
        <v>2269555.91</v>
      </c>
      <c r="E57" s="1054">
        <v>0</v>
      </c>
      <c r="F57" s="1054">
        <f t="shared" si="12"/>
        <v>2269555.91</v>
      </c>
      <c r="G57" s="467">
        <f t="shared" si="13"/>
        <v>1</v>
      </c>
      <c r="H57" s="467">
        <f t="shared" si="13"/>
        <v>1</v>
      </c>
      <c r="I57" s="1054">
        <f t="shared" si="14"/>
        <v>2269555.91</v>
      </c>
      <c r="K57" s="323">
        <v>2269555.91</v>
      </c>
      <c r="L57" s="467">
        <f t="shared" si="15"/>
        <v>1</v>
      </c>
      <c r="M57" s="467">
        <f t="shared" si="15"/>
        <v>1</v>
      </c>
      <c r="N57" s="1054">
        <f t="shared" si="16"/>
        <v>2269555.91</v>
      </c>
    </row>
    <row r="58" spans="1:14">
      <c r="A58" s="863">
        <f t="shared" si="1"/>
        <v>44</v>
      </c>
      <c r="B58" s="1052"/>
      <c r="C58" s="88"/>
      <c r="D58" s="621"/>
      <c r="G58" s="467"/>
      <c r="H58" s="467"/>
      <c r="K58" s="621"/>
    </row>
    <row r="59" spans="1:14">
      <c r="A59" s="863">
        <f t="shared" si="1"/>
        <v>45</v>
      </c>
      <c r="B59" s="1052"/>
      <c r="C59" s="88" t="s">
        <v>1372</v>
      </c>
      <c r="D59" s="361">
        <f>SUM(D50:D58)</f>
        <v>31807960.000000004</v>
      </c>
      <c r="E59" s="347">
        <f>SUM(E50:E58)</f>
        <v>0</v>
      </c>
      <c r="F59" s="361">
        <f>SUM(F50:F58)</f>
        <v>31807960.000000004</v>
      </c>
      <c r="G59" s="467"/>
      <c r="H59" s="467"/>
      <c r="I59" s="361">
        <f>SUM(I50:I58)</f>
        <v>31807960.000000004</v>
      </c>
      <c r="K59" s="361">
        <f>SUM(K50:K58)</f>
        <v>31807960</v>
      </c>
      <c r="N59" s="361">
        <f>SUM(N50:N58)</f>
        <v>31807960</v>
      </c>
    </row>
    <row r="60" spans="1:14">
      <c r="A60" s="863">
        <f t="shared" si="1"/>
        <v>46</v>
      </c>
      <c r="B60" s="1052"/>
      <c r="C60" s="81"/>
      <c r="G60" s="467"/>
      <c r="H60" s="467"/>
    </row>
    <row r="61" spans="1:14">
      <c r="A61" s="863">
        <f t="shared" si="1"/>
        <v>47</v>
      </c>
      <c r="B61" s="1052"/>
      <c r="C61" s="622" t="s">
        <v>303</v>
      </c>
      <c r="G61" s="467"/>
      <c r="H61" s="467"/>
    </row>
    <row r="62" spans="1:14">
      <c r="A62" s="863">
        <f t="shared" si="1"/>
        <v>48</v>
      </c>
      <c r="B62" s="1050">
        <v>37400</v>
      </c>
      <c r="C62" s="88" t="s">
        <v>1157</v>
      </c>
      <c r="D62" s="323">
        <v>531166.79</v>
      </c>
      <c r="E62" s="1051">
        <v>0</v>
      </c>
      <c r="F62" s="1051">
        <f t="shared" ref="F62:F81" si="17">D62+E62</f>
        <v>531166.79</v>
      </c>
      <c r="G62" s="467">
        <f t="shared" ref="G62:H81" si="18">$G$16</f>
        <v>1</v>
      </c>
      <c r="H62" s="467">
        <f t="shared" si="18"/>
        <v>1</v>
      </c>
      <c r="I62" s="361">
        <f t="shared" ref="I62:I81" si="19">F62*G62*H62</f>
        <v>531166.79</v>
      </c>
      <c r="K62" s="323">
        <v>531166.79</v>
      </c>
      <c r="L62" s="467">
        <f t="shared" ref="L62:M81" si="20">$G$16</f>
        <v>1</v>
      </c>
      <c r="M62" s="467">
        <f t="shared" si="20"/>
        <v>1</v>
      </c>
      <c r="N62" s="1051">
        <f t="shared" ref="N62:N81" si="21">K62*L62*M62</f>
        <v>531166.79</v>
      </c>
    </row>
    <row r="63" spans="1:14">
      <c r="A63" s="863">
        <f t="shared" si="1"/>
        <v>49</v>
      </c>
      <c r="B63" s="1050">
        <v>37401</v>
      </c>
      <c r="C63" s="88" t="s">
        <v>296</v>
      </c>
      <c r="D63" s="323">
        <v>37326.42</v>
      </c>
      <c r="E63" s="431">
        <v>0</v>
      </c>
      <c r="F63" s="431">
        <f t="shared" si="17"/>
        <v>37326.42</v>
      </c>
      <c r="G63" s="467">
        <f t="shared" si="18"/>
        <v>1</v>
      </c>
      <c r="H63" s="467">
        <f t="shared" si="18"/>
        <v>1</v>
      </c>
      <c r="I63" s="431">
        <f t="shared" si="19"/>
        <v>37326.42</v>
      </c>
      <c r="K63" s="323">
        <v>37326.419999999991</v>
      </c>
      <c r="L63" s="467">
        <f t="shared" si="20"/>
        <v>1</v>
      </c>
      <c r="M63" s="467">
        <f t="shared" si="20"/>
        <v>1</v>
      </c>
      <c r="N63" s="431">
        <f t="shared" si="21"/>
        <v>37326.419999999991</v>
      </c>
    </row>
    <row r="64" spans="1:14">
      <c r="A64" s="863">
        <f t="shared" si="1"/>
        <v>50</v>
      </c>
      <c r="B64" s="1050">
        <v>37402</v>
      </c>
      <c r="C64" s="88" t="s">
        <v>1007</v>
      </c>
      <c r="D64" s="323">
        <v>3457724.3248630208</v>
      </c>
      <c r="E64" s="431">
        <v>0</v>
      </c>
      <c r="F64" s="431">
        <f t="shared" si="17"/>
        <v>3457724.3248630208</v>
      </c>
      <c r="G64" s="467">
        <f t="shared" si="18"/>
        <v>1</v>
      </c>
      <c r="H64" s="467">
        <f t="shared" si="18"/>
        <v>1</v>
      </c>
      <c r="I64" s="431">
        <f t="shared" si="19"/>
        <v>3457724.3248630208</v>
      </c>
      <c r="K64" s="323">
        <v>3231772.0035037072</v>
      </c>
      <c r="L64" s="467">
        <f t="shared" si="20"/>
        <v>1</v>
      </c>
      <c r="M64" s="467">
        <f t="shared" si="20"/>
        <v>1</v>
      </c>
      <c r="N64" s="431">
        <f t="shared" si="21"/>
        <v>3231772.0035037072</v>
      </c>
    </row>
    <row r="65" spans="1:14">
      <c r="A65" s="863">
        <f t="shared" si="1"/>
        <v>51</v>
      </c>
      <c r="B65" s="1050">
        <v>37403</v>
      </c>
      <c r="C65" s="88" t="s">
        <v>1004</v>
      </c>
      <c r="D65" s="323">
        <v>2783.89</v>
      </c>
      <c r="E65" s="431">
        <v>0</v>
      </c>
      <c r="F65" s="431">
        <f t="shared" si="17"/>
        <v>2783.89</v>
      </c>
      <c r="G65" s="467">
        <f t="shared" si="18"/>
        <v>1</v>
      </c>
      <c r="H65" s="467">
        <f t="shared" si="18"/>
        <v>1</v>
      </c>
      <c r="I65" s="431">
        <f t="shared" si="19"/>
        <v>2783.89</v>
      </c>
      <c r="K65" s="323">
        <v>2783.89</v>
      </c>
      <c r="L65" s="467">
        <f t="shared" si="20"/>
        <v>1</v>
      </c>
      <c r="M65" s="467">
        <f t="shared" si="20"/>
        <v>1</v>
      </c>
      <c r="N65" s="431">
        <f t="shared" si="21"/>
        <v>2783.89</v>
      </c>
    </row>
    <row r="66" spans="1:14">
      <c r="A66" s="863">
        <f t="shared" si="1"/>
        <v>52</v>
      </c>
      <c r="B66" s="1050">
        <v>37500</v>
      </c>
      <c r="C66" s="88" t="s">
        <v>863</v>
      </c>
      <c r="D66" s="323">
        <v>336167.54</v>
      </c>
      <c r="E66" s="431">
        <v>0</v>
      </c>
      <c r="F66" s="431">
        <f t="shared" si="17"/>
        <v>336167.54</v>
      </c>
      <c r="G66" s="467">
        <f t="shared" si="18"/>
        <v>1</v>
      </c>
      <c r="H66" s="467">
        <f t="shared" si="18"/>
        <v>1</v>
      </c>
      <c r="I66" s="431">
        <f t="shared" si="19"/>
        <v>336167.54</v>
      </c>
      <c r="K66" s="323">
        <v>336167.54</v>
      </c>
      <c r="L66" s="467">
        <f t="shared" si="20"/>
        <v>1</v>
      </c>
      <c r="M66" s="467">
        <f t="shared" si="20"/>
        <v>1</v>
      </c>
      <c r="N66" s="431">
        <f t="shared" si="21"/>
        <v>336167.54</v>
      </c>
    </row>
    <row r="67" spans="1:14">
      <c r="A67" s="863">
        <f t="shared" si="1"/>
        <v>53</v>
      </c>
      <c r="B67" s="1050">
        <v>37501</v>
      </c>
      <c r="C67" s="88" t="s">
        <v>1005</v>
      </c>
      <c r="D67" s="323">
        <v>99818.13</v>
      </c>
      <c r="E67" s="431">
        <v>0</v>
      </c>
      <c r="F67" s="431">
        <f t="shared" si="17"/>
        <v>99818.13</v>
      </c>
      <c r="G67" s="467">
        <f t="shared" si="18"/>
        <v>1</v>
      </c>
      <c r="H67" s="467">
        <f t="shared" si="18"/>
        <v>1</v>
      </c>
      <c r="I67" s="431">
        <f t="shared" si="19"/>
        <v>99818.13</v>
      </c>
      <c r="K67" s="323">
        <v>99818.12999999999</v>
      </c>
      <c r="L67" s="467">
        <f t="shared" si="20"/>
        <v>1</v>
      </c>
      <c r="M67" s="467">
        <f t="shared" si="20"/>
        <v>1</v>
      </c>
      <c r="N67" s="431">
        <f t="shared" si="21"/>
        <v>99818.12999999999</v>
      </c>
    </row>
    <row r="68" spans="1:14">
      <c r="A68" s="863">
        <f t="shared" si="1"/>
        <v>54</v>
      </c>
      <c r="B68" s="1050">
        <v>37502</v>
      </c>
      <c r="C68" s="88" t="s">
        <v>1007</v>
      </c>
      <c r="D68" s="323">
        <v>46264.19</v>
      </c>
      <c r="E68" s="431">
        <v>0</v>
      </c>
      <c r="F68" s="431">
        <f t="shared" si="17"/>
        <v>46264.19</v>
      </c>
      <c r="G68" s="467">
        <f t="shared" si="18"/>
        <v>1</v>
      </c>
      <c r="H68" s="467">
        <f t="shared" si="18"/>
        <v>1</v>
      </c>
      <c r="I68" s="431">
        <f t="shared" si="19"/>
        <v>46264.19</v>
      </c>
      <c r="K68" s="323">
        <v>46264.189999999995</v>
      </c>
      <c r="L68" s="467">
        <f t="shared" si="20"/>
        <v>1</v>
      </c>
      <c r="M68" s="467">
        <f t="shared" si="20"/>
        <v>1</v>
      </c>
      <c r="N68" s="431">
        <f t="shared" si="21"/>
        <v>46264.189999999995</v>
      </c>
    </row>
    <row r="69" spans="1:14">
      <c r="A69" s="863">
        <f t="shared" si="1"/>
        <v>55</v>
      </c>
      <c r="B69" s="1050">
        <v>37503</v>
      </c>
      <c r="C69" s="88" t="s">
        <v>1006</v>
      </c>
      <c r="D69" s="323">
        <v>4005.08</v>
      </c>
      <c r="E69" s="431">
        <v>0</v>
      </c>
      <c r="F69" s="431">
        <f t="shared" si="17"/>
        <v>4005.08</v>
      </c>
      <c r="G69" s="467">
        <f t="shared" si="18"/>
        <v>1</v>
      </c>
      <c r="H69" s="467">
        <f t="shared" si="18"/>
        <v>1</v>
      </c>
      <c r="I69" s="431">
        <f t="shared" si="19"/>
        <v>4005.08</v>
      </c>
      <c r="K69" s="323">
        <v>4005.0800000000013</v>
      </c>
      <c r="L69" s="467">
        <f t="shared" si="20"/>
        <v>1</v>
      </c>
      <c r="M69" s="467">
        <f t="shared" si="20"/>
        <v>1</v>
      </c>
      <c r="N69" s="431">
        <f t="shared" si="21"/>
        <v>4005.0800000000013</v>
      </c>
    </row>
    <row r="70" spans="1:14">
      <c r="A70" s="863">
        <f t="shared" si="1"/>
        <v>56</v>
      </c>
      <c r="B70" s="1050">
        <v>37600</v>
      </c>
      <c r="C70" s="88" t="s">
        <v>851</v>
      </c>
      <c r="D70" s="323">
        <v>20655335.585649919</v>
      </c>
      <c r="E70" s="431">
        <v>0</v>
      </c>
      <c r="F70" s="431">
        <f t="shared" si="17"/>
        <v>20655335.585649919</v>
      </c>
      <c r="G70" s="467">
        <f t="shared" si="18"/>
        <v>1</v>
      </c>
      <c r="H70" s="467">
        <f t="shared" si="18"/>
        <v>1</v>
      </c>
      <c r="I70" s="431">
        <f t="shared" si="19"/>
        <v>20655335.585649919</v>
      </c>
      <c r="K70" s="323">
        <v>20712559.000218406</v>
      </c>
      <c r="L70" s="467">
        <f t="shared" si="20"/>
        <v>1</v>
      </c>
      <c r="M70" s="467">
        <f t="shared" si="20"/>
        <v>1</v>
      </c>
      <c r="N70" s="431">
        <f t="shared" si="21"/>
        <v>20712559.000218406</v>
      </c>
    </row>
    <row r="71" spans="1:14">
      <c r="A71" s="863">
        <f t="shared" si="1"/>
        <v>57</v>
      </c>
      <c r="B71" s="1050">
        <v>37601</v>
      </c>
      <c r="C71" s="88" t="s">
        <v>16</v>
      </c>
      <c r="D71" s="323">
        <v>140873358.22486562</v>
      </c>
      <c r="E71" s="431">
        <v>0</v>
      </c>
      <c r="F71" s="431">
        <f t="shared" si="17"/>
        <v>140873358.22486562</v>
      </c>
      <c r="G71" s="467">
        <f t="shared" si="18"/>
        <v>1</v>
      </c>
      <c r="H71" s="467">
        <f t="shared" si="18"/>
        <v>1</v>
      </c>
      <c r="I71" s="431">
        <f t="shared" si="19"/>
        <v>140873358.22486562</v>
      </c>
      <c r="K71" s="323">
        <v>140488694.34852239</v>
      </c>
      <c r="L71" s="467">
        <f t="shared" si="20"/>
        <v>1</v>
      </c>
      <c r="M71" s="467">
        <f t="shared" si="20"/>
        <v>1</v>
      </c>
      <c r="N71" s="431">
        <f t="shared" si="21"/>
        <v>140488694.34852239</v>
      </c>
    </row>
    <row r="72" spans="1:14">
      <c r="A72" s="863">
        <f t="shared" si="1"/>
        <v>58</v>
      </c>
      <c r="B72" s="1050">
        <v>37602</v>
      </c>
      <c r="C72" s="88" t="s">
        <v>852</v>
      </c>
      <c r="D72" s="323">
        <v>132616481.80944051</v>
      </c>
      <c r="E72" s="431">
        <v>0</v>
      </c>
      <c r="F72" s="431">
        <f t="shared" si="17"/>
        <v>132616481.80944051</v>
      </c>
      <c r="G72" s="467">
        <f t="shared" si="18"/>
        <v>1</v>
      </c>
      <c r="H72" s="467">
        <f t="shared" si="18"/>
        <v>1</v>
      </c>
      <c r="I72" s="431">
        <f t="shared" si="19"/>
        <v>132616481.80944051</v>
      </c>
      <c r="K72" s="323">
        <v>125040068.23160912</v>
      </c>
      <c r="L72" s="467">
        <f t="shared" si="20"/>
        <v>1</v>
      </c>
      <c r="M72" s="467">
        <f t="shared" si="20"/>
        <v>1</v>
      </c>
      <c r="N72" s="431">
        <f t="shared" si="21"/>
        <v>125040068.23160912</v>
      </c>
    </row>
    <row r="73" spans="1:14">
      <c r="A73" s="863">
        <f t="shared" si="1"/>
        <v>59</v>
      </c>
      <c r="B73" s="1050">
        <v>37800</v>
      </c>
      <c r="C73" s="88" t="s">
        <v>230</v>
      </c>
      <c r="D73" s="323">
        <v>14728715.633485029</v>
      </c>
      <c r="E73" s="431">
        <v>0</v>
      </c>
      <c r="F73" s="431">
        <f t="shared" si="17"/>
        <v>14728715.633485029</v>
      </c>
      <c r="G73" s="467">
        <f t="shared" si="18"/>
        <v>1</v>
      </c>
      <c r="H73" s="467">
        <f t="shared" si="18"/>
        <v>1</v>
      </c>
      <c r="I73" s="431">
        <f t="shared" si="19"/>
        <v>14728715.633485029</v>
      </c>
      <c r="K73" s="323">
        <v>13616672.591601254</v>
      </c>
      <c r="L73" s="467">
        <f t="shared" si="20"/>
        <v>1</v>
      </c>
      <c r="M73" s="467">
        <f t="shared" si="20"/>
        <v>1</v>
      </c>
      <c r="N73" s="431">
        <f t="shared" si="21"/>
        <v>13616672.591601254</v>
      </c>
    </row>
    <row r="74" spans="1:14">
      <c r="A74" s="863">
        <f t="shared" si="1"/>
        <v>60</v>
      </c>
      <c r="B74" s="1050">
        <v>37900</v>
      </c>
      <c r="C74" s="88" t="s">
        <v>1200</v>
      </c>
      <c r="D74" s="323">
        <v>5300150.4771533329</v>
      </c>
      <c r="E74" s="431">
        <v>0</v>
      </c>
      <c r="F74" s="431">
        <f t="shared" si="17"/>
        <v>5300150.4771533329</v>
      </c>
      <c r="G74" s="467">
        <f t="shared" si="18"/>
        <v>1</v>
      </c>
      <c r="H74" s="467">
        <f t="shared" si="18"/>
        <v>1</v>
      </c>
      <c r="I74" s="431">
        <f t="shared" si="19"/>
        <v>5300150.4771533329</v>
      </c>
      <c r="K74" s="323">
        <v>5018152.1710744491</v>
      </c>
      <c r="L74" s="467">
        <f t="shared" si="20"/>
        <v>1</v>
      </c>
      <c r="M74" s="467">
        <f t="shared" si="20"/>
        <v>1</v>
      </c>
      <c r="N74" s="431">
        <f t="shared" si="21"/>
        <v>5018152.1710744491</v>
      </c>
    </row>
    <row r="75" spans="1:14">
      <c r="A75" s="863">
        <f t="shared" si="1"/>
        <v>61</v>
      </c>
      <c r="B75" s="1050">
        <v>37905</v>
      </c>
      <c r="C75" s="88" t="s">
        <v>732</v>
      </c>
      <c r="D75" s="323">
        <v>3114224.8509158269</v>
      </c>
      <c r="E75" s="431">
        <v>0</v>
      </c>
      <c r="F75" s="431">
        <f t="shared" si="17"/>
        <v>3114224.8509158269</v>
      </c>
      <c r="G75" s="467">
        <f t="shared" si="18"/>
        <v>1</v>
      </c>
      <c r="H75" s="467">
        <f t="shared" si="18"/>
        <v>1</v>
      </c>
      <c r="I75" s="431">
        <f t="shared" si="19"/>
        <v>3114224.8509158269</v>
      </c>
      <c r="K75" s="323">
        <v>2811184.1186289769</v>
      </c>
      <c r="L75" s="467">
        <f t="shared" si="20"/>
        <v>1</v>
      </c>
      <c r="M75" s="467">
        <f t="shared" si="20"/>
        <v>1</v>
      </c>
      <c r="N75" s="431">
        <f t="shared" si="21"/>
        <v>2811184.1186289769</v>
      </c>
    </row>
    <row r="76" spans="1:14">
      <c r="A76" s="863">
        <f t="shared" si="1"/>
        <v>62</v>
      </c>
      <c r="B76" s="1050">
        <v>38000</v>
      </c>
      <c r="C76" s="88" t="s">
        <v>1061</v>
      </c>
      <c r="D76" s="323">
        <v>146513248.83287457</v>
      </c>
      <c r="E76" s="431">
        <v>0</v>
      </c>
      <c r="F76" s="431">
        <f t="shared" si="17"/>
        <v>146513248.83287457</v>
      </c>
      <c r="G76" s="467">
        <f t="shared" si="18"/>
        <v>1</v>
      </c>
      <c r="H76" s="467">
        <f t="shared" si="18"/>
        <v>1</v>
      </c>
      <c r="I76" s="431">
        <f t="shared" si="19"/>
        <v>146513248.83287457</v>
      </c>
      <c r="K76" s="323">
        <v>139868620.0155507</v>
      </c>
      <c r="L76" s="467">
        <f t="shared" si="20"/>
        <v>1</v>
      </c>
      <c r="M76" s="467">
        <f t="shared" si="20"/>
        <v>1</v>
      </c>
      <c r="N76" s="431">
        <f t="shared" si="21"/>
        <v>139868620.0155507</v>
      </c>
    </row>
    <row r="77" spans="1:14">
      <c r="A77" s="863">
        <f t="shared" si="1"/>
        <v>63</v>
      </c>
      <c r="B77" s="1050">
        <v>38100</v>
      </c>
      <c r="C77" s="88" t="s">
        <v>853</v>
      </c>
      <c r="D77" s="323">
        <v>44941089.768012822</v>
      </c>
      <c r="E77" s="431">
        <v>0</v>
      </c>
      <c r="F77" s="431">
        <f t="shared" si="17"/>
        <v>44941089.768012822</v>
      </c>
      <c r="G77" s="467">
        <f t="shared" si="18"/>
        <v>1</v>
      </c>
      <c r="H77" s="467">
        <f t="shared" si="18"/>
        <v>1</v>
      </c>
      <c r="I77" s="431">
        <f t="shared" si="19"/>
        <v>44941089.768012822</v>
      </c>
      <c r="K77" s="323">
        <v>41724894.701585218</v>
      </c>
      <c r="L77" s="467">
        <f t="shared" si="20"/>
        <v>1</v>
      </c>
      <c r="M77" s="467">
        <f t="shared" si="20"/>
        <v>1</v>
      </c>
      <c r="N77" s="431">
        <f t="shared" si="21"/>
        <v>41724894.701585218</v>
      </c>
    </row>
    <row r="78" spans="1:14">
      <c r="A78" s="863">
        <f t="shared" si="1"/>
        <v>64</v>
      </c>
      <c r="B78" s="1050">
        <v>38200</v>
      </c>
      <c r="C78" s="88" t="s">
        <v>447</v>
      </c>
      <c r="D78" s="323">
        <v>57452858.863692269</v>
      </c>
      <c r="E78" s="431">
        <v>0</v>
      </c>
      <c r="F78" s="431">
        <f t="shared" si="17"/>
        <v>57452858.863692269</v>
      </c>
      <c r="G78" s="467">
        <f t="shared" si="18"/>
        <v>1</v>
      </c>
      <c r="H78" s="467">
        <f t="shared" si="18"/>
        <v>1</v>
      </c>
      <c r="I78" s="431">
        <f t="shared" si="19"/>
        <v>57452858.863692269</v>
      </c>
      <c r="K78" s="323">
        <v>56980787.1217167</v>
      </c>
      <c r="L78" s="467">
        <f t="shared" si="20"/>
        <v>1</v>
      </c>
      <c r="M78" s="467">
        <f t="shared" si="20"/>
        <v>1</v>
      </c>
      <c r="N78" s="431">
        <f t="shared" si="21"/>
        <v>56980787.1217167</v>
      </c>
    </row>
    <row r="79" spans="1:14">
      <c r="A79" s="863">
        <f t="shared" si="1"/>
        <v>65</v>
      </c>
      <c r="B79" s="1050">
        <v>38300</v>
      </c>
      <c r="C79" s="88" t="s">
        <v>1062</v>
      </c>
      <c r="D79" s="323">
        <v>12010719.680952335</v>
      </c>
      <c r="E79" s="431">
        <v>0</v>
      </c>
      <c r="F79" s="431">
        <f t="shared" si="17"/>
        <v>12010719.680952335</v>
      </c>
      <c r="G79" s="467">
        <f t="shared" si="18"/>
        <v>1</v>
      </c>
      <c r="H79" s="467">
        <f t="shared" si="18"/>
        <v>1</v>
      </c>
      <c r="I79" s="431">
        <f t="shared" si="19"/>
        <v>12010719.680952335</v>
      </c>
      <c r="K79" s="323">
        <v>11717794.277451711</v>
      </c>
      <c r="L79" s="467">
        <f t="shared" si="20"/>
        <v>1</v>
      </c>
      <c r="M79" s="467">
        <f t="shared" si="20"/>
        <v>1</v>
      </c>
      <c r="N79" s="431">
        <f t="shared" si="21"/>
        <v>11717794.277451711</v>
      </c>
    </row>
    <row r="80" spans="1:14">
      <c r="A80" s="863">
        <f t="shared" si="1"/>
        <v>66</v>
      </c>
      <c r="B80" s="1050">
        <v>38400</v>
      </c>
      <c r="C80" s="88" t="s">
        <v>448</v>
      </c>
      <c r="D80" s="323">
        <v>263603.40132685943</v>
      </c>
      <c r="E80" s="431">
        <v>0</v>
      </c>
      <c r="F80" s="431">
        <f t="shared" si="17"/>
        <v>263603.40132685943</v>
      </c>
      <c r="G80" s="467">
        <f t="shared" si="18"/>
        <v>1</v>
      </c>
      <c r="H80" s="467">
        <f t="shared" si="18"/>
        <v>1</v>
      </c>
      <c r="I80" s="431">
        <f t="shared" si="19"/>
        <v>263603.40132685943</v>
      </c>
      <c r="K80" s="323">
        <v>249551.83348966861</v>
      </c>
      <c r="L80" s="467">
        <f t="shared" si="20"/>
        <v>1</v>
      </c>
      <c r="M80" s="467">
        <f t="shared" si="20"/>
        <v>1</v>
      </c>
      <c r="N80" s="431">
        <f t="shared" si="21"/>
        <v>249551.83348966861</v>
      </c>
    </row>
    <row r="81" spans="1:14">
      <c r="A81" s="863">
        <f t="shared" ref="A81:A149" si="22">A80+1</f>
        <v>67</v>
      </c>
      <c r="B81" s="1050">
        <v>38500</v>
      </c>
      <c r="C81" s="88" t="s">
        <v>449</v>
      </c>
      <c r="D81" s="323">
        <v>5259207.65656331</v>
      </c>
      <c r="E81" s="431">
        <v>0</v>
      </c>
      <c r="F81" s="431">
        <f t="shared" si="17"/>
        <v>5259207.65656331</v>
      </c>
      <c r="G81" s="467">
        <f t="shared" si="18"/>
        <v>1</v>
      </c>
      <c r="H81" s="467">
        <f t="shared" si="18"/>
        <v>1</v>
      </c>
      <c r="I81" s="431">
        <f t="shared" si="19"/>
        <v>5259207.65656331</v>
      </c>
      <c r="K81" s="323">
        <v>5237632.693020015</v>
      </c>
      <c r="L81" s="467">
        <f t="shared" si="20"/>
        <v>1</v>
      </c>
      <c r="M81" s="467">
        <f t="shared" si="20"/>
        <v>1</v>
      </c>
      <c r="N81" s="431">
        <f t="shared" si="21"/>
        <v>5237632.693020015</v>
      </c>
    </row>
    <row r="82" spans="1:14">
      <c r="A82" s="863">
        <f t="shared" si="22"/>
        <v>68</v>
      </c>
      <c r="B82" s="1052"/>
      <c r="C82" s="88"/>
      <c r="D82" s="621"/>
      <c r="E82" s="621"/>
      <c r="F82" s="621"/>
      <c r="G82" s="467"/>
      <c r="H82" s="467"/>
      <c r="I82" s="621"/>
      <c r="K82" s="621"/>
      <c r="N82" s="621"/>
    </row>
    <row r="83" spans="1:14">
      <c r="A83" s="863">
        <f t="shared" si="22"/>
        <v>69</v>
      </c>
      <c r="B83" s="1052"/>
      <c r="C83" s="88" t="s">
        <v>304</v>
      </c>
      <c r="D83" s="361">
        <f>SUM(D62:D82)</f>
        <v>588244251.14979541</v>
      </c>
      <c r="E83" s="347">
        <f>SUM(E62:E82)</f>
        <v>0</v>
      </c>
      <c r="F83" s="361">
        <f>SUM(F62:F82)</f>
        <v>588244251.14979541</v>
      </c>
      <c r="G83" s="467"/>
      <c r="H83" s="467"/>
      <c r="I83" s="361">
        <f>SUM(I62:I82)</f>
        <v>588244251.14979541</v>
      </c>
      <c r="K83" s="361">
        <f>SUM(K62:K82)</f>
        <v>567755915.14797235</v>
      </c>
      <c r="N83" s="361">
        <f>SUM(N62:N82)</f>
        <v>567755915.14797235</v>
      </c>
    </row>
    <row r="84" spans="1:14">
      <c r="A84" s="863">
        <f t="shared" si="22"/>
        <v>70</v>
      </c>
      <c r="B84" s="1052"/>
      <c r="C84" s="88"/>
      <c r="G84" s="467"/>
      <c r="H84" s="467"/>
    </row>
    <row r="85" spans="1:14">
      <c r="A85" s="863">
        <f t="shared" si="22"/>
        <v>71</v>
      </c>
      <c r="B85" s="1052"/>
      <c r="C85" s="622" t="s">
        <v>305</v>
      </c>
      <c r="G85" s="467"/>
      <c r="H85" s="467"/>
    </row>
    <row r="86" spans="1:14">
      <c r="A86" s="863">
        <f t="shared" si="22"/>
        <v>72</v>
      </c>
      <c r="B86" s="1050">
        <v>38900</v>
      </c>
      <c r="C86" s="88" t="s">
        <v>1157</v>
      </c>
      <c r="D86" s="323">
        <v>1211697.3</v>
      </c>
      <c r="E86" s="1051">
        <v>0</v>
      </c>
      <c r="F86" s="1051">
        <f t="shared" ref="F86:F110" si="23">D86+E86</f>
        <v>1211697.3</v>
      </c>
      <c r="G86" s="467">
        <f t="shared" ref="G86:H101" si="24">$G$16</f>
        <v>1</v>
      </c>
      <c r="H86" s="467">
        <f t="shared" si="24"/>
        <v>1</v>
      </c>
      <c r="I86" s="361">
        <f t="shared" ref="I86:I110" si="25">F86*G86*H86</f>
        <v>1211697.3</v>
      </c>
      <c r="K86" s="323">
        <v>1211697.3000000003</v>
      </c>
      <c r="L86" s="467">
        <f>$G$16</f>
        <v>1</v>
      </c>
      <c r="M86" s="467">
        <f>$G$16</f>
        <v>1</v>
      </c>
      <c r="N86" s="1051">
        <f>K86*L86*M86</f>
        <v>1211697.3000000003</v>
      </c>
    </row>
    <row r="87" spans="1:14">
      <c r="A87" s="863">
        <f t="shared" si="22"/>
        <v>73</v>
      </c>
      <c r="B87" s="1050">
        <v>39000</v>
      </c>
      <c r="C87" s="88" t="s">
        <v>863</v>
      </c>
      <c r="D87" s="323">
        <v>7149908.6553839436</v>
      </c>
      <c r="E87" s="431">
        <v>0</v>
      </c>
      <c r="F87" s="431">
        <f t="shared" si="23"/>
        <v>7149908.6553839436</v>
      </c>
      <c r="G87" s="467">
        <f t="shared" si="24"/>
        <v>1</v>
      </c>
      <c r="H87" s="467">
        <f t="shared" si="24"/>
        <v>1</v>
      </c>
      <c r="I87" s="431">
        <f t="shared" si="25"/>
        <v>7149908.6553839436</v>
      </c>
      <c r="K87" s="323">
        <v>7148202.0262166616</v>
      </c>
      <c r="L87" s="467">
        <f>$G$16</f>
        <v>1</v>
      </c>
      <c r="M87" s="467">
        <f>$G$16</f>
        <v>1</v>
      </c>
      <c r="N87" s="431">
        <f t="shared" ref="N87:N110" si="26">K87*L87*M87</f>
        <v>7148202.0262166616</v>
      </c>
    </row>
    <row r="88" spans="1:14">
      <c r="A88" s="863">
        <f t="shared" si="22"/>
        <v>74</v>
      </c>
      <c r="B88" s="1050">
        <v>39002</v>
      </c>
      <c r="C88" s="88" t="s">
        <v>754</v>
      </c>
      <c r="D88" s="323">
        <v>173114.85</v>
      </c>
      <c r="E88" s="431">
        <v>0</v>
      </c>
      <c r="F88" s="431">
        <f t="shared" si="23"/>
        <v>173114.85</v>
      </c>
      <c r="G88" s="467">
        <f t="shared" si="24"/>
        <v>1</v>
      </c>
      <c r="H88" s="467">
        <f t="shared" si="24"/>
        <v>1</v>
      </c>
      <c r="I88" s="431">
        <f t="shared" si="25"/>
        <v>173114.85</v>
      </c>
      <c r="K88" s="323">
        <v>173114.85000000003</v>
      </c>
      <c r="L88" s="467">
        <f t="shared" ref="L88:M103" si="27">$G$16</f>
        <v>1</v>
      </c>
      <c r="M88" s="467">
        <f t="shared" si="27"/>
        <v>1</v>
      </c>
      <c r="N88" s="431">
        <f t="shared" si="26"/>
        <v>173114.85000000003</v>
      </c>
    </row>
    <row r="89" spans="1:14">
      <c r="A89" s="863">
        <f t="shared" si="22"/>
        <v>75</v>
      </c>
      <c r="B89" s="1050">
        <v>39003</v>
      </c>
      <c r="C89" s="88" t="s">
        <v>1006</v>
      </c>
      <c r="D89" s="323">
        <v>709199.18</v>
      </c>
      <c r="E89" s="431">
        <v>0</v>
      </c>
      <c r="F89" s="431">
        <f t="shared" si="23"/>
        <v>709199.18</v>
      </c>
      <c r="G89" s="467">
        <f t="shared" si="24"/>
        <v>1</v>
      </c>
      <c r="H89" s="467">
        <f t="shared" si="24"/>
        <v>1</v>
      </c>
      <c r="I89" s="431">
        <f t="shared" si="25"/>
        <v>709199.18</v>
      </c>
      <c r="K89" s="323">
        <v>709199.17999999982</v>
      </c>
      <c r="L89" s="467">
        <f t="shared" si="27"/>
        <v>1</v>
      </c>
      <c r="M89" s="467">
        <f t="shared" si="27"/>
        <v>1</v>
      </c>
      <c r="N89" s="431">
        <f t="shared" si="26"/>
        <v>709199.17999999982</v>
      </c>
    </row>
    <row r="90" spans="1:14">
      <c r="A90" s="863">
        <f t="shared" si="22"/>
        <v>76</v>
      </c>
      <c r="B90" s="1050">
        <v>39004</v>
      </c>
      <c r="C90" s="88" t="s">
        <v>450</v>
      </c>
      <c r="D90" s="323">
        <v>12954.74</v>
      </c>
      <c r="E90" s="431">
        <v>0</v>
      </c>
      <c r="F90" s="431">
        <f t="shared" si="23"/>
        <v>12954.74</v>
      </c>
      <c r="G90" s="467">
        <f t="shared" si="24"/>
        <v>1</v>
      </c>
      <c r="H90" s="467">
        <f t="shared" si="24"/>
        <v>1</v>
      </c>
      <c r="I90" s="431">
        <f t="shared" si="25"/>
        <v>12954.74</v>
      </c>
      <c r="K90" s="323">
        <v>12954.74</v>
      </c>
      <c r="L90" s="467">
        <f t="shared" si="27"/>
        <v>1</v>
      </c>
      <c r="M90" s="467">
        <f t="shared" si="27"/>
        <v>1</v>
      </c>
      <c r="N90" s="431">
        <f t="shared" si="26"/>
        <v>12954.74</v>
      </c>
    </row>
    <row r="91" spans="1:14">
      <c r="A91" s="863">
        <f t="shared" si="22"/>
        <v>77</v>
      </c>
      <c r="B91" s="1050">
        <v>39009</v>
      </c>
      <c r="C91" s="88" t="s">
        <v>1045</v>
      </c>
      <c r="D91" s="323">
        <v>1246194.18</v>
      </c>
      <c r="E91" s="431">
        <v>0</v>
      </c>
      <c r="F91" s="431">
        <f t="shared" si="23"/>
        <v>1246194.18</v>
      </c>
      <c r="G91" s="467">
        <f t="shared" si="24"/>
        <v>1</v>
      </c>
      <c r="H91" s="467">
        <f t="shared" si="24"/>
        <v>1</v>
      </c>
      <c r="I91" s="431">
        <f t="shared" si="25"/>
        <v>1246194.18</v>
      </c>
      <c r="K91" s="323">
        <v>1246194.18</v>
      </c>
      <c r="L91" s="467">
        <f t="shared" si="27"/>
        <v>1</v>
      </c>
      <c r="M91" s="467">
        <f t="shared" si="27"/>
        <v>1</v>
      </c>
      <c r="N91" s="431">
        <f t="shared" si="26"/>
        <v>1246194.18</v>
      </c>
    </row>
    <row r="92" spans="1:14">
      <c r="A92" s="863">
        <f t="shared" si="22"/>
        <v>78</v>
      </c>
      <c r="B92" s="1050">
        <v>39100</v>
      </c>
      <c r="C92" s="88" t="s">
        <v>786</v>
      </c>
      <c r="D92" s="323">
        <v>1794619.1</v>
      </c>
      <c r="E92" s="431">
        <v>0</v>
      </c>
      <c r="F92" s="431">
        <f t="shared" si="23"/>
        <v>1794619.1</v>
      </c>
      <c r="G92" s="467">
        <f t="shared" si="24"/>
        <v>1</v>
      </c>
      <c r="H92" s="467">
        <f t="shared" si="24"/>
        <v>1</v>
      </c>
      <c r="I92" s="431">
        <f t="shared" si="25"/>
        <v>1794619.1</v>
      </c>
      <c r="K92" s="323">
        <v>1794619.1000000003</v>
      </c>
      <c r="L92" s="467">
        <f t="shared" si="27"/>
        <v>1</v>
      </c>
      <c r="M92" s="467">
        <f t="shared" si="27"/>
        <v>1</v>
      </c>
      <c r="N92" s="431">
        <f t="shared" si="26"/>
        <v>1794619.1000000003</v>
      </c>
    </row>
    <row r="93" spans="1:14">
      <c r="A93" s="863">
        <f t="shared" si="22"/>
        <v>79</v>
      </c>
      <c r="B93" s="1050">
        <v>39103</v>
      </c>
      <c r="C93" s="88" t="s">
        <v>787</v>
      </c>
      <c r="D93" s="323">
        <v>0</v>
      </c>
      <c r="E93" s="431">
        <v>0</v>
      </c>
      <c r="F93" s="431">
        <f t="shared" si="23"/>
        <v>0</v>
      </c>
      <c r="G93" s="467">
        <f t="shared" si="24"/>
        <v>1</v>
      </c>
      <c r="H93" s="467">
        <f t="shared" si="24"/>
        <v>1</v>
      </c>
      <c r="I93" s="431">
        <f t="shared" si="25"/>
        <v>0</v>
      </c>
      <c r="K93" s="323">
        <v>0</v>
      </c>
      <c r="L93" s="467">
        <f t="shared" si="27"/>
        <v>1</v>
      </c>
      <c r="M93" s="467">
        <f t="shared" si="27"/>
        <v>1</v>
      </c>
      <c r="N93" s="431">
        <f t="shared" si="26"/>
        <v>0</v>
      </c>
    </row>
    <row r="94" spans="1:14">
      <c r="A94" s="863">
        <f t="shared" si="22"/>
        <v>80</v>
      </c>
      <c r="B94" s="1050">
        <v>39200</v>
      </c>
      <c r="C94" s="88" t="s">
        <v>1085</v>
      </c>
      <c r="D94" s="323">
        <v>220986.90000000002</v>
      </c>
      <c r="E94" s="431">
        <v>0</v>
      </c>
      <c r="F94" s="431">
        <f t="shared" si="23"/>
        <v>220986.90000000002</v>
      </c>
      <c r="G94" s="467">
        <f t="shared" si="24"/>
        <v>1</v>
      </c>
      <c r="H94" s="467">
        <f t="shared" si="24"/>
        <v>1</v>
      </c>
      <c r="I94" s="431">
        <f t="shared" si="25"/>
        <v>220986.90000000002</v>
      </c>
      <c r="K94" s="323">
        <v>220986.89999999994</v>
      </c>
      <c r="L94" s="467">
        <f t="shared" si="27"/>
        <v>1</v>
      </c>
      <c r="M94" s="467">
        <f t="shared" si="27"/>
        <v>1</v>
      </c>
      <c r="N94" s="431">
        <f t="shared" si="26"/>
        <v>220986.89999999994</v>
      </c>
    </row>
    <row r="95" spans="1:14">
      <c r="A95" s="863">
        <f t="shared" si="22"/>
        <v>81</v>
      </c>
      <c r="B95" s="1050">
        <v>39202</v>
      </c>
      <c r="C95" s="88" t="s">
        <v>87</v>
      </c>
      <c r="D95" s="323">
        <v>0</v>
      </c>
      <c r="E95" s="431">
        <v>0</v>
      </c>
      <c r="F95" s="431">
        <f t="shared" si="23"/>
        <v>0</v>
      </c>
      <c r="G95" s="467">
        <f t="shared" si="24"/>
        <v>1</v>
      </c>
      <c r="H95" s="467">
        <f t="shared" si="24"/>
        <v>1</v>
      </c>
      <c r="I95" s="431">
        <f t="shared" si="25"/>
        <v>0</v>
      </c>
      <c r="K95" s="323">
        <v>0</v>
      </c>
      <c r="L95" s="467">
        <f t="shared" si="27"/>
        <v>1</v>
      </c>
      <c r="M95" s="467">
        <f t="shared" si="27"/>
        <v>1</v>
      </c>
      <c r="N95" s="431">
        <f t="shared" si="26"/>
        <v>0</v>
      </c>
    </row>
    <row r="96" spans="1:14">
      <c r="A96" s="863">
        <f t="shared" si="22"/>
        <v>82</v>
      </c>
      <c r="B96" s="1050">
        <v>39400</v>
      </c>
      <c r="C96" s="88" t="s">
        <v>1044</v>
      </c>
      <c r="D96" s="323">
        <v>6025513.9585687099</v>
      </c>
      <c r="E96" s="431">
        <v>0</v>
      </c>
      <c r="F96" s="431">
        <f t="shared" si="23"/>
        <v>6025513.9585687099</v>
      </c>
      <c r="G96" s="467">
        <f t="shared" si="24"/>
        <v>1</v>
      </c>
      <c r="H96" s="467">
        <f t="shared" si="24"/>
        <v>1</v>
      </c>
      <c r="I96" s="431">
        <f t="shared" si="25"/>
        <v>6025513.9585687099</v>
      </c>
      <c r="K96" s="323">
        <v>5455993.2745073829</v>
      </c>
      <c r="L96" s="467">
        <f t="shared" si="27"/>
        <v>1</v>
      </c>
      <c r="M96" s="467">
        <f t="shared" si="27"/>
        <v>1</v>
      </c>
      <c r="N96" s="431">
        <f t="shared" si="26"/>
        <v>5455993.2745073829</v>
      </c>
    </row>
    <row r="97" spans="1:14">
      <c r="A97" s="863">
        <f t="shared" si="22"/>
        <v>83</v>
      </c>
      <c r="B97" s="1050">
        <v>39603</v>
      </c>
      <c r="C97" s="88" t="s">
        <v>88</v>
      </c>
      <c r="D97" s="323">
        <v>39610.080000000002</v>
      </c>
      <c r="E97" s="431">
        <v>0</v>
      </c>
      <c r="F97" s="431">
        <f t="shared" si="23"/>
        <v>39610.080000000002</v>
      </c>
      <c r="G97" s="467">
        <f t="shared" si="24"/>
        <v>1</v>
      </c>
      <c r="H97" s="467">
        <f t="shared" si="24"/>
        <v>1</v>
      </c>
      <c r="I97" s="431">
        <f t="shared" si="25"/>
        <v>39610.080000000002</v>
      </c>
      <c r="K97" s="323">
        <v>39610.080000000009</v>
      </c>
      <c r="L97" s="467">
        <f t="shared" si="27"/>
        <v>1</v>
      </c>
      <c r="M97" s="467">
        <f t="shared" si="27"/>
        <v>1</v>
      </c>
      <c r="N97" s="431">
        <f t="shared" si="26"/>
        <v>39610.080000000009</v>
      </c>
    </row>
    <row r="98" spans="1:14">
      <c r="A98" s="863">
        <f t="shared" si="22"/>
        <v>84</v>
      </c>
      <c r="B98" s="1050">
        <v>39604</v>
      </c>
      <c r="C98" s="88" t="s">
        <v>89</v>
      </c>
      <c r="D98" s="323">
        <v>62747.29</v>
      </c>
      <c r="E98" s="431">
        <v>0</v>
      </c>
      <c r="F98" s="431">
        <f t="shared" si="23"/>
        <v>62747.29</v>
      </c>
      <c r="G98" s="467">
        <f t="shared" si="24"/>
        <v>1</v>
      </c>
      <c r="H98" s="467">
        <f t="shared" si="24"/>
        <v>1</v>
      </c>
      <c r="I98" s="431">
        <f t="shared" si="25"/>
        <v>62747.29</v>
      </c>
      <c r="K98" s="323">
        <v>62747.290000000008</v>
      </c>
      <c r="L98" s="467">
        <f t="shared" si="27"/>
        <v>1</v>
      </c>
      <c r="M98" s="467">
        <f t="shared" si="27"/>
        <v>1</v>
      </c>
      <c r="N98" s="431">
        <f t="shared" si="26"/>
        <v>62747.290000000008</v>
      </c>
    </row>
    <row r="99" spans="1:14">
      <c r="A99" s="863">
        <f t="shared" si="22"/>
        <v>85</v>
      </c>
      <c r="B99" s="1050">
        <v>39605</v>
      </c>
      <c r="C99" s="81" t="s">
        <v>90</v>
      </c>
      <c r="D99" s="323">
        <v>19427.23</v>
      </c>
      <c r="E99" s="431">
        <v>0</v>
      </c>
      <c r="F99" s="431">
        <f t="shared" si="23"/>
        <v>19427.23</v>
      </c>
      <c r="G99" s="467">
        <f t="shared" si="24"/>
        <v>1</v>
      </c>
      <c r="H99" s="467">
        <f t="shared" si="24"/>
        <v>1</v>
      </c>
      <c r="I99" s="431">
        <f t="shared" si="25"/>
        <v>19427.23</v>
      </c>
      <c r="K99" s="323">
        <v>19427.230000000003</v>
      </c>
      <c r="L99" s="467">
        <f t="shared" si="27"/>
        <v>1</v>
      </c>
      <c r="M99" s="467">
        <f t="shared" si="27"/>
        <v>1</v>
      </c>
      <c r="N99" s="431">
        <f t="shared" si="26"/>
        <v>19427.230000000003</v>
      </c>
    </row>
    <row r="100" spans="1:14">
      <c r="A100" s="863">
        <f t="shared" si="22"/>
        <v>86</v>
      </c>
      <c r="B100" s="1050">
        <v>39700</v>
      </c>
      <c r="C100" s="88" t="s">
        <v>445</v>
      </c>
      <c r="D100" s="323">
        <v>358964.52</v>
      </c>
      <c r="E100" s="431">
        <v>0</v>
      </c>
      <c r="F100" s="431">
        <f t="shared" si="23"/>
        <v>358964.52</v>
      </c>
      <c r="G100" s="467">
        <f t="shared" si="24"/>
        <v>1</v>
      </c>
      <c r="H100" s="467">
        <f t="shared" si="24"/>
        <v>1</v>
      </c>
      <c r="I100" s="431">
        <f t="shared" si="25"/>
        <v>358964.52</v>
      </c>
      <c r="K100" s="323">
        <v>358964.51999999996</v>
      </c>
      <c r="L100" s="467">
        <f t="shared" si="27"/>
        <v>1</v>
      </c>
      <c r="M100" s="467">
        <f t="shared" si="27"/>
        <v>1</v>
      </c>
      <c r="N100" s="431">
        <f t="shared" si="26"/>
        <v>358964.51999999996</v>
      </c>
    </row>
    <row r="101" spans="1:14">
      <c r="A101" s="863">
        <f t="shared" si="22"/>
        <v>87</v>
      </c>
      <c r="B101" s="1050">
        <v>39701</v>
      </c>
      <c r="C101" s="88" t="s">
        <v>1535</v>
      </c>
      <c r="D101" s="323">
        <v>0</v>
      </c>
      <c r="E101" s="431">
        <v>0</v>
      </c>
      <c r="F101" s="431">
        <f t="shared" si="23"/>
        <v>0</v>
      </c>
      <c r="G101" s="467">
        <f t="shared" si="24"/>
        <v>1</v>
      </c>
      <c r="H101" s="467">
        <f t="shared" si="24"/>
        <v>1</v>
      </c>
      <c r="I101" s="431">
        <f t="shared" si="25"/>
        <v>0</v>
      </c>
      <c r="K101" s="323">
        <v>0</v>
      </c>
      <c r="L101" s="467">
        <f t="shared" si="27"/>
        <v>1</v>
      </c>
      <c r="M101" s="467">
        <f t="shared" si="27"/>
        <v>1</v>
      </c>
      <c r="N101" s="431">
        <f t="shared" si="26"/>
        <v>0</v>
      </c>
    </row>
    <row r="102" spans="1:14">
      <c r="A102" s="863">
        <f t="shared" si="22"/>
        <v>88</v>
      </c>
      <c r="B102" s="1050">
        <v>39702</v>
      </c>
      <c r="C102" s="88" t="s">
        <v>1535</v>
      </c>
      <c r="D102" s="323">
        <v>0</v>
      </c>
      <c r="E102" s="431">
        <v>0</v>
      </c>
      <c r="F102" s="431">
        <f t="shared" si="23"/>
        <v>0</v>
      </c>
      <c r="G102" s="467">
        <f t="shared" ref="G102:H106" si="28">$G$16</f>
        <v>1</v>
      </c>
      <c r="H102" s="467">
        <f t="shared" si="28"/>
        <v>1</v>
      </c>
      <c r="I102" s="431">
        <f t="shared" si="25"/>
        <v>0</v>
      </c>
      <c r="K102" s="323">
        <v>0</v>
      </c>
      <c r="L102" s="467">
        <f t="shared" si="27"/>
        <v>1</v>
      </c>
      <c r="M102" s="467">
        <f t="shared" si="27"/>
        <v>1</v>
      </c>
      <c r="N102" s="431">
        <f t="shared" si="26"/>
        <v>0</v>
      </c>
    </row>
    <row r="103" spans="1:14">
      <c r="A103" s="863">
        <f t="shared" si="22"/>
        <v>89</v>
      </c>
      <c r="B103" s="1050">
        <v>39705</v>
      </c>
      <c r="C103" s="88" t="s">
        <v>728</v>
      </c>
      <c r="D103" s="323">
        <v>0</v>
      </c>
      <c r="E103" s="431">
        <v>0</v>
      </c>
      <c r="F103" s="431">
        <f t="shared" si="23"/>
        <v>0</v>
      </c>
      <c r="G103" s="467">
        <f t="shared" si="28"/>
        <v>1</v>
      </c>
      <c r="H103" s="467">
        <f t="shared" si="28"/>
        <v>1</v>
      </c>
      <c r="I103" s="431">
        <f t="shared" si="25"/>
        <v>0</v>
      </c>
      <c r="K103" s="323">
        <v>0</v>
      </c>
      <c r="L103" s="467">
        <f t="shared" si="27"/>
        <v>1</v>
      </c>
      <c r="M103" s="467">
        <f t="shared" si="27"/>
        <v>1</v>
      </c>
      <c r="N103" s="431">
        <f t="shared" si="26"/>
        <v>0</v>
      </c>
    </row>
    <row r="104" spans="1:14">
      <c r="A104" s="863">
        <f t="shared" si="22"/>
        <v>90</v>
      </c>
      <c r="B104" s="1050">
        <v>39800</v>
      </c>
      <c r="C104" s="88" t="s">
        <v>656</v>
      </c>
      <c r="D104" s="323">
        <v>3772427.3848281614</v>
      </c>
      <c r="E104" s="431">
        <v>0</v>
      </c>
      <c r="F104" s="431">
        <f t="shared" si="23"/>
        <v>3772427.3848281614</v>
      </c>
      <c r="G104" s="467">
        <f t="shared" si="28"/>
        <v>1</v>
      </c>
      <c r="H104" s="467">
        <f t="shared" si="28"/>
        <v>1</v>
      </c>
      <c r="I104" s="431">
        <f t="shared" si="25"/>
        <v>3772427.3848281614</v>
      </c>
      <c r="K104" s="323">
        <v>3791155.2795283841</v>
      </c>
      <c r="L104" s="467">
        <f t="shared" ref="L104:M109" si="29">$G$16</f>
        <v>1</v>
      </c>
      <c r="M104" s="467">
        <f t="shared" si="29"/>
        <v>1</v>
      </c>
      <c r="N104" s="431">
        <f t="shared" si="26"/>
        <v>3791155.2795283841</v>
      </c>
    </row>
    <row r="105" spans="1:14">
      <c r="A105" s="863">
        <f t="shared" si="22"/>
        <v>91</v>
      </c>
      <c r="B105" s="1050">
        <v>39901</v>
      </c>
      <c r="C105" s="88" t="s">
        <v>1536</v>
      </c>
      <c r="D105" s="323">
        <v>14389.76</v>
      </c>
      <c r="E105" s="431">
        <v>0</v>
      </c>
      <c r="F105" s="431">
        <f t="shared" si="23"/>
        <v>14389.76</v>
      </c>
      <c r="G105" s="467">
        <f t="shared" si="28"/>
        <v>1</v>
      </c>
      <c r="H105" s="467">
        <f t="shared" si="28"/>
        <v>1</v>
      </c>
      <c r="I105" s="431">
        <f t="shared" si="25"/>
        <v>14389.76</v>
      </c>
      <c r="K105" s="323">
        <v>0</v>
      </c>
      <c r="L105" s="467">
        <f t="shared" si="29"/>
        <v>1</v>
      </c>
      <c r="M105" s="467">
        <f t="shared" si="29"/>
        <v>1</v>
      </c>
      <c r="N105" s="431">
        <f t="shared" si="26"/>
        <v>0</v>
      </c>
    </row>
    <row r="106" spans="1:14">
      <c r="A106" s="863">
        <f t="shared" si="22"/>
        <v>92</v>
      </c>
      <c r="B106" s="1050">
        <v>39902</v>
      </c>
      <c r="C106" s="88" t="s">
        <v>1537</v>
      </c>
      <c r="D106" s="323">
        <v>0</v>
      </c>
      <c r="E106" s="431">
        <v>0</v>
      </c>
      <c r="F106" s="431">
        <f t="shared" si="23"/>
        <v>0</v>
      </c>
      <c r="G106" s="467">
        <f t="shared" si="28"/>
        <v>1</v>
      </c>
      <c r="H106" s="467">
        <f t="shared" si="28"/>
        <v>1</v>
      </c>
      <c r="I106" s="431">
        <f t="shared" si="25"/>
        <v>0</v>
      </c>
      <c r="K106" s="323">
        <v>0</v>
      </c>
      <c r="L106" s="467">
        <f t="shared" si="29"/>
        <v>1</v>
      </c>
      <c r="M106" s="467">
        <f t="shared" si="29"/>
        <v>1</v>
      </c>
      <c r="N106" s="431">
        <f t="shared" si="26"/>
        <v>0</v>
      </c>
    </row>
    <row r="107" spans="1:14">
      <c r="A107" s="863">
        <f t="shared" si="22"/>
        <v>93</v>
      </c>
      <c r="B107" s="1050">
        <v>39903</v>
      </c>
      <c r="C107" s="88" t="s">
        <v>1011</v>
      </c>
      <c r="D107" s="323">
        <v>134598.85999999999</v>
      </c>
      <c r="E107" s="431">
        <v>0</v>
      </c>
      <c r="F107" s="431">
        <f t="shared" si="23"/>
        <v>134598.85999999999</v>
      </c>
      <c r="G107" s="467">
        <f t="shared" ref="G107:H110" si="30">$G$16</f>
        <v>1</v>
      </c>
      <c r="H107" s="467">
        <f t="shared" si="30"/>
        <v>1</v>
      </c>
      <c r="I107" s="431">
        <f t="shared" si="25"/>
        <v>134598.85999999999</v>
      </c>
      <c r="K107" s="323">
        <v>134598.85999999993</v>
      </c>
      <c r="L107" s="467">
        <f t="shared" si="29"/>
        <v>1</v>
      </c>
      <c r="M107" s="467">
        <f t="shared" si="29"/>
        <v>1</v>
      </c>
      <c r="N107" s="431">
        <f t="shared" si="26"/>
        <v>134598.85999999993</v>
      </c>
    </row>
    <row r="108" spans="1:14">
      <c r="A108" s="863">
        <f t="shared" si="22"/>
        <v>94</v>
      </c>
      <c r="B108" s="1050">
        <v>39906</v>
      </c>
      <c r="C108" s="88" t="s">
        <v>456</v>
      </c>
      <c r="D108" s="323">
        <v>1893352.3496315097</v>
      </c>
      <c r="E108" s="431">
        <v>0</v>
      </c>
      <c r="F108" s="431">
        <f t="shared" si="23"/>
        <v>1893352.3496315097</v>
      </c>
      <c r="G108" s="467">
        <f t="shared" si="30"/>
        <v>1</v>
      </c>
      <c r="H108" s="467">
        <f t="shared" si="30"/>
        <v>1</v>
      </c>
      <c r="I108" s="431">
        <f t="shared" si="25"/>
        <v>1893352.3496315097</v>
      </c>
      <c r="K108" s="323">
        <v>1770508.9860929651</v>
      </c>
      <c r="L108" s="467">
        <f t="shared" si="29"/>
        <v>1</v>
      </c>
      <c r="M108" s="467">
        <f t="shared" si="29"/>
        <v>1</v>
      </c>
      <c r="N108" s="431">
        <f t="shared" si="26"/>
        <v>1770508.9860929651</v>
      </c>
    </row>
    <row r="109" spans="1:14">
      <c r="A109" s="863">
        <f t="shared" si="22"/>
        <v>95</v>
      </c>
      <c r="B109" s="1050">
        <v>39907</v>
      </c>
      <c r="C109" s="88" t="s">
        <v>510</v>
      </c>
      <c r="D109" s="323">
        <v>0</v>
      </c>
      <c r="E109" s="431">
        <v>0</v>
      </c>
      <c r="F109" s="431">
        <f t="shared" si="23"/>
        <v>0</v>
      </c>
      <c r="G109" s="467">
        <f t="shared" si="30"/>
        <v>1</v>
      </c>
      <c r="H109" s="467">
        <f t="shared" si="30"/>
        <v>1</v>
      </c>
      <c r="I109" s="431">
        <f t="shared" si="25"/>
        <v>0</v>
      </c>
      <c r="K109" s="323">
        <v>0</v>
      </c>
      <c r="L109" s="467">
        <f t="shared" si="29"/>
        <v>1</v>
      </c>
      <c r="M109" s="467">
        <f t="shared" si="29"/>
        <v>1</v>
      </c>
      <c r="N109" s="431">
        <f t="shared" si="26"/>
        <v>0</v>
      </c>
    </row>
    <row r="110" spans="1:14">
      <c r="A110" s="863">
        <f t="shared" si="22"/>
        <v>96</v>
      </c>
      <c r="B110" s="1050">
        <v>39908</v>
      </c>
      <c r="C110" s="88" t="s">
        <v>180</v>
      </c>
      <c r="D110" s="323">
        <v>123514.83</v>
      </c>
      <c r="E110" s="431">
        <v>0</v>
      </c>
      <c r="F110" s="431">
        <f t="shared" si="23"/>
        <v>123514.83</v>
      </c>
      <c r="G110" s="467">
        <f t="shared" si="30"/>
        <v>1</v>
      </c>
      <c r="H110" s="467">
        <f t="shared" si="30"/>
        <v>1</v>
      </c>
      <c r="I110" s="431">
        <f t="shared" si="25"/>
        <v>123514.83</v>
      </c>
      <c r="K110" s="323">
        <v>123514.83000000002</v>
      </c>
      <c r="L110" s="467">
        <f t="shared" ref="L110:M110" si="31">$G$16</f>
        <v>1</v>
      </c>
      <c r="M110" s="467">
        <f t="shared" si="31"/>
        <v>1</v>
      </c>
      <c r="N110" s="431">
        <f t="shared" si="26"/>
        <v>123514.83000000002</v>
      </c>
    </row>
    <row r="111" spans="1:14">
      <c r="A111" s="863">
        <f t="shared" si="22"/>
        <v>97</v>
      </c>
      <c r="B111" s="1052"/>
      <c r="C111" s="88"/>
      <c r="D111" s="621"/>
      <c r="E111" s="621"/>
      <c r="F111" s="621"/>
      <c r="I111" s="621"/>
      <c r="K111" s="621"/>
      <c r="N111" s="621"/>
    </row>
    <row r="112" spans="1:14">
      <c r="A112" s="863">
        <f t="shared" si="22"/>
        <v>98</v>
      </c>
      <c r="B112" s="1052"/>
      <c r="C112" s="88" t="s">
        <v>4</v>
      </c>
      <c r="D112" s="361">
        <f>SUM(D86:D111)</f>
        <v>24963221.16841232</v>
      </c>
      <c r="E112" s="347">
        <f>SUM(E86:E111)</f>
        <v>0</v>
      </c>
      <c r="F112" s="361">
        <f>SUM(F86:F111)</f>
        <v>24963221.16841232</v>
      </c>
      <c r="G112" s="467"/>
      <c r="H112" s="467"/>
      <c r="I112" s="361">
        <f>SUM(I86:I111)</f>
        <v>24963221.16841232</v>
      </c>
      <c r="K112" s="361">
        <f>SUM(K86:K111)</f>
        <v>24273488.626345389</v>
      </c>
      <c r="N112" s="361">
        <f>SUM(N86:N111)</f>
        <v>24273488.626345389</v>
      </c>
    </row>
    <row r="113" spans="1:19">
      <c r="A113" s="863">
        <f t="shared" si="22"/>
        <v>99</v>
      </c>
      <c r="B113" s="1052"/>
      <c r="C113" s="88"/>
    </row>
    <row r="114" spans="1:19" ht="15.75" thickBot="1">
      <c r="A114" s="863">
        <f t="shared" si="22"/>
        <v>100</v>
      </c>
      <c r="B114" s="1052"/>
      <c r="C114" s="234" t="s">
        <v>1339</v>
      </c>
      <c r="D114" s="1021">
        <f>D19+D26+D47+D59+D83+D112</f>
        <v>659423288.64293051</v>
      </c>
      <c r="E114" s="330">
        <f>E19+E26+E47+E59+E83+E112</f>
        <v>0</v>
      </c>
      <c r="F114" s="1021">
        <f>F19+F26+F47+F59+F83+F112</f>
        <v>659423288.64293051</v>
      </c>
      <c r="I114" s="1021">
        <f>I19+I26+I47+I59+I83+I112</f>
        <v>659423288.64293051</v>
      </c>
      <c r="K114" s="1021">
        <f>K19+K26+K47+K59+K83+K112</f>
        <v>638202422.87671638</v>
      </c>
      <c r="N114" s="1021">
        <f>N19+N26+N47+N59+N83+N112</f>
        <v>638202422.87671638</v>
      </c>
    </row>
    <row r="115" spans="1:19" ht="15.75" thickTop="1">
      <c r="A115" s="863">
        <f t="shared" si="22"/>
        <v>101</v>
      </c>
      <c r="B115" s="1052"/>
      <c r="C115" s="88"/>
    </row>
    <row r="116" spans="1:19">
      <c r="A116" s="863">
        <f t="shared" si="22"/>
        <v>102</v>
      </c>
      <c r="B116" s="1052"/>
      <c r="C116" s="81" t="s">
        <v>756</v>
      </c>
      <c r="D116" s="323">
        <v>26845504.509999994</v>
      </c>
      <c r="E116" s="329">
        <v>0</v>
      </c>
      <c r="F116" s="329">
        <f>D116+E116</f>
        <v>26845504.509999994</v>
      </c>
      <c r="G116" s="423">
        <f>$G$16</f>
        <v>1</v>
      </c>
      <c r="H116" s="423">
        <f>$G$16</f>
        <v>1</v>
      </c>
      <c r="I116" s="329">
        <f>F116*G116*H116</f>
        <v>26845504.509999994</v>
      </c>
      <c r="K116" s="323">
        <v>26845504.509999994</v>
      </c>
      <c r="L116" s="467">
        <f>$G$16</f>
        <v>1</v>
      </c>
      <c r="M116" s="467">
        <f>$G$16</f>
        <v>1</v>
      </c>
      <c r="N116" s="329">
        <f>K116*L116*M116</f>
        <v>26845504.509999994</v>
      </c>
    </row>
    <row r="117" spans="1:19">
      <c r="A117" s="863">
        <f t="shared" si="22"/>
        <v>103</v>
      </c>
      <c r="B117" s="1052"/>
      <c r="K117" s="361"/>
    </row>
    <row r="118" spans="1:19" ht="15.75">
      <c r="A118" s="863">
        <f t="shared" si="22"/>
        <v>104</v>
      </c>
      <c r="B118" s="1055" t="s">
        <v>7</v>
      </c>
      <c r="K118" s="361"/>
    </row>
    <row r="119" spans="1:19">
      <c r="A119" s="863">
        <f t="shared" si="22"/>
        <v>105</v>
      </c>
      <c r="B119" s="1052"/>
      <c r="K119" s="361"/>
    </row>
    <row r="120" spans="1:19">
      <c r="A120" s="863">
        <f t="shared" si="22"/>
        <v>106</v>
      </c>
      <c r="B120" s="1052"/>
      <c r="C120" s="622" t="s">
        <v>301</v>
      </c>
      <c r="K120" s="361"/>
    </row>
    <row r="121" spans="1:19">
      <c r="A121" s="863">
        <f t="shared" si="22"/>
        <v>107</v>
      </c>
      <c r="B121" s="1056">
        <v>30100</v>
      </c>
      <c r="C121" s="88" t="s">
        <v>295</v>
      </c>
      <c r="D121" s="323">
        <v>185309.27</v>
      </c>
      <c r="E121" s="347">
        <v>0</v>
      </c>
      <c r="F121" s="347">
        <f>D121+E121</f>
        <v>185309.27</v>
      </c>
      <c r="G121" s="467">
        <f>$G$16</f>
        <v>1</v>
      </c>
      <c r="H121" s="468">
        <f>Allocation!$D$17</f>
        <v>0.49440000000000001</v>
      </c>
      <c r="I121" s="347">
        <f>F121*G121*H121</f>
        <v>91616.903087999992</v>
      </c>
      <c r="K121" s="323">
        <v>185309.27</v>
      </c>
      <c r="L121" s="467">
        <f t="shared" ref="L121:M122" si="32">G121</f>
        <v>1</v>
      </c>
      <c r="M121" s="468">
        <f t="shared" si="32"/>
        <v>0.49440000000000001</v>
      </c>
      <c r="N121" s="347">
        <f>K121*L121*M121</f>
        <v>91616.903087999992</v>
      </c>
      <c r="S121" s="425"/>
    </row>
    <row r="122" spans="1:19">
      <c r="A122" s="863">
        <f t="shared" si="22"/>
        <v>108</v>
      </c>
      <c r="B122" s="1056">
        <v>30300</v>
      </c>
      <c r="C122" s="88" t="s">
        <v>548</v>
      </c>
      <c r="D122" s="323">
        <v>1109551.68</v>
      </c>
      <c r="E122" s="1054">
        <v>0</v>
      </c>
      <c r="F122" s="1054">
        <f>D122+E122</f>
        <v>1109551.68</v>
      </c>
      <c r="G122" s="467">
        <f>$G$16</f>
        <v>1</v>
      </c>
      <c r="H122" s="468">
        <f>$H$121</f>
        <v>0.49440000000000001</v>
      </c>
      <c r="I122" s="1054">
        <f>F122*G122*H122</f>
        <v>548562.35059199994</v>
      </c>
      <c r="K122" s="323">
        <v>1109551.68</v>
      </c>
      <c r="L122" s="467">
        <f t="shared" si="32"/>
        <v>1</v>
      </c>
      <c r="M122" s="468">
        <f t="shared" si="32"/>
        <v>0.49440000000000001</v>
      </c>
      <c r="N122" s="1054">
        <f>K122*L122*M122</f>
        <v>548562.35059199994</v>
      </c>
      <c r="S122" s="425"/>
    </row>
    <row r="123" spans="1:19">
      <c r="A123" s="863">
        <f t="shared" si="22"/>
        <v>109</v>
      </c>
      <c r="B123" s="1052"/>
      <c r="C123" s="88"/>
      <c r="D123" s="621"/>
      <c r="K123" s="621"/>
    </row>
    <row r="124" spans="1:19">
      <c r="A124" s="863">
        <f t="shared" si="22"/>
        <v>110</v>
      </c>
      <c r="B124" s="1052"/>
      <c r="C124" s="88" t="s">
        <v>302</v>
      </c>
      <c r="D124" s="361">
        <f>SUM(D121:D123)</f>
        <v>1294860.95</v>
      </c>
      <c r="E124" s="347">
        <f>SUM(E121:E123)</f>
        <v>0</v>
      </c>
      <c r="F124" s="347">
        <f>SUM(F121:F123)</f>
        <v>1294860.95</v>
      </c>
      <c r="G124" s="467"/>
      <c r="H124" s="467"/>
      <c r="I124" s="347">
        <f>SUM(I121:I123)</f>
        <v>640179.25367999997</v>
      </c>
      <c r="K124" s="361">
        <f>SUM(K121:K123)</f>
        <v>1294860.95</v>
      </c>
      <c r="N124" s="347">
        <f>SUM(N121:N123)</f>
        <v>640179.25367999997</v>
      </c>
    </row>
    <row r="125" spans="1:19">
      <c r="A125" s="863">
        <f t="shared" si="22"/>
        <v>111</v>
      </c>
      <c r="B125" s="1052"/>
    </row>
    <row r="126" spans="1:19">
      <c r="A126" s="863">
        <f t="shared" si="22"/>
        <v>112</v>
      </c>
      <c r="B126" s="1052"/>
      <c r="C126" s="622" t="s">
        <v>303</v>
      </c>
    </row>
    <row r="127" spans="1:19">
      <c r="A127" s="863">
        <f t="shared" si="22"/>
        <v>113</v>
      </c>
      <c r="B127" s="1056">
        <v>37400</v>
      </c>
      <c r="C127" s="88" t="s">
        <v>1157</v>
      </c>
      <c r="D127" s="361">
        <v>0</v>
      </c>
      <c r="E127" s="347">
        <v>0</v>
      </c>
      <c r="F127" s="347">
        <f t="shared" ref="F127:F147" si="33">D127+E127</f>
        <v>0</v>
      </c>
      <c r="G127" s="467">
        <f t="shared" ref="G127:G147" si="34">$G$16</f>
        <v>1</v>
      </c>
      <c r="H127" s="468">
        <f t="shared" ref="H127:H147" si="35">$H$121</f>
        <v>0.49440000000000001</v>
      </c>
      <c r="I127" s="347">
        <f t="shared" ref="I127:I147" si="36">F127*G127*H127</f>
        <v>0</v>
      </c>
      <c r="K127" s="361">
        <v>0</v>
      </c>
      <c r="L127" s="467">
        <f t="shared" ref="L127:L147" si="37">G127</f>
        <v>1</v>
      </c>
      <c r="M127" s="468">
        <f t="shared" ref="M127:M147" si="38">H127</f>
        <v>0.49440000000000001</v>
      </c>
      <c r="N127" s="347">
        <f t="shared" ref="N127:N147" si="39">K127*L127*M127</f>
        <v>0</v>
      </c>
      <c r="P127" s="673"/>
    </row>
    <row r="128" spans="1:19">
      <c r="A128" s="863">
        <f t="shared" si="22"/>
        <v>114</v>
      </c>
      <c r="B128" s="1056">
        <v>35010</v>
      </c>
      <c r="C128" s="88" t="s">
        <v>296</v>
      </c>
      <c r="D128" s="619">
        <v>0</v>
      </c>
      <c r="E128" s="431">
        <v>0</v>
      </c>
      <c r="F128" s="431">
        <f t="shared" si="33"/>
        <v>0</v>
      </c>
      <c r="G128" s="467">
        <f t="shared" si="34"/>
        <v>1</v>
      </c>
      <c r="H128" s="468">
        <f t="shared" si="35"/>
        <v>0.49440000000000001</v>
      </c>
      <c r="I128" s="431">
        <f t="shared" si="36"/>
        <v>0</v>
      </c>
      <c r="K128" s="619">
        <v>0</v>
      </c>
      <c r="L128" s="467">
        <f t="shared" si="37"/>
        <v>1</v>
      </c>
      <c r="M128" s="468">
        <f t="shared" si="38"/>
        <v>0.49440000000000001</v>
      </c>
      <c r="N128" s="431">
        <f t="shared" si="39"/>
        <v>0</v>
      </c>
      <c r="P128" s="673"/>
    </row>
    <row r="129" spans="1:16">
      <c r="A129" s="863">
        <f t="shared" si="22"/>
        <v>115</v>
      </c>
      <c r="B129" s="1056">
        <v>37402</v>
      </c>
      <c r="C129" s="88" t="s">
        <v>1007</v>
      </c>
      <c r="D129" s="619">
        <v>0</v>
      </c>
      <c r="E129" s="431">
        <v>0</v>
      </c>
      <c r="F129" s="431">
        <f t="shared" si="33"/>
        <v>0</v>
      </c>
      <c r="G129" s="467">
        <f t="shared" si="34"/>
        <v>1</v>
      </c>
      <c r="H129" s="468">
        <f t="shared" si="35"/>
        <v>0.49440000000000001</v>
      </c>
      <c r="I129" s="431">
        <f t="shared" si="36"/>
        <v>0</v>
      </c>
      <c r="K129" s="619">
        <v>0</v>
      </c>
      <c r="L129" s="467">
        <f t="shared" si="37"/>
        <v>1</v>
      </c>
      <c r="M129" s="468">
        <f t="shared" si="38"/>
        <v>0.49440000000000001</v>
      </c>
      <c r="N129" s="431">
        <f t="shared" si="39"/>
        <v>0</v>
      </c>
      <c r="P129" s="673"/>
    </row>
    <row r="130" spans="1:16">
      <c r="A130" s="863">
        <f t="shared" si="22"/>
        <v>116</v>
      </c>
      <c r="B130" s="1056">
        <v>37403</v>
      </c>
      <c r="C130" s="88" t="s">
        <v>1004</v>
      </c>
      <c r="D130" s="619">
        <v>0</v>
      </c>
      <c r="E130" s="431">
        <v>0</v>
      </c>
      <c r="F130" s="431">
        <f t="shared" si="33"/>
        <v>0</v>
      </c>
      <c r="G130" s="467">
        <f t="shared" si="34"/>
        <v>1</v>
      </c>
      <c r="H130" s="468">
        <f t="shared" si="35"/>
        <v>0.49440000000000001</v>
      </c>
      <c r="I130" s="431">
        <f t="shared" si="36"/>
        <v>0</v>
      </c>
      <c r="K130" s="619">
        <v>0</v>
      </c>
      <c r="L130" s="467">
        <f t="shared" si="37"/>
        <v>1</v>
      </c>
      <c r="M130" s="468">
        <f t="shared" si="38"/>
        <v>0.49440000000000001</v>
      </c>
      <c r="N130" s="431">
        <f t="shared" si="39"/>
        <v>0</v>
      </c>
    </row>
    <row r="131" spans="1:16">
      <c r="A131" s="863">
        <f t="shared" si="22"/>
        <v>117</v>
      </c>
      <c r="B131" s="1056">
        <v>36602</v>
      </c>
      <c r="C131" s="88" t="s">
        <v>863</v>
      </c>
      <c r="D131" s="619">
        <v>0</v>
      </c>
      <c r="E131" s="431">
        <v>0</v>
      </c>
      <c r="F131" s="431">
        <f t="shared" si="33"/>
        <v>0</v>
      </c>
      <c r="G131" s="467">
        <f t="shared" si="34"/>
        <v>1</v>
      </c>
      <c r="H131" s="468">
        <f t="shared" si="35"/>
        <v>0.49440000000000001</v>
      </c>
      <c r="I131" s="431">
        <f t="shared" si="36"/>
        <v>0</v>
      </c>
      <c r="K131" s="619">
        <v>0</v>
      </c>
      <c r="L131" s="467">
        <f t="shared" si="37"/>
        <v>1</v>
      </c>
      <c r="M131" s="468">
        <f t="shared" si="38"/>
        <v>0.49440000000000001</v>
      </c>
      <c r="N131" s="431">
        <f t="shared" si="39"/>
        <v>0</v>
      </c>
      <c r="P131" s="673"/>
    </row>
    <row r="132" spans="1:16">
      <c r="A132" s="863">
        <f t="shared" si="22"/>
        <v>118</v>
      </c>
      <c r="B132" s="1056">
        <v>37402</v>
      </c>
      <c r="C132" s="88" t="s">
        <v>1007</v>
      </c>
      <c r="D132" s="619">
        <v>0</v>
      </c>
      <c r="E132" s="431">
        <v>0</v>
      </c>
      <c r="F132" s="431">
        <f>D132+E132</f>
        <v>0</v>
      </c>
      <c r="G132" s="467">
        <f t="shared" si="34"/>
        <v>1</v>
      </c>
      <c r="H132" s="468">
        <f t="shared" si="35"/>
        <v>0.49440000000000001</v>
      </c>
      <c r="I132" s="431">
        <f>F132*G132*H132</f>
        <v>0</v>
      </c>
      <c r="K132" s="619">
        <v>0</v>
      </c>
      <c r="L132" s="467">
        <f>G132</f>
        <v>1</v>
      </c>
      <c r="M132" s="468">
        <f>H132</f>
        <v>0.49440000000000001</v>
      </c>
      <c r="N132" s="431">
        <f>K132*L132*M132</f>
        <v>0</v>
      </c>
    </row>
    <row r="133" spans="1:16">
      <c r="A133" s="863">
        <f t="shared" si="22"/>
        <v>119</v>
      </c>
      <c r="B133" s="1056">
        <v>37501</v>
      </c>
      <c r="C133" s="88" t="s">
        <v>1005</v>
      </c>
      <c r="D133" s="619">
        <v>0</v>
      </c>
      <c r="E133" s="431">
        <v>0</v>
      </c>
      <c r="F133" s="431">
        <f t="shared" si="33"/>
        <v>0</v>
      </c>
      <c r="G133" s="467">
        <f t="shared" si="34"/>
        <v>1</v>
      </c>
      <c r="H133" s="468">
        <f t="shared" si="35"/>
        <v>0.49440000000000001</v>
      </c>
      <c r="I133" s="431">
        <f t="shared" si="36"/>
        <v>0</v>
      </c>
      <c r="K133" s="619">
        <v>0</v>
      </c>
      <c r="L133" s="467">
        <f t="shared" si="37"/>
        <v>1</v>
      </c>
      <c r="M133" s="468">
        <f t="shared" si="38"/>
        <v>0.49440000000000001</v>
      </c>
      <c r="N133" s="431">
        <f t="shared" si="39"/>
        <v>0</v>
      </c>
    </row>
    <row r="134" spans="1:16">
      <c r="A134" s="863">
        <f t="shared" si="22"/>
        <v>120</v>
      </c>
      <c r="B134" s="1056">
        <v>37503</v>
      </c>
      <c r="C134" s="88" t="s">
        <v>1006</v>
      </c>
      <c r="D134" s="619">
        <v>0</v>
      </c>
      <c r="E134" s="431">
        <v>0</v>
      </c>
      <c r="F134" s="431">
        <f t="shared" si="33"/>
        <v>0</v>
      </c>
      <c r="G134" s="467">
        <f t="shared" si="34"/>
        <v>1</v>
      </c>
      <c r="H134" s="468">
        <f t="shared" si="35"/>
        <v>0.49440000000000001</v>
      </c>
      <c r="I134" s="431">
        <f t="shared" si="36"/>
        <v>0</v>
      </c>
      <c r="K134" s="619">
        <v>0</v>
      </c>
      <c r="L134" s="467">
        <f t="shared" si="37"/>
        <v>1</v>
      </c>
      <c r="M134" s="468">
        <f t="shared" si="38"/>
        <v>0.49440000000000001</v>
      </c>
      <c r="N134" s="431">
        <f t="shared" si="39"/>
        <v>0</v>
      </c>
    </row>
    <row r="135" spans="1:16">
      <c r="A135" s="863">
        <f t="shared" si="22"/>
        <v>121</v>
      </c>
      <c r="B135" s="1056">
        <v>36700</v>
      </c>
      <c r="C135" s="88" t="s">
        <v>851</v>
      </c>
      <c r="D135" s="619">
        <v>0</v>
      </c>
      <c r="E135" s="431">
        <v>0</v>
      </c>
      <c r="F135" s="431">
        <f t="shared" si="33"/>
        <v>0</v>
      </c>
      <c r="G135" s="467">
        <f t="shared" si="34"/>
        <v>1</v>
      </c>
      <c r="H135" s="468">
        <f t="shared" si="35"/>
        <v>0.49440000000000001</v>
      </c>
      <c r="I135" s="431">
        <f t="shared" si="36"/>
        <v>0</v>
      </c>
      <c r="K135" s="619">
        <v>0</v>
      </c>
      <c r="L135" s="467">
        <f t="shared" si="37"/>
        <v>1</v>
      </c>
      <c r="M135" s="468">
        <f t="shared" si="38"/>
        <v>0.49440000000000001</v>
      </c>
      <c r="N135" s="431">
        <f t="shared" si="39"/>
        <v>0</v>
      </c>
    </row>
    <row r="136" spans="1:16">
      <c r="A136" s="863">
        <f t="shared" si="22"/>
        <v>122</v>
      </c>
      <c r="B136" s="1056">
        <v>36701</v>
      </c>
      <c r="C136" s="88" t="s">
        <v>16</v>
      </c>
      <c r="D136" s="619">
        <v>0</v>
      </c>
      <c r="E136" s="431">
        <v>0</v>
      </c>
      <c r="F136" s="431">
        <f t="shared" si="33"/>
        <v>0</v>
      </c>
      <c r="G136" s="467">
        <f t="shared" si="34"/>
        <v>1</v>
      </c>
      <c r="H136" s="468">
        <f t="shared" si="35"/>
        <v>0.49440000000000001</v>
      </c>
      <c r="I136" s="431">
        <f t="shared" si="36"/>
        <v>0</v>
      </c>
      <c r="K136" s="619">
        <v>0</v>
      </c>
      <c r="L136" s="467">
        <f t="shared" si="37"/>
        <v>1</v>
      </c>
      <c r="M136" s="468">
        <f t="shared" si="38"/>
        <v>0.49440000000000001</v>
      </c>
      <c r="N136" s="431">
        <f t="shared" si="39"/>
        <v>0</v>
      </c>
    </row>
    <row r="137" spans="1:16">
      <c r="A137" s="863">
        <f t="shared" si="22"/>
        <v>123</v>
      </c>
      <c r="B137" s="1056">
        <v>37602</v>
      </c>
      <c r="C137" s="88" t="s">
        <v>852</v>
      </c>
      <c r="D137" s="619">
        <v>0</v>
      </c>
      <c r="E137" s="431">
        <v>0</v>
      </c>
      <c r="F137" s="431">
        <f t="shared" si="33"/>
        <v>0</v>
      </c>
      <c r="G137" s="467">
        <f t="shared" si="34"/>
        <v>1</v>
      </c>
      <c r="H137" s="468">
        <f t="shared" si="35"/>
        <v>0.49440000000000001</v>
      </c>
      <c r="I137" s="431">
        <f t="shared" si="36"/>
        <v>0</v>
      </c>
      <c r="K137" s="619">
        <v>0</v>
      </c>
      <c r="L137" s="467">
        <f t="shared" si="37"/>
        <v>1</v>
      </c>
      <c r="M137" s="468">
        <f t="shared" si="38"/>
        <v>0.49440000000000001</v>
      </c>
      <c r="N137" s="431">
        <f t="shared" si="39"/>
        <v>0</v>
      </c>
    </row>
    <row r="138" spans="1:16">
      <c r="A138" s="863">
        <f t="shared" si="22"/>
        <v>124</v>
      </c>
      <c r="B138" s="1056">
        <v>37800</v>
      </c>
      <c r="C138" s="88" t="s">
        <v>230</v>
      </c>
      <c r="D138" s="619">
        <v>0</v>
      </c>
      <c r="E138" s="431">
        <v>0</v>
      </c>
      <c r="F138" s="431">
        <f t="shared" si="33"/>
        <v>0</v>
      </c>
      <c r="G138" s="467">
        <f t="shared" si="34"/>
        <v>1</v>
      </c>
      <c r="H138" s="468">
        <f t="shared" si="35"/>
        <v>0.49440000000000001</v>
      </c>
      <c r="I138" s="431">
        <f t="shared" si="36"/>
        <v>0</v>
      </c>
      <c r="K138" s="619">
        <v>0</v>
      </c>
      <c r="L138" s="467">
        <f t="shared" si="37"/>
        <v>1</v>
      </c>
      <c r="M138" s="468">
        <f t="shared" si="38"/>
        <v>0.49440000000000001</v>
      </c>
      <c r="N138" s="431">
        <f t="shared" si="39"/>
        <v>0</v>
      </c>
    </row>
    <row r="139" spans="1:16">
      <c r="A139" s="863">
        <f t="shared" si="22"/>
        <v>125</v>
      </c>
      <c r="B139" s="1056">
        <v>37900</v>
      </c>
      <c r="C139" s="88" t="s">
        <v>1200</v>
      </c>
      <c r="D139" s="619">
        <v>0</v>
      </c>
      <c r="E139" s="431">
        <v>0</v>
      </c>
      <c r="F139" s="431">
        <f t="shared" si="33"/>
        <v>0</v>
      </c>
      <c r="G139" s="467">
        <f t="shared" si="34"/>
        <v>1</v>
      </c>
      <c r="H139" s="468">
        <f t="shared" si="35"/>
        <v>0.49440000000000001</v>
      </c>
      <c r="I139" s="431">
        <f t="shared" si="36"/>
        <v>0</v>
      </c>
      <c r="K139" s="619">
        <v>0</v>
      </c>
      <c r="L139" s="467">
        <f t="shared" si="37"/>
        <v>1</v>
      </c>
      <c r="M139" s="468">
        <f t="shared" si="38"/>
        <v>0.49440000000000001</v>
      </c>
      <c r="N139" s="431">
        <f t="shared" si="39"/>
        <v>0</v>
      </c>
    </row>
    <row r="140" spans="1:16">
      <c r="A140" s="863">
        <f t="shared" si="22"/>
        <v>126</v>
      </c>
      <c r="B140" s="1056">
        <v>37905</v>
      </c>
      <c r="C140" s="88" t="s">
        <v>732</v>
      </c>
      <c r="D140" s="619">
        <v>0</v>
      </c>
      <c r="E140" s="431">
        <v>0</v>
      </c>
      <c r="F140" s="431">
        <f t="shared" si="33"/>
        <v>0</v>
      </c>
      <c r="G140" s="467">
        <f t="shared" si="34"/>
        <v>1</v>
      </c>
      <c r="H140" s="468">
        <f t="shared" si="35"/>
        <v>0.49440000000000001</v>
      </c>
      <c r="I140" s="431">
        <f t="shared" si="36"/>
        <v>0</v>
      </c>
      <c r="K140" s="619">
        <v>0</v>
      </c>
      <c r="L140" s="467">
        <f t="shared" si="37"/>
        <v>1</v>
      </c>
      <c r="M140" s="468">
        <f t="shared" si="38"/>
        <v>0.49440000000000001</v>
      </c>
      <c r="N140" s="431">
        <f t="shared" si="39"/>
        <v>0</v>
      </c>
    </row>
    <row r="141" spans="1:16">
      <c r="A141" s="863">
        <f t="shared" si="22"/>
        <v>127</v>
      </c>
      <c r="B141" s="1056">
        <v>38000</v>
      </c>
      <c r="C141" s="88" t="s">
        <v>1061</v>
      </c>
      <c r="D141" s="619">
        <v>0</v>
      </c>
      <c r="E141" s="431">
        <v>0</v>
      </c>
      <c r="F141" s="431">
        <f t="shared" si="33"/>
        <v>0</v>
      </c>
      <c r="G141" s="467">
        <f t="shared" si="34"/>
        <v>1</v>
      </c>
      <c r="H141" s="468">
        <f t="shared" si="35"/>
        <v>0.49440000000000001</v>
      </c>
      <c r="I141" s="431">
        <f t="shared" si="36"/>
        <v>0</v>
      </c>
      <c r="K141" s="619">
        <v>0</v>
      </c>
      <c r="L141" s="467">
        <f t="shared" si="37"/>
        <v>1</v>
      </c>
      <c r="M141" s="468">
        <f t="shared" si="38"/>
        <v>0.49440000000000001</v>
      </c>
      <c r="N141" s="431">
        <f t="shared" si="39"/>
        <v>0</v>
      </c>
    </row>
    <row r="142" spans="1:16">
      <c r="A142" s="863">
        <f t="shared" si="22"/>
        <v>128</v>
      </c>
      <c r="B142" s="1056">
        <v>38100</v>
      </c>
      <c r="C142" s="88" t="s">
        <v>853</v>
      </c>
      <c r="D142" s="619">
        <v>0</v>
      </c>
      <c r="E142" s="431">
        <v>0</v>
      </c>
      <c r="F142" s="431">
        <f t="shared" si="33"/>
        <v>0</v>
      </c>
      <c r="G142" s="467">
        <f t="shared" si="34"/>
        <v>1</v>
      </c>
      <c r="H142" s="468">
        <f t="shared" si="35"/>
        <v>0.49440000000000001</v>
      </c>
      <c r="I142" s="431">
        <f t="shared" si="36"/>
        <v>0</v>
      </c>
      <c r="K142" s="619">
        <v>0</v>
      </c>
      <c r="L142" s="467">
        <f t="shared" si="37"/>
        <v>1</v>
      </c>
      <c r="M142" s="468">
        <f t="shared" si="38"/>
        <v>0.49440000000000001</v>
      </c>
      <c r="N142" s="431">
        <f t="shared" si="39"/>
        <v>0</v>
      </c>
    </row>
    <row r="143" spans="1:16">
      <c r="A143" s="863">
        <f t="shared" si="22"/>
        <v>129</v>
      </c>
      <c r="B143" s="1056">
        <v>38200</v>
      </c>
      <c r="C143" s="88" t="s">
        <v>447</v>
      </c>
      <c r="D143" s="619">
        <v>0</v>
      </c>
      <c r="E143" s="431">
        <v>0</v>
      </c>
      <c r="F143" s="431">
        <f t="shared" si="33"/>
        <v>0</v>
      </c>
      <c r="G143" s="467">
        <f t="shared" si="34"/>
        <v>1</v>
      </c>
      <c r="H143" s="468">
        <f t="shared" si="35"/>
        <v>0.49440000000000001</v>
      </c>
      <c r="I143" s="431">
        <f t="shared" si="36"/>
        <v>0</v>
      </c>
      <c r="K143" s="619">
        <v>0</v>
      </c>
      <c r="L143" s="467">
        <f t="shared" si="37"/>
        <v>1</v>
      </c>
      <c r="M143" s="468">
        <f t="shared" si="38"/>
        <v>0.49440000000000001</v>
      </c>
      <c r="N143" s="431">
        <f t="shared" si="39"/>
        <v>0</v>
      </c>
    </row>
    <row r="144" spans="1:16">
      <c r="A144" s="863">
        <f t="shared" si="22"/>
        <v>130</v>
      </c>
      <c r="B144" s="1056">
        <v>38300</v>
      </c>
      <c r="C144" s="88" t="s">
        <v>1062</v>
      </c>
      <c r="D144" s="619">
        <v>0</v>
      </c>
      <c r="E144" s="431">
        <v>0</v>
      </c>
      <c r="F144" s="431">
        <f t="shared" si="33"/>
        <v>0</v>
      </c>
      <c r="G144" s="467">
        <f t="shared" si="34"/>
        <v>1</v>
      </c>
      <c r="H144" s="468">
        <f t="shared" si="35"/>
        <v>0.49440000000000001</v>
      </c>
      <c r="I144" s="431">
        <f t="shared" si="36"/>
        <v>0</v>
      </c>
      <c r="K144" s="619">
        <v>0</v>
      </c>
      <c r="L144" s="467">
        <f t="shared" si="37"/>
        <v>1</v>
      </c>
      <c r="M144" s="468">
        <f t="shared" si="38"/>
        <v>0.49440000000000001</v>
      </c>
      <c r="N144" s="431">
        <f t="shared" si="39"/>
        <v>0</v>
      </c>
    </row>
    <row r="145" spans="1:19">
      <c r="A145" s="863">
        <f t="shared" si="22"/>
        <v>131</v>
      </c>
      <c r="B145" s="1056">
        <v>38400</v>
      </c>
      <c r="C145" s="88" t="s">
        <v>448</v>
      </c>
      <c r="D145" s="619">
        <v>0</v>
      </c>
      <c r="E145" s="431">
        <v>0</v>
      </c>
      <c r="F145" s="431">
        <f t="shared" si="33"/>
        <v>0</v>
      </c>
      <c r="G145" s="467">
        <f t="shared" si="34"/>
        <v>1</v>
      </c>
      <c r="H145" s="468">
        <f t="shared" si="35"/>
        <v>0.49440000000000001</v>
      </c>
      <c r="I145" s="431">
        <f t="shared" si="36"/>
        <v>0</v>
      </c>
      <c r="K145" s="619">
        <v>0</v>
      </c>
      <c r="L145" s="467">
        <f t="shared" si="37"/>
        <v>1</v>
      </c>
      <c r="M145" s="468">
        <f t="shared" si="38"/>
        <v>0.49440000000000001</v>
      </c>
      <c r="N145" s="431">
        <f t="shared" si="39"/>
        <v>0</v>
      </c>
    </row>
    <row r="146" spans="1:19">
      <c r="A146" s="863">
        <f t="shared" si="22"/>
        <v>132</v>
      </c>
      <c r="B146" s="1056">
        <v>38500</v>
      </c>
      <c r="C146" s="88" t="s">
        <v>449</v>
      </c>
      <c r="D146" s="619">
        <v>0</v>
      </c>
      <c r="E146" s="431">
        <v>0</v>
      </c>
      <c r="F146" s="431">
        <f t="shared" si="33"/>
        <v>0</v>
      </c>
      <c r="G146" s="467">
        <f t="shared" si="34"/>
        <v>1</v>
      </c>
      <c r="H146" s="468">
        <f t="shared" si="35"/>
        <v>0.49440000000000001</v>
      </c>
      <c r="I146" s="431">
        <f t="shared" si="36"/>
        <v>0</v>
      </c>
      <c r="K146" s="619">
        <v>0</v>
      </c>
      <c r="L146" s="467">
        <f t="shared" si="37"/>
        <v>1</v>
      </c>
      <c r="M146" s="468">
        <f t="shared" si="38"/>
        <v>0.49440000000000001</v>
      </c>
      <c r="N146" s="431">
        <f t="shared" si="39"/>
        <v>0</v>
      </c>
    </row>
    <row r="147" spans="1:19">
      <c r="A147" s="863">
        <f t="shared" si="22"/>
        <v>133</v>
      </c>
      <c r="B147" s="1056">
        <v>38600</v>
      </c>
      <c r="C147" s="88" t="s">
        <v>107</v>
      </c>
      <c r="D147" s="1057">
        <v>0</v>
      </c>
      <c r="E147" s="1054">
        <v>0</v>
      </c>
      <c r="F147" s="1054">
        <f t="shared" si="33"/>
        <v>0</v>
      </c>
      <c r="G147" s="467">
        <f t="shared" si="34"/>
        <v>1</v>
      </c>
      <c r="H147" s="468">
        <f t="shared" si="35"/>
        <v>0.49440000000000001</v>
      </c>
      <c r="I147" s="1054">
        <f t="shared" si="36"/>
        <v>0</v>
      </c>
      <c r="K147" s="1057">
        <v>0</v>
      </c>
      <c r="L147" s="467">
        <f t="shared" si="37"/>
        <v>1</v>
      </c>
      <c r="M147" s="468">
        <f t="shared" si="38"/>
        <v>0.49440000000000001</v>
      </c>
      <c r="N147" s="1054">
        <f t="shared" si="39"/>
        <v>0</v>
      </c>
    </row>
    <row r="148" spans="1:19">
      <c r="A148" s="863">
        <f t="shared" si="22"/>
        <v>134</v>
      </c>
      <c r="B148" s="1052"/>
      <c r="C148" s="88"/>
      <c r="M148" s="468"/>
    </row>
    <row r="149" spans="1:19">
      <c r="A149" s="863">
        <f t="shared" si="22"/>
        <v>135</v>
      </c>
      <c r="B149" s="1052"/>
      <c r="C149" s="88" t="s">
        <v>304</v>
      </c>
      <c r="D149" s="361">
        <f>SUM(D127:D148)</f>
        <v>0</v>
      </c>
      <c r="E149" s="347">
        <f>SUM(E127:E148)</f>
        <v>0</v>
      </c>
      <c r="F149" s="347">
        <f>SUM(F127:F148)</f>
        <v>0</v>
      </c>
      <c r="I149" s="347">
        <f>SUM(I127:I148)</f>
        <v>0</v>
      </c>
      <c r="K149" s="361">
        <f>SUM(K127:K148)</f>
        <v>0</v>
      </c>
      <c r="M149" s="468"/>
      <c r="N149" s="347">
        <f>SUM(N127:N148)</f>
        <v>0</v>
      </c>
    </row>
    <row r="150" spans="1:19">
      <c r="A150" s="863">
        <f t="shared" ref="A150:A232" si="40">A149+1</f>
        <v>136</v>
      </c>
      <c r="B150" s="1052"/>
      <c r="C150" s="88"/>
      <c r="M150" s="468"/>
    </row>
    <row r="151" spans="1:19">
      <c r="A151" s="863">
        <f t="shared" si="40"/>
        <v>137</v>
      </c>
      <c r="B151" s="1052"/>
      <c r="C151" s="622" t="s">
        <v>1179</v>
      </c>
      <c r="M151" s="468"/>
    </row>
    <row r="152" spans="1:19">
      <c r="A152" s="863">
        <f t="shared" si="40"/>
        <v>138</v>
      </c>
      <c r="B152" s="1056">
        <v>39001</v>
      </c>
      <c r="C152" s="88" t="s">
        <v>546</v>
      </c>
      <c r="D152" s="323">
        <v>179338.52</v>
      </c>
      <c r="E152" s="347">
        <v>0</v>
      </c>
      <c r="F152" s="347">
        <f t="shared" ref="F152:F172" si="41">D152+E152</f>
        <v>179338.52</v>
      </c>
      <c r="G152" s="467">
        <f t="shared" ref="G152:G172" si="42">$G$16</f>
        <v>1</v>
      </c>
      <c r="H152" s="468">
        <f t="shared" ref="H152:H172" si="43">$H$121</f>
        <v>0.49440000000000001</v>
      </c>
      <c r="I152" s="347">
        <f t="shared" ref="I152:I172" si="44">F152*G152*H152</f>
        <v>88664.964288000003</v>
      </c>
      <c r="K152" s="323">
        <v>179338.52</v>
      </c>
      <c r="L152" s="467">
        <f t="shared" ref="L152:L172" si="45">G152</f>
        <v>1</v>
      </c>
      <c r="M152" s="468">
        <f t="shared" ref="M152:M172" si="46">H152</f>
        <v>0.49440000000000001</v>
      </c>
      <c r="N152" s="347">
        <f t="shared" ref="N152:N172" si="47">K152*L152*M152</f>
        <v>88664.964288000003</v>
      </c>
      <c r="S152" s="425"/>
    </row>
    <row r="153" spans="1:19">
      <c r="A153" s="863">
        <f t="shared" si="40"/>
        <v>139</v>
      </c>
      <c r="B153" s="1056">
        <v>39004</v>
      </c>
      <c r="C153" s="88" t="s">
        <v>450</v>
      </c>
      <c r="D153" s="323">
        <v>15383.91</v>
      </c>
      <c r="E153" s="431">
        <v>0</v>
      </c>
      <c r="F153" s="431">
        <f t="shared" si="41"/>
        <v>15383.91</v>
      </c>
      <c r="G153" s="467">
        <f t="shared" si="42"/>
        <v>1</v>
      </c>
      <c r="H153" s="468">
        <f t="shared" si="43"/>
        <v>0.49440000000000001</v>
      </c>
      <c r="I153" s="431">
        <f t="shared" si="44"/>
        <v>7605.805104</v>
      </c>
      <c r="K153" s="323">
        <v>15383.910000000002</v>
      </c>
      <c r="L153" s="467">
        <f t="shared" si="45"/>
        <v>1</v>
      </c>
      <c r="M153" s="468">
        <f t="shared" si="46"/>
        <v>0.49440000000000001</v>
      </c>
      <c r="N153" s="431">
        <f t="shared" si="47"/>
        <v>7605.8051040000009</v>
      </c>
      <c r="S153" s="425"/>
    </row>
    <row r="154" spans="1:19">
      <c r="A154" s="863">
        <f t="shared" si="40"/>
        <v>140</v>
      </c>
      <c r="B154" s="1056">
        <v>39009</v>
      </c>
      <c r="C154" s="88" t="s">
        <v>1045</v>
      </c>
      <c r="D154" s="323">
        <v>38834</v>
      </c>
      <c r="E154" s="431">
        <v>0</v>
      </c>
      <c r="F154" s="431">
        <f t="shared" si="41"/>
        <v>38834</v>
      </c>
      <c r="G154" s="467">
        <f t="shared" si="42"/>
        <v>1</v>
      </c>
      <c r="H154" s="468">
        <f t="shared" si="43"/>
        <v>0.49440000000000001</v>
      </c>
      <c r="I154" s="431">
        <f t="shared" si="44"/>
        <v>19199.529600000002</v>
      </c>
      <c r="K154" s="323">
        <v>38834</v>
      </c>
      <c r="L154" s="467">
        <f t="shared" si="45"/>
        <v>1</v>
      </c>
      <c r="M154" s="468">
        <f t="shared" si="46"/>
        <v>0.49440000000000001</v>
      </c>
      <c r="N154" s="431">
        <f t="shared" si="47"/>
        <v>19199.529600000002</v>
      </c>
      <c r="S154" s="425"/>
    </row>
    <row r="155" spans="1:19">
      <c r="A155" s="863">
        <f t="shared" si="40"/>
        <v>141</v>
      </c>
      <c r="B155" s="1056">
        <v>39100</v>
      </c>
      <c r="C155" s="88" t="s">
        <v>786</v>
      </c>
      <c r="D155" s="323">
        <v>41397.21</v>
      </c>
      <c r="E155" s="431">
        <v>0</v>
      </c>
      <c r="F155" s="431">
        <f t="shared" si="41"/>
        <v>41397.21</v>
      </c>
      <c r="G155" s="467">
        <f t="shared" si="42"/>
        <v>1</v>
      </c>
      <c r="H155" s="468">
        <f t="shared" si="43"/>
        <v>0.49440000000000001</v>
      </c>
      <c r="I155" s="431">
        <f t="shared" si="44"/>
        <v>20466.780623999999</v>
      </c>
      <c r="K155" s="323">
        <v>41397.210000000006</v>
      </c>
      <c r="L155" s="467">
        <f t="shared" si="45"/>
        <v>1</v>
      </c>
      <c r="M155" s="468">
        <f t="shared" si="46"/>
        <v>0.49440000000000001</v>
      </c>
      <c r="N155" s="431">
        <f t="shared" si="47"/>
        <v>20466.780624000003</v>
      </c>
      <c r="S155" s="425"/>
    </row>
    <row r="156" spans="1:19">
      <c r="A156" s="863">
        <f t="shared" si="40"/>
        <v>142</v>
      </c>
      <c r="B156" s="1056">
        <v>39101</v>
      </c>
      <c r="C156" s="88" t="s">
        <v>1538</v>
      </c>
      <c r="D156" s="323">
        <v>0</v>
      </c>
      <c r="E156" s="431">
        <v>0</v>
      </c>
      <c r="F156" s="431">
        <f t="shared" si="41"/>
        <v>0</v>
      </c>
      <c r="G156" s="467">
        <f t="shared" si="42"/>
        <v>1</v>
      </c>
      <c r="H156" s="468">
        <f t="shared" si="43"/>
        <v>0.49440000000000001</v>
      </c>
      <c r="I156" s="431">
        <f t="shared" si="44"/>
        <v>0</v>
      </c>
      <c r="K156" s="323">
        <v>0</v>
      </c>
      <c r="L156" s="467">
        <f t="shared" ref="L156:L167" si="48">G156</f>
        <v>1</v>
      </c>
      <c r="M156" s="468">
        <f t="shared" ref="M156:M167" si="49">H156</f>
        <v>0.49440000000000001</v>
      </c>
      <c r="N156" s="431">
        <f t="shared" ref="N156:N167" si="50">K156*L156*M156</f>
        <v>0</v>
      </c>
      <c r="S156" s="425"/>
    </row>
    <row r="157" spans="1:19">
      <c r="A157" s="863">
        <f t="shared" si="40"/>
        <v>143</v>
      </c>
      <c r="B157" s="1056">
        <v>39103</v>
      </c>
      <c r="C157" s="88" t="s">
        <v>787</v>
      </c>
      <c r="D157" s="323">
        <v>0</v>
      </c>
      <c r="E157" s="431">
        <v>0</v>
      </c>
      <c r="F157" s="431">
        <f t="shared" si="41"/>
        <v>0</v>
      </c>
      <c r="G157" s="467">
        <f t="shared" si="42"/>
        <v>1</v>
      </c>
      <c r="H157" s="468">
        <f t="shared" si="43"/>
        <v>0.49440000000000001</v>
      </c>
      <c r="I157" s="431">
        <f t="shared" si="44"/>
        <v>0</v>
      </c>
      <c r="K157" s="323">
        <v>0</v>
      </c>
      <c r="L157" s="467">
        <f t="shared" si="48"/>
        <v>1</v>
      </c>
      <c r="M157" s="468">
        <f t="shared" si="49"/>
        <v>0.49440000000000001</v>
      </c>
      <c r="N157" s="431">
        <f t="shared" si="50"/>
        <v>0</v>
      </c>
      <c r="S157" s="425"/>
    </row>
    <row r="158" spans="1:19">
      <c r="A158" s="863">
        <f t="shared" si="40"/>
        <v>144</v>
      </c>
      <c r="B158" s="1056">
        <v>39200</v>
      </c>
      <c r="C158" s="88" t="s">
        <v>1085</v>
      </c>
      <c r="D158" s="323">
        <v>27284.69</v>
      </c>
      <c r="E158" s="431">
        <v>0</v>
      </c>
      <c r="F158" s="431">
        <f t="shared" si="41"/>
        <v>27284.69</v>
      </c>
      <c r="G158" s="467">
        <f t="shared" si="42"/>
        <v>1</v>
      </c>
      <c r="H158" s="468">
        <f t="shared" si="43"/>
        <v>0.49440000000000001</v>
      </c>
      <c r="I158" s="431">
        <f t="shared" si="44"/>
        <v>13489.550735999999</v>
      </c>
      <c r="K158" s="323">
        <v>27284.69</v>
      </c>
      <c r="L158" s="467">
        <f t="shared" si="48"/>
        <v>1</v>
      </c>
      <c r="M158" s="468">
        <f t="shared" si="49"/>
        <v>0.49440000000000001</v>
      </c>
      <c r="N158" s="431">
        <f t="shared" si="50"/>
        <v>13489.550735999999</v>
      </c>
      <c r="S158" s="425"/>
    </row>
    <row r="159" spans="1:19">
      <c r="A159" s="863">
        <f t="shared" si="40"/>
        <v>145</v>
      </c>
      <c r="B159" s="1056">
        <v>39300</v>
      </c>
      <c r="C159" s="88" t="s">
        <v>655</v>
      </c>
      <c r="D159" s="323">
        <v>0</v>
      </c>
      <c r="E159" s="431">
        <v>0</v>
      </c>
      <c r="F159" s="431">
        <f t="shared" si="41"/>
        <v>0</v>
      </c>
      <c r="G159" s="467">
        <f t="shared" si="42"/>
        <v>1</v>
      </c>
      <c r="H159" s="468">
        <f t="shared" si="43"/>
        <v>0.49440000000000001</v>
      </c>
      <c r="I159" s="431">
        <f t="shared" si="44"/>
        <v>0</v>
      </c>
      <c r="K159" s="323">
        <v>0</v>
      </c>
      <c r="L159" s="467">
        <f t="shared" si="48"/>
        <v>1</v>
      </c>
      <c r="M159" s="468">
        <f t="shared" si="49"/>
        <v>0.49440000000000001</v>
      </c>
      <c r="N159" s="431">
        <f t="shared" si="50"/>
        <v>0</v>
      </c>
      <c r="S159" s="425"/>
    </row>
    <row r="160" spans="1:19">
      <c r="A160" s="863">
        <f t="shared" si="40"/>
        <v>146</v>
      </c>
      <c r="B160" s="1056">
        <v>39400</v>
      </c>
      <c r="C160" s="88" t="s">
        <v>1044</v>
      </c>
      <c r="D160" s="323">
        <v>186174.43620427285</v>
      </c>
      <c r="E160" s="431">
        <v>0</v>
      </c>
      <c r="F160" s="431">
        <f t="shared" si="41"/>
        <v>186174.43620427285</v>
      </c>
      <c r="G160" s="467">
        <f t="shared" si="42"/>
        <v>1</v>
      </c>
      <c r="H160" s="468">
        <f t="shared" si="43"/>
        <v>0.49440000000000001</v>
      </c>
      <c r="I160" s="431">
        <f t="shared" si="44"/>
        <v>92044.641259392491</v>
      </c>
      <c r="K160" s="323">
        <v>181813.78396400355</v>
      </c>
      <c r="L160" s="467">
        <f t="shared" si="48"/>
        <v>1</v>
      </c>
      <c r="M160" s="468">
        <f t="shared" si="49"/>
        <v>0.49440000000000001</v>
      </c>
      <c r="N160" s="431">
        <f t="shared" si="50"/>
        <v>89888.734791803363</v>
      </c>
      <c r="S160" s="425"/>
    </row>
    <row r="161" spans="1:19">
      <c r="A161" s="863">
        <f t="shared" si="40"/>
        <v>147</v>
      </c>
      <c r="B161" s="1056">
        <v>39600</v>
      </c>
      <c r="C161" s="88" t="s">
        <v>547</v>
      </c>
      <c r="D161" s="323">
        <v>20515.689999999999</v>
      </c>
      <c r="E161" s="431">
        <v>0</v>
      </c>
      <c r="F161" s="431">
        <f t="shared" si="41"/>
        <v>20515.689999999999</v>
      </c>
      <c r="G161" s="467">
        <f t="shared" si="42"/>
        <v>1</v>
      </c>
      <c r="H161" s="468">
        <f t="shared" si="43"/>
        <v>0.49440000000000001</v>
      </c>
      <c r="I161" s="431">
        <f t="shared" si="44"/>
        <v>10142.957135999999</v>
      </c>
      <c r="K161" s="323">
        <v>20515.689999999999</v>
      </c>
      <c r="L161" s="467">
        <f t="shared" si="48"/>
        <v>1</v>
      </c>
      <c r="M161" s="468">
        <f t="shared" si="49"/>
        <v>0.49440000000000001</v>
      </c>
      <c r="N161" s="431">
        <f t="shared" si="50"/>
        <v>10142.957135999999</v>
      </c>
      <c r="S161" s="425"/>
    </row>
    <row r="162" spans="1:19">
      <c r="A162" s="863">
        <f t="shared" si="40"/>
        <v>148</v>
      </c>
      <c r="B162" s="1056">
        <v>39700</v>
      </c>
      <c r="C162" s="88" t="s">
        <v>445</v>
      </c>
      <c r="D162" s="323">
        <v>66532.643795727156</v>
      </c>
      <c r="E162" s="431">
        <v>0</v>
      </c>
      <c r="F162" s="431">
        <f t="shared" si="41"/>
        <v>66532.643795727156</v>
      </c>
      <c r="G162" s="467">
        <f t="shared" si="42"/>
        <v>1</v>
      </c>
      <c r="H162" s="468">
        <f t="shared" si="43"/>
        <v>0.49440000000000001</v>
      </c>
      <c r="I162" s="431">
        <f t="shared" si="44"/>
        <v>32893.73909260751</v>
      </c>
      <c r="K162" s="323">
        <v>54266.948343688746</v>
      </c>
      <c r="L162" s="467">
        <f t="shared" si="48"/>
        <v>1</v>
      </c>
      <c r="M162" s="468">
        <f t="shared" si="49"/>
        <v>0.49440000000000001</v>
      </c>
      <c r="N162" s="431">
        <f t="shared" si="50"/>
        <v>26829.579261119718</v>
      </c>
      <c r="S162" s="425"/>
    </row>
    <row r="163" spans="1:19">
      <c r="A163" s="863">
        <f t="shared" si="40"/>
        <v>149</v>
      </c>
      <c r="B163" s="1056">
        <v>39701</v>
      </c>
      <c r="C163" s="88" t="s">
        <v>1535</v>
      </c>
      <c r="D163" s="323">
        <v>0</v>
      </c>
      <c r="E163" s="431">
        <v>0</v>
      </c>
      <c r="F163" s="431">
        <f t="shared" si="41"/>
        <v>0</v>
      </c>
      <c r="G163" s="467">
        <f t="shared" si="42"/>
        <v>1</v>
      </c>
      <c r="H163" s="468">
        <f t="shared" si="43"/>
        <v>0.49440000000000001</v>
      </c>
      <c r="I163" s="431">
        <f t="shared" si="44"/>
        <v>0</v>
      </c>
      <c r="K163" s="323">
        <v>0</v>
      </c>
      <c r="L163" s="467">
        <f t="shared" si="48"/>
        <v>1</v>
      </c>
      <c r="M163" s="468">
        <f t="shared" si="49"/>
        <v>0.49440000000000001</v>
      </c>
      <c r="N163" s="431">
        <f t="shared" si="50"/>
        <v>0</v>
      </c>
      <c r="S163" s="425"/>
    </row>
    <row r="164" spans="1:19">
      <c r="A164" s="863">
        <f t="shared" si="40"/>
        <v>150</v>
      </c>
      <c r="B164" s="1056">
        <v>39702</v>
      </c>
      <c r="C164" s="88" t="s">
        <v>1535</v>
      </c>
      <c r="D164" s="323">
        <v>0</v>
      </c>
      <c r="E164" s="431">
        <v>0</v>
      </c>
      <c r="F164" s="431">
        <f t="shared" si="41"/>
        <v>0</v>
      </c>
      <c r="G164" s="467">
        <f t="shared" si="42"/>
        <v>1</v>
      </c>
      <c r="H164" s="468">
        <f t="shared" si="43"/>
        <v>0.49440000000000001</v>
      </c>
      <c r="I164" s="431">
        <f t="shared" si="44"/>
        <v>0</v>
      </c>
      <c r="K164" s="323">
        <v>0</v>
      </c>
      <c r="L164" s="467">
        <f t="shared" si="48"/>
        <v>1</v>
      </c>
      <c r="M164" s="468">
        <f t="shared" si="49"/>
        <v>0.49440000000000001</v>
      </c>
      <c r="N164" s="431">
        <f t="shared" si="50"/>
        <v>0</v>
      </c>
      <c r="S164" s="425"/>
    </row>
    <row r="165" spans="1:19">
      <c r="A165" s="863">
        <f t="shared" si="40"/>
        <v>151</v>
      </c>
      <c r="B165" s="1056">
        <v>39800</v>
      </c>
      <c r="C165" s="88" t="s">
        <v>656</v>
      </c>
      <c r="D165" s="323">
        <v>814166.88</v>
      </c>
      <c r="E165" s="431">
        <v>0</v>
      </c>
      <c r="F165" s="431">
        <f t="shared" si="41"/>
        <v>814166.88</v>
      </c>
      <c r="G165" s="467">
        <f t="shared" si="42"/>
        <v>1</v>
      </c>
      <c r="H165" s="468">
        <f t="shared" si="43"/>
        <v>0.49440000000000001</v>
      </c>
      <c r="I165" s="431">
        <f t="shared" si="44"/>
        <v>402524.10547200002</v>
      </c>
      <c r="K165" s="323">
        <v>814166.88000000012</v>
      </c>
      <c r="L165" s="467">
        <f t="shared" si="48"/>
        <v>1</v>
      </c>
      <c r="M165" s="468">
        <f t="shared" si="49"/>
        <v>0.49440000000000001</v>
      </c>
      <c r="N165" s="431">
        <f t="shared" si="50"/>
        <v>402524.10547200008</v>
      </c>
      <c r="S165" s="425"/>
    </row>
    <row r="166" spans="1:19">
      <c r="A166" s="863">
        <f t="shared" si="40"/>
        <v>152</v>
      </c>
      <c r="B166" s="1056">
        <v>39900</v>
      </c>
      <c r="C166" s="88" t="s">
        <v>1162</v>
      </c>
      <c r="D166" s="323">
        <v>0</v>
      </c>
      <c r="E166" s="431">
        <v>0</v>
      </c>
      <c r="F166" s="431">
        <f t="shared" si="41"/>
        <v>0</v>
      </c>
      <c r="G166" s="467">
        <f t="shared" si="42"/>
        <v>1</v>
      </c>
      <c r="H166" s="468">
        <f t="shared" si="43"/>
        <v>0.49440000000000001</v>
      </c>
      <c r="I166" s="431">
        <f t="shared" si="44"/>
        <v>0</v>
      </c>
      <c r="K166" s="323">
        <v>0</v>
      </c>
      <c r="L166" s="467">
        <f t="shared" si="48"/>
        <v>1</v>
      </c>
      <c r="M166" s="468">
        <f t="shared" si="49"/>
        <v>0.49440000000000001</v>
      </c>
      <c r="N166" s="431">
        <f t="shared" si="50"/>
        <v>0</v>
      </c>
      <c r="S166" s="425"/>
    </row>
    <row r="167" spans="1:19">
      <c r="A167" s="863">
        <f t="shared" si="40"/>
        <v>153</v>
      </c>
      <c r="B167" s="1056">
        <v>39901</v>
      </c>
      <c r="C167" s="88" t="s">
        <v>479</v>
      </c>
      <c r="D167" s="323">
        <v>0</v>
      </c>
      <c r="E167" s="431">
        <v>0</v>
      </c>
      <c r="F167" s="431">
        <f t="shared" si="41"/>
        <v>0</v>
      </c>
      <c r="G167" s="467">
        <f t="shared" si="42"/>
        <v>1</v>
      </c>
      <c r="H167" s="468">
        <f t="shared" si="43"/>
        <v>0.49440000000000001</v>
      </c>
      <c r="I167" s="431">
        <f t="shared" si="44"/>
        <v>0</v>
      </c>
      <c r="K167" s="323">
        <v>0</v>
      </c>
      <c r="L167" s="467">
        <f t="shared" si="48"/>
        <v>1</v>
      </c>
      <c r="M167" s="468">
        <f t="shared" si="49"/>
        <v>0.49440000000000001</v>
      </c>
      <c r="N167" s="431">
        <f t="shared" si="50"/>
        <v>0</v>
      </c>
      <c r="S167" s="425"/>
    </row>
    <row r="168" spans="1:19">
      <c r="A168" s="863">
        <f t="shared" si="40"/>
        <v>154</v>
      </c>
      <c r="B168" s="1056">
        <v>39902</v>
      </c>
      <c r="C168" s="88" t="s">
        <v>968</v>
      </c>
      <c r="D168" s="323">
        <v>0</v>
      </c>
      <c r="E168" s="431">
        <v>0</v>
      </c>
      <c r="F168" s="431">
        <f t="shared" si="41"/>
        <v>0</v>
      </c>
      <c r="G168" s="467">
        <f t="shared" si="42"/>
        <v>1</v>
      </c>
      <c r="H168" s="468">
        <f t="shared" si="43"/>
        <v>0.49440000000000001</v>
      </c>
      <c r="I168" s="431">
        <f t="shared" si="44"/>
        <v>0</v>
      </c>
      <c r="K168" s="323">
        <v>0</v>
      </c>
      <c r="L168" s="467">
        <f t="shared" si="45"/>
        <v>1</v>
      </c>
      <c r="M168" s="468">
        <f t="shared" si="46"/>
        <v>0.49440000000000001</v>
      </c>
      <c r="N168" s="431">
        <f t="shared" si="47"/>
        <v>0</v>
      </c>
      <c r="S168" s="425"/>
    </row>
    <row r="169" spans="1:19">
      <c r="A169" s="863">
        <f t="shared" si="40"/>
        <v>155</v>
      </c>
      <c r="B169" s="1056">
        <v>39903</v>
      </c>
      <c r="C169" s="88" t="s">
        <v>1011</v>
      </c>
      <c r="D169" s="323">
        <v>0</v>
      </c>
      <c r="E169" s="431">
        <v>0</v>
      </c>
      <c r="F169" s="431">
        <f t="shared" si="41"/>
        <v>0</v>
      </c>
      <c r="G169" s="467">
        <f t="shared" si="42"/>
        <v>1</v>
      </c>
      <c r="H169" s="468">
        <f t="shared" si="43"/>
        <v>0.49440000000000001</v>
      </c>
      <c r="I169" s="431">
        <f t="shared" si="44"/>
        <v>0</v>
      </c>
      <c r="K169" s="323">
        <v>0</v>
      </c>
      <c r="L169" s="467">
        <f t="shared" si="45"/>
        <v>1</v>
      </c>
      <c r="M169" s="468">
        <f t="shared" si="46"/>
        <v>0.49440000000000001</v>
      </c>
      <c r="N169" s="431">
        <f t="shared" si="47"/>
        <v>0</v>
      </c>
      <c r="S169" s="425"/>
    </row>
    <row r="170" spans="1:19">
      <c r="A170" s="863">
        <f t="shared" si="40"/>
        <v>156</v>
      </c>
      <c r="B170" s="1056">
        <v>39906</v>
      </c>
      <c r="C170" s="88" t="s">
        <v>456</v>
      </c>
      <c r="D170" s="323">
        <v>74189.619999999966</v>
      </c>
      <c r="E170" s="431">
        <v>0</v>
      </c>
      <c r="F170" s="431">
        <f t="shared" si="41"/>
        <v>74189.619999999966</v>
      </c>
      <c r="G170" s="467">
        <f t="shared" si="42"/>
        <v>1</v>
      </c>
      <c r="H170" s="468">
        <f t="shared" si="43"/>
        <v>0.49440000000000001</v>
      </c>
      <c r="I170" s="431">
        <f t="shared" si="44"/>
        <v>36679.348127999983</v>
      </c>
      <c r="K170" s="323">
        <v>74189.619999999981</v>
      </c>
      <c r="L170" s="467">
        <f t="shared" si="45"/>
        <v>1</v>
      </c>
      <c r="M170" s="468">
        <f t="shared" si="46"/>
        <v>0.49440000000000001</v>
      </c>
      <c r="N170" s="431">
        <f t="shared" si="47"/>
        <v>36679.348127999991</v>
      </c>
      <c r="S170" s="425"/>
    </row>
    <row r="171" spans="1:19">
      <c r="A171" s="863">
        <f t="shared" si="40"/>
        <v>157</v>
      </c>
      <c r="B171" s="1056">
        <v>39907</v>
      </c>
      <c r="C171" s="88" t="s">
        <v>510</v>
      </c>
      <c r="D171" s="323">
        <v>35063.769999999997</v>
      </c>
      <c r="E171" s="431">
        <v>0</v>
      </c>
      <c r="F171" s="431">
        <f t="shared" si="41"/>
        <v>35063.769999999997</v>
      </c>
      <c r="G171" s="467">
        <f t="shared" si="42"/>
        <v>1</v>
      </c>
      <c r="H171" s="468">
        <f t="shared" si="43"/>
        <v>0.49440000000000001</v>
      </c>
      <c r="I171" s="431">
        <f t="shared" si="44"/>
        <v>17335.527887999997</v>
      </c>
      <c r="K171" s="323">
        <v>35063.770000000004</v>
      </c>
      <c r="L171" s="467">
        <f t="shared" si="45"/>
        <v>1</v>
      </c>
      <c r="M171" s="468">
        <f t="shared" si="46"/>
        <v>0.49440000000000001</v>
      </c>
      <c r="N171" s="431">
        <f t="shared" si="47"/>
        <v>17335.527888000001</v>
      </c>
      <c r="S171" s="425"/>
    </row>
    <row r="172" spans="1:19">
      <c r="A172" s="863">
        <f t="shared" si="40"/>
        <v>158</v>
      </c>
      <c r="B172" s="1056">
        <v>39908</v>
      </c>
      <c r="C172" s="88" t="s">
        <v>180</v>
      </c>
      <c r="D172" s="323">
        <v>828509.36</v>
      </c>
      <c r="E172" s="431">
        <v>0</v>
      </c>
      <c r="F172" s="431">
        <f t="shared" si="41"/>
        <v>828509.36</v>
      </c>
      <c r="G172" s="467">
        <f t="shared" si="42"/>
        <v>1</v>
      </c>
      <c r="H172" s="468">
        <f t="shared" si="43"/>
        <v>0.49440000000000001</v>
      </c>
      <c r="I172" s="431">
        <f t="shared" si="44"/>
        <v>409615.02758400002</v>
      </c>
      <c r="K172" s="323">
        <v>828509.36</v>
      </c>
      <c r="L172" s="467">
        <f t="shared" si="45"/>
        <v>1</v>
      </c>
      <c r="M172" s="468">
        <f t="shared" si="46"/>
        <v>0.49440000000000001</v>
      </c>
      <c r="N172" s="431">
        <f t="shared" si="47"/>
        <v>409615.02758400002</v>
      </c>
      <c r="S172" s="425"/>
    </row>
    <row r="173" spans="1:19">
      <c r="A173" s="863">
        <f t="shared" si="40"/>
        <v>159</v>
      </c>
      <c r="B173" s="1052"/>
      <c r="C173" s="88"/>
      <c r="D173" s="621"/>
      <c r="E173" s="621"/>
      <c r="F173" s="621"/>
      <c r="I173" s="621"/>
      <c r="K173" s="621"/>
      <c r="N173" s="621"/>
    </row>
    <row r="174" spans="1:19">
      <c r="A174" s="863">
        <f t="shared" si="40"/>
        <v>160</v>
      </c>
      <c r="B174" s="1052"/>
      <c r="C174" s="88" t="s">
        <v>4</v>
      </c>
      <c r="D174" s="361">
        <f>SUM(D152:D173)</f>
        <v>2327390.73</v>
      </c>
      <c r="E174" s="347">
        <f>SUM(E152:E173)</f>
        <v>0</v>
      </c>
      <c r="F174" s="361">
        <f>SUM(F152:F173)</f>
        <v>2327390.73</v>
      </c>
      <c r="I174" s="361">
        <f>SUM(I152:I173)</f>
        <v>1150661.976912</v>
      </c>
      <c r="K174" s="361">
        <f>SUM(K152:K173)</f>
        <v>2310764.3823076924</v>
      </c>
      <c r="N174" s="361">
        <f>SUM(N152:N173)</f>
        <v>1142441.9106129233</v>
      </c>
    </row>
    <row r="175" spans="1:19">
      <c r="A175" s="863">
        <f t="shared" si="40"/>
        <v>161</v>
      </c>
      <c r="B175" s="1052"/>
      <c r="C175" s="88"/>
    </row>
    <row r="176" spans="1:19" ht="15.75" thickBot="1">
      <c r="A176" s="863">
        <f t="shared" si="40"/>
        <v>162</v>
      </c>
      <c r="B176" s="1052"/>
      <c r="C176" s="234" t="s">
        <v>1338</v>
      </c>
      <c r="D176" s="1021">
        <f>D124+D149+D174</f>
        <v>3622251.6799999997</v>
      </c>
      <c r="E176" s="330">
        <f>E124+E149+E174</f>
        <v>0</v>
      </c>
      <c r="F176" s="1021">
        <f>F124+F149+F174</f>
        <v>3622251.6799999997</v>
      </c>
      <c r="I176" s="1021">
        <f>I124+I149+I174</f>
        <v>1790841.2305919998</v>
      </c>
      <c r="K176" s="1021">
        <f>K124+K149+K174</f>
        <v>3605625.3323076926</v>
      </c>
      <c r="N176" s="1021">
        <f>N124+N149+N174</f>
        <v>1782621.1642929232</v>
      </c>
    </row>
    <row r="177" spans="1:19" ht="15.75" thickTop="1">
      <c r="A177" s="863">
        <f t="shared" si="40"/>
        <v>163</v>
      </c>
      <c r="B177" s="1052"/>
      <c r="C177" s="88"/>
      <c r="D177" s="323"/>
      <c r="E177" s="329"/>
      <c r="F177" s="329"/>
      <c r="I177" s="329"/>
    </row>
    <row r="178" spans="1:19">
      <c r="A178" s="863">
        <f t="shared" si="40"/>
        <v>164</v>
      </c>
      <c r="B178" s="1052"/>
      <c r="C178" s="81" t="s">
        <v>756</v>
      </c>
      <c r="D178" s="323">
        <v>-10502.07</v>
      </c>
      <c r="E178" s="329">
        <v>0</v>
      </c>
      <c r="F178" s="329">
        <f>D178+E178</f>
        <v>-10502.07</v>
      </c>
      <c r="G178" s="467">
        <f>$G$16</f>
        <v>1</v>
      </c>
      <c r="H178" s="468">
        <f>$H$121</f>
        <v>0.49440000000000001</v>
      </c>
      <c r="I178" s="329">
        <f>F178*G178*H178</f>
        <v>-5192.2234079999998</v>
      </c>
      <c r="K178" s="323">
        <v>-10502.070000000003</v>
      </c>
      <c r="L178" s="467">
        <f>G178</f>
        <v>1</v>
      </c>
      <c r="M178" s="468">
        <f>H178</f>
        <v>0.49440000000000001</v>
      </c>
      <c r="N178" s="329">
        <f>K178*L178*M178</f>
        <v>-5192.2234080000017</v>
      </c>
    </row>
    <row r="179" spans="1:19">
      <c r="A179" s="863">
        <f t="shared" si="40"/>
        <v>165</v>
      </c>
      <c r="B179" s="1052"/>
    </row>
    <row r="180" spans="1:19" ht="15.75">
      <c r="A180" s="863">
        <f t="shared" si="40"/>
        <v>166</v>
      </c>
      <c r="B180" s="1055" t="s">
        <v>8</v>
      </c>
    </row>
    <row r="181" spans="1:19">
      <c r="A181" s="863">
        <f t="shared" si="40"/>
        <v>167</v>
      </c>
      <c r="B181" s="1052"/>
    </row>
    <row r="182" spans="1:19">
      <c r="A182" s="863">
        <f t="shared" si="40"/>
        <v>168</v>
      </c>
      <c r="B182" s="1052"/>
      <c r="C182" s="622" t="s">
        <v>305</v>
      </c>
    </row>
    <row r="183" spans="1:19">
      <c r="A183" s="863">
        <f t="shared" si="40"/>
        <v>169</v>
      </c>
      <c r="B183" s="1058">
        <v>39000</v>
      </c>
      <c r="C183" s="234" t="s">
        <v>863</v>
      </c>
      <c r="D183" s="323">
        <v>1411508.0726851968</v>
      </c>
      <c r="E183" s="347">
        <v>0</v>
      </c>
      <c r="F183" s="347">
        <f t="shared" ref="F183" si="51">D183+E183</f>
        <v>1411508.0726851968</v>
      </c>
      <c r="G183" s="468">
        <f>Allocation!$C$14</f>
        <v>9.8900000000000002E-2</v>
      </c>
      <c r="H183" s="468">
        <f>Allocation!$D$14</f>
        <v>0.49440000000000001</v>
      </c>
      <c r="I183" s="347">
        <f t="shared" ref="I183:I220" si="52">F183*G183*H183</f>
        <v>69017.324563307004</v>
      </c>
      <c r="K183" s="323">
        <v>1411473.2213790265</v>
      </c>
      <c r="L183" s="468">
        <f t="shared" ref="L183:L210" si="53">G183</f>
        <v>9.8900000000000002E-2</v>
      </c>
      <c r="M183" s="468">
        <f t="shared" ref="M183:M195" si="54">H183</f>
        <v>0.49440000000000001</v>
      </c>
      <c r="N183" s="347">
        <f t="shared" ref="N183" si="55">K183*L183*M183</f>
        <v>69015.6204682643</v>
      </c>
      <c r="P183" s="663"/>
      <c r="S183" s="425"/>
    </row>
    <row r="184" spans="1:19">
      <c r="A184" s="863">
        <f t="shared" si="40"/>
        <v>170</v>
      </c>
      <c r="B184" s="1058">
        <v>39005</v>
      </c>
      <c r="C184" s="234" t="s">
        <v>1206</v>
      </c>
      <c r="D184" s="323">
        <v>9133014.5899999999</v>
      </c>
      <c r="E184" s="624">
        <v>0</v>
      </c>
      <c r="F184" s="431">
        <f>D184+E184</f>
        <v>9133014.5899999999</v>
      </c>
      <c r="G184" s="468">
        <v>1</v>
      </c>
      <c r="H184" s="468">
        <f>Allocation!$E$20</f>
        <v>1.550753E-2</v>
      </c>
      <c r="I184" s="431">
        <f>F184*G184*H184</f>
        <v>141630.49774486269</v>
      </c>
      <c r="K184" s="323">
        <v>9133014.5900000017</v>
      </c>
      <c r="L184" s="468">
        <f>G184</f>
        <v>1</v>
      </c>
      <c r="M184" s="468">
        <f t="shared" si="54"/>
        <v>1.550753E-2</v>
      </c>
      <c r="N184" s="431">
        <f>K184*L184*M184</f>
        <v>141630.49774486272</v>
      </c>
      <c r="P184" s="663"/>
      <c r="S184" s="425"/>
    </row>
    <row r="185" spans="1:19">
      <c r="A185" s="863">
        <f t="shared" si="40"/>
        <v>171</v>
      </c>
      <c r="B185" s="1058">
        <v>39009</v>
      </c>
      <c r="C185" s="234" t="s">
        <v>1045</v>
      </c>
      <c r="D185" s="323">
        <v>9981070.070771154</v>
      </c>
      <c r="E185" s="624">
        <v>0</v>
      </c>
      <c r="F185" s="431">
        <f t="shared" ref="F185:F220" si="56">D185+E185</f>
        <v>9981070.070771154</v>
      </c>
      <c r="G185" s="468">
        <f t="shared" ref="G185:G204" si="57">$G$183</f>
        <v>9.8900000000000002E-2</v>
      </c>
      <c r="H185" s="468">
        <f>$H$183</f>
        <v>0.49440000000000001</v>
      </c>
      <c r="I185" s="431">
        <f t="shared" si="52"/>
        <v>488035.99915163766</v>
      </c>
      <c r="K185" s="323">
        <v>9784879.1724686306</v>
      </c>
      <c r="L185" s="468">
        <f t="shared" si="53"/>
        <v>9.8900000000000002E-2</v>
      </c>
      <c r="M185" s="468">
        <f t="shared" si="54"/>
        <v>0.49440000000000001</v>
      </c>
      <c r="N185" s="431">
        <f t="shared" ref="N185:N220" si="58">K185*L185*M185</f>
        <v>478443.01759769378</v>
      </c>
      <c r="P185" s="663"/>
      <c r="S185" s="425"/>
    </row>
    <row r="186" spans="1:19">
      <c r="A186" s="863">
        <f t="shared" si="40"/>
        <v>172</v>
      </c>
      <c r="B186" s="1058">
        <v>39020</v>
      </c>
      <c r="C186" s="234" t="s">
        <v>1539</v>
      </c>
      <c r="D186" s="323">
        <v>0</v>
      </c>
      <c r="E186" s="624">
        <v>0</v>
      </c>
      <c r="F186" s="431">
        <f t="shared" si="56"/>
        <v>0</v>
      </c>
      <c r="G186" s="468">
        <v>1</v>
      </c>
      <c r="H186" s="468">
        <f>Allocation!E22</f>
        <v>6.437198999999999E-2</v>
      </c>
      <c r="I186" s="431">
        <f t="shared" si="52"/>
        <v>0</v>
      </c>
      <c r="K186" s="323">
        <v>0</v>
      </c>
      <c r="L186" s="468">
        <v>1</v>
      </c>
      <c r="M186" s="468">
        <f t="shared" si="54"/>
        <v>6.437198999999999E-2</v>
      </c>
      <c r="N186" s="431">
        <f t="shared" si="58"/>
        <v>0</v>
      </c>
      <c r="P186" s="663"/>
      <c r="S186" s="425"/>
    </row>
    <row r="187" spans="1:19">
      <c r="A187" s="863">
        <f t="shared" si="40"/>
        <v>173</v>
      </c>
      <c r="B187" s="1058">
        <v>39029</v>
      </c>
      <c r="C187" s="234" t="s">
        <v>1540</v>
      </c>
      <c r="D187" s="323">
        <v>0</v>
      </c>
      <c r="E187" s="624">
        <v>0</v>
      </c>
      <c r="F187" s="431">
        <f t="shared" si="56"/>
        <v>0</v>
      </c>
      <c r="G187" s="468">
        <v>1</v>
      </c>
      <c r="H187" s="468">
        <f>H186</f>
        <v>6.437198999999999E-2</v>
      </c>
      <c r="I187" s="431">
        <f t="shared" si="52"/>
        <v>0</v>
      </c>
      <c r="K187" s="323">
        <v>0</v>
      </c>
      <c r="L187" s="468">
        <v>1</v>
      </c>
      <c r="M187" s="468">
        <f t="shared" si="54"/>
        <v>6.437198999999999E-2</v>
      </c>
      <c r="N187" s="431">
        <f t="shared" si="58"/>
        <v>0</v>
      </c>
      <c r="P187" s="663"/>
      <c r="S187" s="425"/>
    </row>
    <row r="188" spans="1:19">
      <c r="A188" s="863">
        <f t="shared" si="40"/>
        <v>174</v>
      </c>
      <c r="B188" s="1058">
        <v>39100</v>
      </c>
      <c r="C188" s="234" t="s">
        <v>786</v>
      </c>
      <c r="D188" s="323">
        <v>5149733.3547435291</v>
      </c>
      <c r="E188" s="624">
        <v>0</v>
      </c>
      <c r="F188" s="431">
        <f t="shared" si="56"/>
        <v>5149733.3547435291</v>
      </c>
      <c r="G188" s="468">
        <f t="shared" si="57"/>
        <v>9.8900000000000002E-2</v>
      </c>
      <c r="H188" s="468">
        <f>$H$183</f>
        <v>0.49440000000000001</v>
      </c>
      <c r="I188" s="431">
        <f t="shared" si="52"/>
        <v>251802.18607087637</v>
      </c>
      <c r="K188" s="323">
        <v>5126892.7352932561</v>
      </c>
      <c r="L188" s="468">
        <f t="shared" si="53"/>
        <v>9.8900000000000002E-2</v>
      </c>
      <c r="M188" s="468">
        <f t="shared" si="54"/>
        <v>0.49440000000000001</v>
      </c>
      <c r="N188" s="431">
        <f t="shared" si="58"/>
        <v>250685.36748773669</v>
      </c>
      <c r="P188" s="663"/>
      <c r="S188" s="425"/>
    </row>
    <row r="189" spans="1:19">
      <c r="A189" s="863">
        <f t="shared" si="40"/>
        <v>175</v>
      </c>
      <c r="B189" s="1058">
        <v>39102</v>
      </c>
      <c r="C189" s="234" t="s">
        <v>532</v>
      </c>
      <c r="D189" s="323">
        <v>0</v>
      </c>
      <c r="E189" s="624">
        <v>0</v>
      </c>
      <c r="F189" s="431">
        <f t="shared" si="56"/>
        <v>0</v>
      </c>
      <c r="G189" s="468">
        <f t="shared" si="57"/>
        <v>9.8900000000000002E-2</v>
      </c>
      <c r="H189" s="468">
        <f>$H$183</f>
        <v>0.49440000000000001</v>
      </c>
      <c r="I189" s="431">
        <f t="shared" si="52"/>
        <v>0</v>
      </c>
      <c r="K189" s="323">
        <v>0</v>
      </c>
      <c r="L189" s="468">
        <f t="shared" si="53"/>
        <v>9.8900000000000002E-2</v>
      </c>
      <c r="M189" s="468">
        <f t="shared" si="54"/>
        <v>0.49440000000000001</v>
      </c>
      <c r="N189" s="431">
        <f t="shared" si="58"/>
        <v>0</v>
      </c>
      <c r="P189" s="663"/>
      <c r="S189" s="425"/>
    </row>
    <row r="190" spans="1:19">
      <c r="A190" s="863">
        <f t="shared" si="40"/>
        <v>176</v>
      </c>
      <c r="B190" s="1058">
        <v>39103</v>
      </c>
      <c r="C190" s="234" t="s">
        <v>787</v>
      </c>
      <c r="D190" s="323">
        <v>0</v>
      </c>
      <c r="E190" s="624">
        <v>0</v>
      </c>
      <c r="F190" s="431">
        <f t="shared" si="56"/>
        <v>0</v>
      </c>
      <c r="G190" s="468">
        <f t="shared" si="57"/>
        <v>9.8900000000000002E-2</v>
      </c>
      <c r="H190" s="468">
        <f>$H$183</f>
        <v>0.49440000000000001</v>
      </c>
      <c r="I190" s="431">
        <f t="shared" si="52"/>
        <v>0</v>
      </c>
      <c r="K190" s="323">
        <v>0</v>
      </c>
      <c r="L190" s="468">
        <f t="shared" si="53"/>
        <v>9.8900000000000002E-2</v>
      </c>
      <c r="M190" s="468">
        <f t="shared" si="54"/>
        <v>0.49440000000000001</v>
      </c>
      <c r="N190" s="431">
        <f t="shared" si="58"/>
        <v>0</v>
      </c>
      <c r="P190" s="663"/>
      <c r="S190" s="425"/>
    </row>
    <row r="191" spans="1:19">
      <c r="A191" s="863">
        <f t="shared" si="40"/>
        <v>177</v>
      </c>
      <c r="B191" s="1058">
        <v>39104</v>
      </c>
      <c r="C191" s="234" t="s">
        <v>1207</v>
      </c>
      <c r="D191" s="323">
        <v>63740.85</v>
      </c>
      <c r="E191" s="624">
        <v>0</v>
      </c>
      <c r="F191" s="431">
        <f t="shared" si="56"/>
        <v>63740.85</v>
      </c>
      <c r="G191" s="468">
        <v>1</v>
      </c>
      <c r="H191" s="468">
        <f>$H$184</f>
        <v>1.550753E-2</v>
      </c>
      <c r="I191" s="431">
        <f t="shared" si="52"/>
        <v>988.46314360049996</v>
      </c>
      <c r="K191" s="323">
        <v>63740.849999999984</v>
      </c>
      <c r="L191" s="468">
        <f>G191</f>
        <v>1</v>
      </c>
      <c r="M191" s="468">
        <f t="shared" si="54"/>
        <v>1.550753E-2</v>
      </c>
      <c r="N191" s="431">
        <f t="shared" si="58"/>
        <v>988.46314360049973</v>
      </c>
      <c r="P191" s="663"/>
      <c r="S191" s="425"/>
    </row>
    <row r="192" spans="1:19">
      <c r="A192" s="863">
        <f t="shared" si="40"/>
        <v>178</v>
      </c>
      <c r="B192" s="1058">
        <v>39120</v>
      </c>
      <c r="C192" s="234" t="s">
        <v>1541</v>
      </c>
      <c r="D192" s="323">
        <v>263337.89</v>
      </c>
      <c r="E192" s="624">
        <v>0</v>
      </c>
      <c r="F192" s="431">
        <f t="shared" si="56"/>
        <v>263337.89</v>
      </c>
      <c r="G192" s="468">
        <v>1</v>
      </c>
      <c r="H192" s="468">
        <f>H187</f>
        <v>6.437198999999999E-2</v>
      </c>
      <c r="I192" s="431">
        <f t="shared" si="52"/>
        <v>16951.584021701099</v>
      </c>
      <c r="K192" s="323">
        <v>263337.89000000007</v>
      </c>
      <c r="L192" s="468">
        <v>1</v>
      </c>
      <c r="M192" s="468">
        <f t="shared" si="54"/>
        <v>6.437198999999999E-2</v>
      </c>
      <c r="N192" s="431">
        <f t="shared" si="58"/>
        <v>16951.584021701103</v>
      </c>
      <c r="P192" s="663"/>
      <c r="S192" s="425"/>
    </row>
    <row r="193" spans="1:19">
      <c r="A193" s="863">
        <f t="shared" si="40"/>
        <v>179</v>
      </c>
      <c r="B193" s="1058">
        <v>39200</v>
      </c>
      <c r="C193" s="234" t="s">
        <v>1085</v>
      </c>
      <c r="D193" s="323">
        <v>7125.41</v>
      </c>
      <c r="E193" s="624">
        <v>0</v>
      </c>
      <c r="F193" s="431">
        <f t="shared" si="56"/>
        <v>7125.41</v>
      </c>
      <c r="G193" s="468">
        <f t="shared" si="57"/>
        <v>9.8900000000000002E-2</v>
      </c>
      <c r="H193" s="468">
        <f t="shared" ref="H193:H215" si="59">$H$183</f>
        <v>0.49440000000000001</v>
      </c>
      <c r="I193" s="431">
        <f t="shared" si="52"/>
        <v>348.40518742559999</v>
      </c>
      <c r="K193" s="323">
        <v>7125.4100000000026</v>
      </c>
      <c r="L193" s="468">
        <f t="shared" si="53"/>
        <v>9.8900000000000002E-2</v>
      </c>
      <c r="M193" s="468">
        <f t="shared" si="54"/>
        <v>0.49440000000000001</v>
      </c>
      <c r="N193" s="431">
        <f t="shared" si="58"/>
        <v>348.40518742560016</v>
      </c>
      <c r="P193" s="663"/>
      <c r="S193" s="425"/>
    </row>
    <row r="194" spans="1:19">
      <c r="A194" s="863">
        <f t="shared" si="40"/>
        <v>180</v>
      </c>
      <c r="B194" s="1058">
        <v>39300</v>
      </c>
      <c r="C194" s="234" t="s">
        <v>655</v>
      </c>
      <c r="D194" s="323">
        <v>0</v>
      </c>
      <c r="E194" s="624">
        <v>0</v>
      </c>
      <c r="F194" s="431">
        <f t="shared" si="56"/>
        <v>0</v>
      </c>
      <c r="G194" s="468">
        <f t="shared" si="57"/>
        <v>9.8900000000000002E-2</v>
      </c>
      <c r="H194" s="468">
        <f t="shared" si="59"/>
        <v>0.49440000000000001</v>
      </c>
      <c r="I194" s="431">
        <f t="shared" si="52"/>
        <v>0</v>
      </c>
      <c r="K194" s="323">
        <v>0</v>
      </c>
      <c r="L194" s="468">
        <f t="shared" si="53"/>
        <v>9.8900000000000002E-2</v>
      </c>
      <c r="M194" s="468">
        <f t="shared" si="54"/>
        <v>0.49440000000000001</v>
      </c>
      <c r="N194" s="431">
        <f t="shared" si="58"/>
        <v>0</v>
      </c>
      <c r="P194" s="663"/>
      <c r="S194" s="425"/>
    </row>
    <row r="195" spans="1:19">
      <c r="A195" s="863">
        <f t="shared" si="40"/>
        <v>181</v>
      </c>
      <c r="B195" s="1058">
        <v>39400</v>
      </c>
      <c r="C195" s="234" t="s">
        <v>1044</v>
      </c>
      <c r="D195" s="323">
        <v>138022.84980381257</v>
      </c>
      <c r="E195" s="624">
        <v>0</v>
      </c>
      <c r="F195" s="431">
        <f t="shared" si="56"/>
        <v>138022.84980381257</v>
      </c>
      <c r="G195" s="468">
        <f t="shared" si="57"/>
        <v>9.8900000000000002E-2</v>
      </c>
      <c r="H195" s="468">
        <f t="shared" si="59"/>
        <v>0.49440000000000001</v>
      </c>
      <c r="I195" s="431">
        <f t="shared" si="52"/>
        <v>6748.7873476631876</v>
      </c>
      <c r="K195" s="323">
        <v>121415.95157857971</v>
      </c>
      <c r="L195" s="468">
        <f t="shared" si="53"/>
        <v>9.8900000000000002E-2</v>
      </c>
      <c r="M195" s="468">
        <f t="shared" si="54"/>
        <v>0.49440000000000001</v>
      </c>
      <c r="N195" s="431">
        <f t="shared" si="58"/>
        <v>5936.7737949384864</v>
      </c>
      <c r="P195" s="663"/>
      <c r="S195" s="425"/>
    </row>
    <row r="196" spans="1:19">
      <c r="A196" s="863">
        <f t="shared" si="40"/>
        <v>182</v>
      </c>
      <c r="B196" s="1058">
        <v>39420</v>
      </c>
      <c r="C196" s="234" t="s">
        <v>1542</v>
      </c>
      <c r="D196" s="323">
        <v>536386.80548380211</v>
      </c>
      <c r="E196" s="624">
        <v>0</v>
      </c>
      <c r="F196" s="431">
        <f t="shared" si="56"/>
        <v>536386.80548380211</v>
      </c>
      <c r="G196" s="468">
        <v>1</v>
      </c>
      <c r="H196" s="468">
        <f>H192</f>
        <v>6.437198999999999E-2</v>
      </c>
      <c r="I196" s="431">
        <f t="shared" si="52"/>
        <v>34528.286078735247</v>
      </c>
      <c r="K196" s="323">
        <v>392536.13587012351</v>
      </c>
      <c r="L196" s="468">
        <v>1</v>
      </c>
      <c r="M196" s="468">
        <f t="shared" ref="M196:M220" si="60">H196</f>
        <v>6.437198999999999E-2</v>
      </c>
      <c r="N196" s="431">
        <f t="shared" si="58"/>
        <v>25268.332212870228</v>
      </c>
      <c r="P196" s="663"/>
      <c r="S196" s="425"/>
    </row>
    <row r="197" spans="1:19">
      <c r="A197" s="863">
        <f t="shared" si="40"/>
        <v>183</v>
      </c>
      <c r="B197" s="1058">
        <v>39500</v>
      </c>
      <c r="C197" s="234" t="s">
        <v>1208</v>
      </c>
      <c r="D197" s="323">
        <v>0</v>
      </c>
      <c r="E197" s="624">
        <v>0</v>
      </c>
      <c r="F197" s="431">
        <f t="shared" si="56"/>
        <v>0</v>
      </c>
      <c r="G197" s="468">
        <f t="shared" si="57"/>
        <v>9.8900000000000002E-2</v>
      </c>
      <c r="H197" s="468">
        <f t="shared" si="59"/>
        <v>0.49440000000000001</v>
      </c>
      <c r="I197" s="431">
        <f t="shared" si="52"/>
        <v>0</v>
      </c>
      <c r="K197" s="323">
        <v>0</v>
      </c>
      <c r="L197" s="468">
        <f t="shared" si="53"/>
        <v>9.8900000000000002E-2</v>
      </c>
      <c r="M197" s="468">
        <f t="shared" si="60"/>
        <v>0.49440000000000001</v>
      </c>
      <c r="N197" s="431">
        <f t="shared" si="58"/>
        <v>0</v>
      </c>
      <c r="P197" s="663"/>
      <c r="S197" s="425"/>
    </row>
    <row r="198" spans="1:19">
      <c r="A198" s="863">
        <f t="shared" si="40"/>
        <v>184</v>
      </c>
      <c r="B198" s="1058">
        <v>39700</v>
      </c>
      <c r="C198" s="234" t="s">
        <v>445</v>
      </c>
      <c r="D198" s="323">
        <v>1788308.12</v>
      </c>
      <c r="E198" s="624">
        <v>0</v>
      </c>
      <c r="F198" s="431">
        <f t="shared" si="56"/>
        <v>1788308.12</v>
      </c>
      <c r="G198" s="468">
        <f t="shared" si="57"/>
        <v>9.8900000000000002E-2</v>
      </c>
      <c r="H198" s="468">
        <f t="shared" si="59"/>
        <v>0.49440000000000001</v>
      </c>
      <c r="I198" s="431">
        <f t="shared" si="52"/>
        <v>87441.399964819197</v>
      </c>
      <c r="K198" s="323">
        <v>1788308.1200000008</v>
      </c>
      <c r="L198" s="468">
        <f t="shared" si="53"/>
        <v>9.8900000000000002E-2</v>
      </c>
      <c r="M198" s="468">
        <f t="shared" si="60"/>
        <v>0.49440000000000001</v>
      </c>
      <c r="N198" s="431">
        <f t="shared" si="58"/>
        <v>87441.39996481924</v>
      </c>
      <c r="P198" s="663"/>
      <c r="S198" s="425"/>
    </row>
    <row r="199" spans="1:19">
      <c r="A199" s="863">
        <f t="shared" si="40"/>
        <v>185</v>
      </c>
      <c r="B199" s="1058">
        <v>39720</v>
      </c>
      <c r="C199" s="234" t="s">
        <v>1543</v>
      </c>
      <c r="D199" s="323">
        <v>8824.34</v>
      </c>
      <c r="E199" s="624">
        <v>0</v>
      </c>
      <c r="F199" s="431">
        <f t="shared" si="56"/>
        <v>8824.34</v>
      </c>
      <c r="G199" s="468">
        <v>1</v>
      </c>
      <c r="H199" s="468">
        <f>H196</f>
        <v>6.437198999999999E-2</v>
      </c>
      <c r="I199" s="431">
        <f t="shared" si="52"/>
        <v>568.04032623659987</v>
      </c>
      <c r="K199" s="323">
        <v>8824.3399999999983</v>
      </c>
      <c r="L199" s="468">
        <v>1</v>
      </c>
      <c r="M199" s="468">
        <f t="shared" si="60"/>
        <v>6.437198999999999E-2</v>
      </c>
      <c r="N199" s="431">
        <f t="shared" si="58"/>
        <v>568.04032623659975</v>
      </c>
      <c r="P199" s="663"/>
      <c r="S199" s="425"/>
    </row>
    <row r="200" spans="1:19">
      <c r="A200" s="863">
        <f t="shared" si="40"/>
        <v>186</v>
      </c>
      <c r="B200" s="1058">
        <v>39800</v>
      </c>
      <c r="C200" s="234" t="s">
        <v>656</v>
      </c>
      <c r="D200" s="323">
        <v>136509.51999999999</v>
      </c>
      <c r="E200" s="624">
        <v>0</v>
      </c>
      <c r="F200" s="431">
        <f t="shared" si="56"/>
        <v>136509.51999999999</v>
      </c>
      <c r="G200" s="468">
        <f t="shared" si="57"/>
        <v>9.8900000000000002E-2</v>
      </c>
      <c r="H200" s="468">
        <f t="shared" si="59"/>
        <v>0.49440000000000001</v>
      </c>
      <c r="I200" s="431">
        <f t="shared" si="52"/>
        <v>6674.7913314431999</v>
      </c>
      <c r="K200" s="323">
        <v>136509.51999999999</v>
      </c>
      <c r="L200" s="468">
        <f t="shared" si="53"/>
        <v>9.8900000000000002E-2</v>
      </c>
      <c r="M200" s="468">
        <f t="shared" si="60"/>
        <v>0.49440000000000001</v>
      </c>
      <c r="N200" s="431">
        <f t="shared" si="58"/>
        <v>6674.7913314431999</v>
      </c>
      <c r="P200" s="663"/>
      <c r="S200" s="425"/>
    </row>
    <row r="201" spans="1:19">
      <c r="A201" s="863">
        <f t="shared" si="40"/>
        <v>187</v>
      </c>
      <c r="B201" s="1058">
        <v>39820</v>
      </c>
      <c r="C201" s="234" t="s">
        <v>1544</v>
      </c>
      <c r="D201" s="323">
        <v>7388.39</v>
      </c>
      <c r="E201" s="624">
        <v>0</v>
      </c>
      <c r="F201" s="431">
        <f t="shared" si="56"/>
        <v>7388.39</v>
      </c>
      <c r="G201" s="468">
        <v>1</v>
      </c>
      <c r="H201" s="468">
        <f>H199</f>
        <v>6.437198999999999E-2</v>
      </c>
      <c r="I201" s="431">
        <f t="shared" si="52"/>
        <v>475.60536719609996</v>
      </c>
      <c r="K201" s="323">
        <v>7388.39</v>
      </c>
      <c r="L201" s="468">
        <v>1</v>
      </c>
      <c r="M201" s="468">
        <f t="shared" si="60"/>
        <v>6.437198999999999E-2</v>
      </c>
      <c r="N201" s="431">
        <f t="shared" si="58"/>
        <v>475.60536719609996</v>
      </c>
      <c r="P201" s="663"/>
      <c r="S201" s="425"/>
    </row>
    <row r="202" spans="1:19">
      <c r="A202" s="863">
        <f t="shared" si="40"/>
        <v>188</v>
      </c>
      <c r="B202" s="1058">
        <v>39900</v>
      </c>
      <c r="C202" s="234" t="s">
        <v>1162</v>
      </c>
      <c r="D202" s="323">
        <v>162267.97</v>
      </c>
      <c r="E202" s="624">
        <v>0</v>
      </c>
      <c r="F202" s="431">
        <f t="shared" si="56"/>
        <v>162267.97</v>
      </c>
      <c r="G202" s="468">
        <f t="shared" si="57"/>
        <v>9.8900000000000002E-2</v>
      </c>
      <c r="H202" s="468">
        <f t="shared" si="59"/>
        <v>0.49440000000000001</v>
      </c>
      <c r="I202" s="431">
        <f t="shared" si="52"/>
        <v>7934.2806239952006</v>
      </c>
      <c r="K202" s="323">
        <v>162267.97</v>
      </c>
      <c r="L202" s="468">
        <f t="shared" si="53"/>
        <v>9.8900000000000002E-2</v>
      </c>
      <c r="M202" s="468">
        <f t="shared" si="60"/>
        <v>0.49440000000000001</v>
      </c>
      <c r="N202" s="431">
        <f t="shared" si="58"/>
        <v>7934.2806239952006</v>
      </c>
      <c r="P202" s="663"/>
      <c r="S202" s="425"/>
    </row>
    <row r="203" spans="1:19">
      <c r="A203" s="863">
        <f t="shared" si="40"/>
        <v>189</v>
      </c>
      <c r="B203" s="1058">
        <v>39901</v>
      </c>
      <c r="C203" s="234" t="s">
        <v>479</v>
      </c>
      <c r="D203" s="323">
        <v>36506045.984288201</v>
      </c>
      <c r="E203" s="624">
        <v>0</v>
      </c>
      <c r="F203" s="431">
        <f t="shared" si="56"/>
        <v>36506045.984288201</v>
      </c>
      <c r="G203" s="468">
        <f t="shared" si="57"/>
        <v>9.8900000000000002E-2</v>
      </c>
      <c r="H203" s="468">
        <f t="shared" si="59"/>
        <v>0.49440000000000001</v>
      </c>
      <c r="I203" s="431">
        <f t="shared" si="52"/>
        <v>1785005.4654151134</v>
      </c>
      <c r="K203" s="323">
        <v>35932078.376975782</v>
      </c>
      <c r="L203" s="468">
        <f t="shared" si="53"/>
        <v>9.8900000000000002E-2</v>
      </c>
      <c r="M203" s="468">
        <f t="shared" si="60"/>
        <v>0.49440000000000001</v>
      </c>
      <c r="N203" s="431">
        <f t="shared" si="58"/>
        <v>1756940.6534531482</v>
      </c>
      <c r="P203" s="663"/>
      <c r="S203" s="425"/>
    </row>
    <row r="204" spans="1:19">
      <c r="A204" s="863">
        <f t="shared" si="40"/>
        <v>190</v>
      </c>
      <c r="B204" s="1058">
        <v>39902</v>
      </c>
      <c r="C204" s="234" t="s">
        <v>968</v>
      </c>
      <c r="D204" s="323">
        <v>19005572.419999998</v>
      </c>
      <c r="E204" s="624">
        <v>0</v>
      </c>
      <c r="F204" s="431">
        <f t="shared" si="56"/>
        <v>19005572.419999998</v>
      </c>
      <c r="G204" s="468">
        <f t="shared" si="57"/>
        <v>9.8900000000000002E-2</v>
      </c>
      <c r="H204" s="468">
        <f t="shared" si="59"/>
        <v>0.49440000000000001</v>
      </c>
      <c r="I204" s="431">
        <f t="shared" si="52"/>
        <v>929299.50993990712</v>
      </c>
      <c r="K204" s="323">
        <v>19005572.419999994</v>
      </c>
      <c r="L204" s="468">
        <f t="shared" si="53"/>
        <v>9.8900000000000002E-2</v>
      </c>
      <c r="M204" s="468">
        <f t="shared" si="60"/>
        <v>0.49440000000000001</v>
      </c>
      <c r="N204" s="431">
        <f t="shared" si="58"/>
        <v>929299.509939907</v>
      </c>
      <c r="P204" s="663"/>
      <c r="S204" s="425"/>
    </row>
    <row r="205" spans="1:19">
      <c r="A205" s="863">
        <f t="shared" si="40"/>
        <v>191</v>
      </c>
      <c r="B205" s="1058">
        <v>39903</v>
      </c>
      <c r="C205" s="234" t="s">
        <v>1011</v>
      </c>
      <c r="D205" s="323">
        <v>3548953.23</v>
      </c>
      <c r="E205" s="624">
        <v>0</v>
      </c>
      <c r="F205" s="431">
        <f t="shared" si="56"/>
        <v>3548953.23</v>
      </c>
      <c r="G205" s="468">
        <f t="shared" ref="G205:G215" si="61">$G$183</f>
        <v>9.8900000000000002E-2</v>
      </c>
      <c r="H205" s="468">
        <f t="shared" si="59"/>
        <v>0.49440000000000001</v>
      </c>
      <c r="I205" s="431">
        <f t="shared" si="52"/>
        <v>173530.1849665968</v>
      </c>
      <c r="K205" s="323">
        <v>3548953.2299999991</v>
      </c>
      <c r="L205" s="468">
        <f t="shared" si="53"/>
        <v>9.8900000000000002E-2</v>
      </c>
      <c r="M205" s="468">
        <f t="shared" si="60"/>
        <v>0.49440000000000001</v>
      </c>
      <c r="N205" s="431">
        <f t="shared" si="58"/>
        <v>173530.18496659675</v>
      </c>
      <c r="P205" s="663"/>
      <c r="S205" s="425"/>
    </row>
    <row r="206" spans="1:19">
      <c r="A206" s="863">
        <f t="shared" si="40"/>
        <v>192</v>
      </c>
      <c r="B206" s="1058">
        <v>39904</v>
      </c>
      <c r="C206" s="234" t="s">
        <v>1187</v>
      </c>
      <c r="D206" s="323">
        <v>0</v>
      </c>
      <c r="E206" s="624">
        <v>0</v>
      </c>
      <c r="F206" s="431">
        <f t="shared" si="56"/>
        <v>0</v>
      </c>
      <c r="G206" s="468">
        <f t="shared" si="61"/>
        <v>9.8900000000000002E-2</v>
      </c>
      <c r="H206" s="468">
        <f t="shared" si="59"/>
        <v>0.49440000000000001</v>
      </c>
      <c r="I206" s="431">
        <f t="shared" si="52"/>
        <v>0</v>
      </c>
      <c r="K206" s="323">
        <v>0</v>
      </c>
      <c r="L206" s="468">
        <f t="shared" si="53"/>
        <v>9.8900000000000002E-2</v>
      </c>
      <c r="M206" s="468">
        <f t="shared" si="60"/>
        <v>0.49440000000000001</v>
      </c>
      <c r="N206" s="431">
        <f t="shared" si="58"/>
        <v>0</v>
      </c>
      <c r="P206" s="663"/>
      <c r="S206" s="425"/>
    </row>
    <row r="207" spans="1:19">
      <c r="A207" s="863">
        <f t="shared" si="40"/>
        <v>193</v>
      </c>
      <c r="B207" s="1058">
        <v>39905</v>
      </c>
      <c r="C207" s="234" t="s">
        <v>502</v>
      </c>
      <c r="D207" s="323">
        <v>0</v>
      </c>
      <c r="E207" s="624">
        <v>0</v>
      </c>
      <c r="F207" s="431">
        <f t="shared" si="56"/>
        <v>0</v>
      </c>
      <c r="G207" s="468">
        <f t="shared" si="61"/>
        <v>9.8900000000000002E-2</v>
      </c>
      <c r="H207" s="468">
        <f t="shared" si="59"/>
        <v>0.49440000000000001</v>
      </c>
      <c r="I207" s="431">
        <f t="shared" si="52"/>
        <v>0</v>
      </c>
      <c r="K207" s="323">
        <v>0</v>
      </c>
      <c r="L207" s="468">
        <f t="shared" si="53"/>
        <v>9.8900000000000002E-2</v>
      </c>
      <c r="M207" s="468">
        <f t="shared" si="60"/>
        <v>0.49440000000000001</v>
      </c>
      <c r="N207" s="431">
        <f t="shared" si="58"/>
        <v>0</v>
      </c>
      <c r="P207" s="663"/>
      <c r="S207" s="425"/>
    </row>
    <row r="208" spans="1:19">
      <c r="A208" s="863">
        <f t="shared" si="40"/>
        <v>194</v>
      </c>
      <c r="B208" s="1058">
        <v>39906</v>
      </c>
      <c r="C208" s="234" t="s">
        <v>456</v>
      </c>
      <c r="D208" s="323">
        <v>1911063.9687941358</v>
      </c>
      <c r="E208" s="624">
        <v>0</v>
      </c>
      <c r="F208" s="431">
        <f t="shared" si="56"/>
        <v>1911063.9687941358</v>
      </c>
      <c r="G208" s="468">
        <f t="shared" si="61"/>
        <v>9.8900000000000002E-2</v>
      </c>
      <c r="H208" s="468">
        <f t="shared" si="59"/>
        <v>0.49440000000000001</v>
      </c>
      <c r="I208" s="431">
        <f t="shared" si="52"/>
        <v>93443.68958839307</v>
      </c>
      <c r="K208" s="323">
        <v>1879606.2532307121</v>
      </c>
      <c r="L208" s="468">
        <f t="shared" si="53"/>
        <v>9.8900000000000002E-2</v>
      </c>
      <c r="M208" s="468">
        <f t="shared" si="60"/>
        <v>0.49440000000000001</v>
      </c>
      <c r="N208" s="431">
        <f t="shared" si="58"/>
        <v>91905.528094969413</v>
      </c>
      <c r="P208" s="663"/>
      <c r="S208" s="425"/>
    </row>
    <row r="209" spans="1:19">
      <c r="A209" s="863">
        <f t="shared" si="40"/>
        <v>195</v>
      </c>
      <c r="B209" s="1058">
        <v>39907</v>
      </c>
      <c r="C209" s="234" t="s">
        <v>510</v>
      </c>
      <c r="D209" s="323">
        <v>1470383.1587847839</v>
      </c>
      <c r="E209" s="624">
        <v>0</v>
      </c>
      <c r="F209" s="431">
        <f t="shared" si="56"/>
        <v>1470383.1587847839</v>
      </c>
      <c r="G209" s="468">
        <f t="shared" si="61"/>
        <v>9.8900000000000002E-2</v>
      </c>
      <c r="H209" s="468">
        <f t="shared" si="59"/>
        <v>0.49440000000000001</v>
      </c>
      <c r="I209" s="431">
        <f t="shared" si="52"/>
        <v>71896.0901932462</v>
      </c>
      <c r="K209" s="323">
        <v>1471233.2827713727</v>
      </c>
      <c r="L209" s="468">
        <f t="shared" si="53"/>
        <v>9.8900000000000002E-2</v>
      </c>
      <c r="M209" s="468">
        <f t="shared" si="60"/>
        <v>0.49440000000000001</v>
      </c>
      <c r="N209" s="431">
        <f t="shared" si="58"/>
        <v>71937.657991714281</v>
      </c>
      <c r="P209" s="663"/>
      <c r="S209" s="425"/>
    </row>
    <row r="210" spans="1:19">
      <c r="A210" s="863">
        <f t="shared" si="40"/>
        <v>196</v>
      </c>
      <c r="B210" s="1058">
        <v>39908</v>
      </c>
      <c r="C210" s="234" t="s">
        <v>180</v>
      </c>
      <c r="D210" s="323">
        <v>78490635.955212444</v>
      </c>
      <c r="E210" s="624">
        <v>0</v>
      </c>
      <c r="F210" s="431">
        <f t="shared" si="56"/>
        <v>78490635.955212444</v>
      </c>
      <c r="G210" s="468">
        <f t="shared" si="61"/>
        <v>9.8900000000000002E-2</v>
      </c>
      <c r="H210" s="468">
        <f t="shared" si="59"/>
        <v>0.49440000000000001</v>
      </c>
      <c r="I210" s="431">
        <f t="shared" si="52"/>
        <v>3837890.6941678207</v>
      </c>
      <c r="K210" s="323">
        <v>73682455.560015619</v>
      </c>
      <c r="L210" s="468">
        <f t="shared" si="53"/>
        <v>9.8900000000000002E-2</v>
      </c>
      <c r="M210" s="468">
        <f t="shared" si="60"/>
        <v>0.49440000000000001</v>
      </c>
      <c r="N210" s="431">
        <f t="shared" si="58"/>
        <v>3602789.1362554133</v>
      </c>
      <c r="P210" s="663"/>
      <c r="S210" s="425"/>
    </row>
    <row r="211" spans="1:19">
      <c r="A211" s="863">
        <f t="shared" si="40"/>
        <v>197</v>
      </c>
      <c r="B211" s="1058">
        <v>39909</v>
      </c>
      <c r="C211" s="234" t="s">
        <v>346</v>
      </c>
      <c r="D211" s="323">
        <v>39251.620000000003</v>
      </c>
      <c r="E211" s="624">
        <v>0</v>
      </c>
      <c r="F211" s="431">
        <f t="shared" si="56"/>
        <v>39251.620000000003</v>
      </c>
      <c r="G211" s="468">
        <f t="shared" si="61"/>
        <v>9.8900000000000002E-2</v>
      </c>
      <c r="H211" s="468">
        <f t="shared" si="59"/>
        <v>0.49440000000000001</v>
      </c>
      <c r="I211" s="431">
        <f t="shared" si="52"/>
        <v>1919.2534917792002</v>
      </c>
      <c r="K211" s="323">
        <v>39251.620000000003</v>
      </c>
      <c r="L211" s="468">
        <f t="shared" ref="L211:L215" si="62">G211</f>
        <v>9.8900000000000002E-2</v>
      </c>
      <c r="M211" s="468">
        <f t="shared" si="60"/>
        <v>0.49440000000000001</v>
      </c>
      <c r="N211" s="431">
        <f t="shared" si="58"/>
        <v>1919.2534917792002</v>
      </c>
      <c r="P211" s="663"/>
      <c r="S211" s="425"/>
    </row>
    <row r="212" spans="1:19">
      <c r="A212" s="863">
        <f t="shared" si="40"/>
        <v>198</v>
      </c>
      <c r="B212" s="1058">
        <v>39921</v>
      </c>
      <c r="C212" s="234" t="s">
        <v>1545</v>
      </c>
      <c r="D212" s="323">
        <v>1628899.91</v>
      </c>
      <c r="E212" s="624">
        <v>0</v>
      </c>
      <c r="F212" s="431">
        <f t="shared" si="56"/>
        <v>1628899.91</v>
      </c>
      <c r="G212" s="468">
        <v>1</v>
      </c>
      <c r="H212" s="468">
        <f>$H$201</f>
        <v>6.437198999999999E-2</v>
      </c>
      <c r="I212" s="431">
        <f t="shared" si="52"/>
        <v>104855.52871752088</v>
      </c>
      <c r="K212" s="323">
        <v>1628899.91</v>
      </c>
      <c r="L212" s="468">
        <v>1</v>
      </c>
      <c r="M212" s="468">
        <f t="shared" si="60"/>
        <v>6.437198999999999E-2</v>
      </c>
      <c r="N212" s="431">
        <f t="shared" si="58"/>
        <v>104855.52871752088</v>
      </c>
      <c r="P212" s="663"/>
      <c r="S212" s="425"/>
    </row>
    <row r="213" spans="1:19">
      <c r="A213" s="863">
        <f t="shared" si="40"/>
        <v>199</v>
      </c>
      <c r="B213" s="1058">
        <v>39922</v>
      </c>
      <c r="C213" s="234" t="s">
        <v>1546</v>
      </c>
      <c r="D213" s="323">
        <v>961255.64</v>
      </c>
      <c r="E213" s="624">
        <v>0</v>
      </c>
      <c r="F213" s="431">
        <f t="shared" si="56"/>
        <v>961255.64</v>
      </c>
      <c r="G213" s="468">
        <v>1</v>
      </c>
      <c r="H213" s="468">
        <f t="shared" ref="H213:H214" si="63">$H$201</f>
        <v>6.437198999999999E-2</v>
      </c>
      <c r="I213" s="431">
        <f t="shared" si="52"/>
        <v>61877.938445523592</v>
      </c>
      <c r="K213" s="323">
        <v>961255.64000000013</v>
      </c>
      <c r="L213" s="468">
        <v>1</v>
      </c>
      <c r="M213" s="468">
        <f t="shared" si="60"/>
        <v>6.437198999999999E-2</v>
      </c>
      <c r="N213" s="431">
        <f t="shared" si="58"/>
        <v>61877.9384455236</v>
      </c>
      <c r="P213" s="663"/>
      <c r="S213" s="425"/>
    </row>
    <row r="214" spans="1:19">
      <c r="A214" s="863">
        <f t="shared" si="40"/>
        <v>200</v>
      </c>
      <c r="B214" s="1058">
        <v>39923</v>
      </c>
      <c r="C214" s="234" t="s">
        <v>1547</v>
      </c>
      <c r="D214" s="323">
        <v>60170.36</v>
      </c>
      <c r="E214" s="624">
        <v>0</v>
      </c>
      <c r="F214" s="431">
        <f t="shared" si="56"/>
        <v>60170.36</v>
      </c>
      <c r="G214" s="468">
        <v>1</v>
      </c>
      <c r="H214" s="468">
        <f t="shared" si="63"/>
        <v>6.437198999999999E-2</v>
      </c>
      <c r="I214" s="431">
        <f t="shared" si="52"/>
        <v>3873.2858122163993</v>
      </c>
      <c r="K214" s="323">
        <v>60170.359999999993</v>
      </c>
      <c r="L214" s="468">
        <v>1</v>
      </c>
      <c r="M214" s="468">
        <f t="shared" si="60"/>
        <v>6.437198999999999E-2</v>
      </c>
      <c r="N214" s="431">
        <f t="shared" si="58"/>
        <v>3873.2858122163989</v>
      </c>
      <c r="P214" s="663"/>
      <c r="S214" s="425"/>
    </row>
    <row r="215" spans="1:19">
      <c r="A215" s="863">
        <f t="shared" si="40"/>
        <v>201</v>
      </c>
      <c r="B215" s="1058">
        <v>39924</v>
      </c>
      <c r="C215" s="234" t="s">
        <v>1413</v>
      </c>
      <c r="D215" s="323">
        <v>0</v>
      </c>
      <c r="E215" s="624">
        <v>0</v>
      </c>
      <c r="F215" s="431">
        <f t="shared" si="56"/>
        <v>0</v>
      </c>
      <c r="G215" s="468">
        <f t="shared" si="61"/>
        <v>9.8900000000000002E-2</v>
      </c>
      <c r="H215" s="468">
        <f t="shared" si="59"/>
        <v>0.49440000000000001</v>
      </c>
      <c r="I215" s="431">
        <f t="shared" si="52"/>
        <v>0</v>
      </c>
      <c r="K215" s="323">
        <v>0</v>
      </c>
      <c r="L215" s="468">
        <f t="shared" si="62"/>
        <v>9.8900000000000002E-2</v>
      </c>
      <c r="M215" s="468">
        <f t="shared" si="60"/>
        <v>0.49440000000000001</v>
      </c>
      <c r="N215" s="431">
        <f t="shared" si="58"/>
        <v>0</v>
      </c>
      <c r="P215" s="663"/>
      <c r="S215" s="425"/>
    </row>
    <row r="216" spans="1:19">
      <c r="A216" s="863">
        <f t="shared" si="40"/>
        <v>202</v>
      </c>
      <c r="B216" s="1058">
        <v>39926</v>
      </c>
      <c r="C216" s="234" t="s">
        <v>1556</v>
      </c>
      <c r="D216" s="323">
        <v>426127.28551092511</v>
      </c>
      <c r="E216" s="624">
        <v>0</v>
      </c>
      <c r="F216" s="431">
        <f t="shared" si="56"/>
        <v>426127.28551092511</v>
      </c>
      <c r="G216" s="468">
        <v>1</v>
      </c>
      <c r="H216" s="468">
        <f>$H$201</f>
        <v>6.437198999999999E-2</v>
      </c>
      <c r="I216" s="431">
        <f t="shared" si="52"/>
        <v>27430.661361636412</v>
      </c>
      <c r="K216" s="323">
        <v>396158.23124392692</v>
      </c>
      <c r="L216" s="468">
        <v>1</v>
      </c>
      <c r="M216" s="468">
        <f t="shared" si="60"/>
        <v>6.437198999999999E-2</v>
      </c>
      <c r="N216" s="431">
        <f t="shared" si="58"/>
        <v>25501.493700051746</v>
      </c>
      <c r="P216" s="663"/>
      <c r="S216" s="425"/>
    </row>
    <row r="217" spans="1:19">
      <c r="A217" s="863">
        <f t="shared" si="40"/>
        <v>203</v>
      </c>
      <c r="B217" s="1058">
        <v>39928</v>
      </c>
      <c r="C217" s="234" t="s">
        <v>1557</v>
      </c>
      <c r="D217" s="323">
        <v>19396382.179999996</v>
      </c>
      <c r="E217" s="624">
        <v>0</v>
      </c>
      <c r="F217" s="431">
        <f t="shared" si="56"/>
        <v>19396382.179999996</v>
      </c>
      <c r="G217" s="468">
        <v>1</v>
      </c>
      <c r="H217" s="468">
        <f t="shared" ref="H217" si="64">$H$201</f>
        <v>6.437198999999999E-2</v>
      </c>
      <c r="I217" s="431">
        <f t="shared" si="52"/>
        <v>1248583.7197271378</v>
      </c>
      <c r="K217" s="323">
        <v>19396382.18</v>
      </c>
      <c r="L217" s="468">
        <v>1</v>
      </c>
      <c r="M217" s="468">
        <f t="shared" si="60"/>
        <v>6.437198999999999E-2</v>
      </c>
      <c r="N217" s="431">
        <f t="shared" si="58"/>
        <v>1248583.7197271381</v>
      </c>
      <c r="P217" s="663"/>
      <c r="S217" s="425"/>
    </row>
    <row r="218" spans="1:19">
      <c r="A218" s="863">
        <f t="shared" si="40"/>
        <v>204</v>
      </c>
      <c r="B218" s="1058">
        <v>39931</v>
      </c>
      <c r="C218" s="234" t="s">
        <v>1558</v>
      </c>
      <c r="D218" s="323">
        <v>305486.17974761716</v>
      </c>
      <c r="E218" s="624">
        <v>0</v>
      </c>
      <c r="F218" s="431">
        <f t="shared" si="56"/>
        <v>305486.17974761716</v>
      </c>
      <c r="G218" s="468">
        <v>1</v>
      </c>
      <c r="H218" s="468">
        <f>Allocation!$E$23</f>
        <v>0</v>
      </c>
      <c r="I218" s="431">
        <f t="shared" si="52"/>
        <v>0</v>
      </c>
      <c r="K218" s="323">
        <v>303061.46135404526</v>
      </c>
      <c r="L218" s="468">
        <v>1</v>
      </c>
      <c r="M218" s="468">
        <f t="shared" si="60"/>
        <v>0</v>
      </c>
      <c r="N218" s="431">
        <f t="shared" si="58"/>
        <v>0</v>
      </c>
      <c r="P218" s="663"/>
      <c r="S218" s="425"/>
    </row>
    <row r="219" spans="1:19">
      <c r="A219" s="863">
        <f t="shared" si="40"/>
        <v>205</v>
      </c>
      <c r="B219" s="1058">
        <v>39932</v>
      </c>
      <c r="C219" s="234" t="s">
        <v>1559</v>
      </c>
      <c r="D219" s="323">
        <v>356087.68238222011</v>
      </c>
      <c r="E219" s="624">
        <v>0</v>
      </c>
      <c r="F219" s="431">
        <f t="shared" si="56"/>
        <v>356087.68238222011</v>
      </c>
      <c r="G219" s="468">
        <v>1</v>
      </c>
      <c r="H219" s="468">
        <f>Allocation!$E$23</f>
        <v>0</v>
      </c>
      <c r="I219" s="431">
        <f t="shared" si="52"/>
        <v>0</v>
      </c>
      <c r="K219" s="323">
        <v>353032.12878796458</v>
      </c>
      <c r="L219" s="468">
        <v>1</v>
      </c>
      <c r="M219" s="468">
        <f t="shared" si="60"/>
        <v>0</v>
      </c>
      <c r="N219" s="431">
        <f t="shared" si="58"/>
        <v>0</v>
      </c>
      <c r="P219" s="663"/>
      <c r="S219" s="425"/>
    </row>
    <row r="220" spans="1:19">
      <c r="A220" s="863">
        <f t="shared" si="40"/>
        <v>206</v>
      </c>
      <c r="B220" s="1058">
        <v>39938</v>
      </c>
      <c r="C220" s="234" t="s">
        <v>1560</v>
      </c>
      <c r="D220" s="323">
        <v>18166787.221792232</v>
      </c>
      <c r="E220" s="624">
        <v>0</v>
      </c>
      <c r="F220" s="431">
        <f t="shared" si="56"/>
        <v>18166787.221792232</v>
      </c>
      <c r="G220" s="468">
        <v>1</v>
      </c>
      <c r="H220" s="468">
        <f>Allocation!$E$23</f>
        <v>0</v>
      </c>
      <c r="I220" s="431">
        <f t="shared" si="52"/>
        <v>0</v>
      </c>
      <c r="K220" s="323">
        <v>17975135.079030987</v>
      </c>
      <c r="L220" s="468">
        <v>1</v>
      </c>
      <c r="M220" s="468">
        <f t="shared" si="60"/>
        <v>0</v>
      </c>
      <c r="N220" s="431">
        <f t="shared" si="58"/>
        <v>0</v>
      </c>
      <c r="P220" s="663"/>
      <c r="S220" s="425"/>
    </row>
    <row r="221" spans="1:19">
      <c r="A221" s="863">
        <f t="shared" si="40"/>
        <v>207</v>
      </c>
      <c r="B221" s="793"/>
      <c r="C221" s="838"/>
      <c r="D221" s="621"/>
      <c r="E221" s="621"/>
      <c r="F221" s="621"/>
      <c r="I221" s="621"/>
      <c r="K221" s="621"/>
      <c r="N221" s="621"/>
    </row>
    <row r="222" spans="1:19" ht="15.75" thickBot="1">
      <c r="A222" s="863">
        <f t="shared" si="40"/>
        <v>208</v>
      </c>
      <c r="B222" s="1059"/>
      <c r="C222" s="234" t="s">
        <v>1340</v>
      </c>
      <c r="D222" s="513">
        <f>SUM(D183:D220)</f>
        <v>211060341.03000006</v>
      </c>
      <c r="E222" s="513">
        <f>SUM(E183:E220)</f>
        <v>0</v>
      </c>
      <c r="F222" s="513">
        <f>SUM(F183:F220)</f>
        <v>211060341.03000006</v>
      </c>
      <c r="G222" s="1037"/>
      <c r="H222" s="1037"/>
      <c r="I222" s="513">
        <f>SUM(I183:I220)</f>
        <v>9452751.6727503911</v>
      </c>
      <c r="J222" s="812"/>
      <c r="K222" s="513">
        <f>SUM(K183:K220)</f>
        <v>205040960.03000006</v>
      </c>
      <c r="L222" s="1037"/>
      <c r="M222" s="1037"/>
      <c r="N222" s="513">
        <f>SUM(N183:N220)</f>
        <v>9165376.069868762</v>
      </c>
    </row>
    <row r="223" spans="1:19" ht="15.75" thickTop="1">
      <c r="A223" s="863">
        <f t="shared" si="40"/>
        <v>209</v>
      </c>
      <c r="B223" s="1052"/>
      <c r="C223" s="88"/>
      <c r="D223" s="323"/>
      <c r="E223" s="329"/>
      <c r="F223" s="329"/>
      <c r="I223" s="329"/>
    </row>
    <row r="224" spans="1:19">
      <c r="A224" s="863">
        <f t="shared" si="40"/>
        <v>210</v>
      </c>
      <c r="B224" s="1052"/>
      <c r="C224" s="81" t="s">
        <v>756</v>
      </c>
      <c r="D224" s="323">
        <v>8866626.7499999981</v>
      </c>
      <c r="E224" s="329">
        <v>0</v>
      </c>
      <c r="F224" s="329">
        <f>D224+E224</f>
        <v>8866626.7499999981</v>
      </c>
      <c r="G224" s="468">
        <f>$G$183</f>
        <v>9.8900000000000002E-2</v>
      </c>
      <c r="H224" s="468">
        <f>$H$183</f>
        <v>0.49440000000000001</v>
      </c>
      <c r="I224" s="329">
        <f>F224*G224*H224</f>
        <v>433544.00022827991</v>
      </c>
      <c r="K224" s="323">
        <v>8866626.7499999981</v>
      </c>
      <c r="L224" s="468">
        <f>G224</f>
        <v>9.8900000000000002E-2</v>
      </c>
      <c r="M224" s="468">
        <f>H224</f>
        <v>0.49440000000000001</v>
      </c>
      <c r="N224" s="329">
        <f>K224*L224*M224</f>
        <v>433544.00022827991</v>
      </c>
    </row>
    <row r="225" spans="1:19">
      <c r="A225" s="863">
        <f t="shared" si="40"/>
        <v>211</v>
      </c>
      <c r="B225" s="1052"/>
    </row>
    <row r="226" spans="1:19" ht="15.75">
      <c r="A226" s="863">
        <f t="shared" si="40"/>
        <v>212</v>
      </c>
      <c r="B226" s="1055" t="s">
        <v>9</v>
      </c>
    </row>
    <row r="227" spans="1:19">
      <c r="A227" s="863">
        <f t="shared" si="40"/>
        <v>213</v>
      </c>
      <c r="B227" s="1052"/>
    </row>
    <row r="228" spans="1:19">
      <c r="A228" s="863">
        <f t="shared" si="40"/>
        <v>214</v>
      </c>
      <c r="B228" s="1059"/>
      <c r="C228" s="622" t="s">
        <v>305</v>
      </c>
    </row>
    <row r="229" spans="1:19">
      <c r="A229" s="863">
        <f t="shared" si="40"/>
        <v>215</v>
      </c>
      <c r="B229" s="1058">
        <v>38900</v>
      </c>
      <c r="C229" s="234" t="s">
        <v>296</v>
      </c>
      <c r="D229" s="323">
        <v>2874239.86</v>
      </c>
      <c r="E229" s="347">
        <v>0</v>
      </c>
      <c r="F229" s="347">
        <f t="shared" ref="F229:F257" si="65">D229+E229</f>
        <v>2874239.86</v>
      </c>
      <c r="G229" s="468">
        <f>Allocation!$C$15</f>
        <v>0.10929999999999999</v>
      </c>
      <c r="H229" s="468">
        <f>Allocation!$D$15</f>
        <v>0.51883860656465508</v>
      </c>
      <c r="I229" s="347">
        <f t="shared" ref="I229:I232" si="66">F229*G229*H229</f>
        <v>162995.43980572233</v>
      </c>
      <c r="K229" s="323">
        <v>2874239.86</v>
      </c>
      <c r="L229" s="468">
        <f t="shared" ref="L229:L252" si="67">G229</f>
        <v>0.10929999999999999</v>
      </c>
      <c r="M229" s="468">
        <f t="shared" ref="M229:M252" si="68">H229</f>
        <v>0.51883860656465508</v>
      </c>
      <c r="N229" s="347">
        <f t="shared" ref="N229:N257" si="69">K229*L229*M229</f>
        <v>162995.43980572233</v>
      </c>
      <c r="P229" s="663"/>
      <c r="S229" s="425"/>
    </row>
    <row r="230" spans="1:19">
      <c r="A230" s="863">
        <f t="shared" si="40"/>
        <v>216</v>
      </c>
      <c r="B230" s="1058">
        <v>38910</v>
      </c>
      <c r="C230" s="234" t="s">
        <v>1209</v>
      </c>
      <c r="D230" s="323">
        <v>1887122.88</v>
      </c>
      <c r="E230" s="431">
        <v>0</v>
      </c>
      <c r="F230" s="625">
        <f>D230+E230</f>
        <v>1887122.88</v>
      </c>
      <c r="G230" s="468">
        <v>1</v>
      </c>
      <c r="H230" s="468">
        <f>Allocation!$E$21</f>
        <v>2.3324339999999999E-2</v>
      </c>
      <c r="I230" s="431">
        <f>F230*G230*H230</f>
        <v>44015.895674899199</v>
      </c>
      <c r="K230" s="323">
        <v>1887122.8799999992</v>
      </c>
      <c r="L230" s="468">
        <f>G230</f>
        <v>1</v>
      </c>
      <c r="M230" s="468">
        <f>H230</f>
        <v>2.3324339999999999E-2</v>
      </c>
      <c r="N230" s="431">
        <f>K230*L230*M230</f>
        <v>44015.895674899177</v>
      </c>
      <c r="P230" s="663"/>
      <c r="S230" s="425"/>
    </row>
    <row r="231" spans="1:19">
      <c r="A231" s="863">
        <f t="shared" si="40"/>
        <v>217</v>
      </c>
      <c r="B231" s="1058">
        <v>39000</v>
      </c>
      <c r="C231" s="234" t="s">
        <v>863</v>
      </c>
      <c r="D231" s="323">
        <v>12620665.26</v>
      </c>
      <c r="E231" s="431">
        <v>0</v>
      </c>
      <c r="F231" s="625">
        <f t="shared" si="65"/>
        <v>12620665.26</v>
      </c>
      <c r="G231" s="468">
        <f>$G$229</f>
        <v>0.10929999999999999</v>
      </c>
      <c r="H231" s="468">
        <f>$H$229</f>
        <v>0.51883860656465508</v>
      </c>
      <c r="I231" s="431">
        <f t="shared" si="66"/>
        <v>715706.05965171626</v>
      </c>
      <c r="K231" s="323">
        <v>12620665.26</v>
      </c>
      <c r="L231" s="468">
        <f t="shared" si="67"/>
        <v>0.10929999999999999</v>
      </c>
      <c r="M231" s="468">
        <f t="shared" si="68"/>
        <v>0.51883860656465508</v>
      </c>
      <c r="N231" s="431">
        <f t="shared" si="69"/>
        <v>715706.05965171626</v>
      </c>
      <c r="P231" s="663"/>
      <c r="S231" s="425"/>
    </row>
    <row r="232" spans="1:19">
      <c r="A232" s="863">
        <f t="shared" si="40"/>
        <v>218</v>
      </c>
      <c r="B232" s="1058">
        <v>39009</v>
      </c>
      <c r="C232" s="234" t="s">
        <v>1045</v>
      </c>
      <c r="D232" s="323">
        <v>2820613.55</v>
      </c>
      <c r="E232" s="431">
        <v>0</v>
      </c>
      <c r="F232" s="625">
        <f t="shared" si="65"/>
        <v>2820613.55</v>
      </c>
      <c r="G232" s="468">
        <f>$G$229</f>
        <v>0.10929999999999999</v>
      </c>
      <c r="H232" s="468">
        <f>$H$229</f>
        <v>0.51883860656465508</v>
      </c>
      <c r="I232" s="431">
        <f t="shared" si="66"/>
        <v>159954.34219057477</v>
      </c>
      <c r="K232" s="323">
        <v>2820613.55</v>
      </c>
      <c r="L232" s="468">
        <f t="shared" si="67"/>
        <v>0.10929999999999999</v>
      </c>
      <c r="M232" s="468">
        <f t="shared" si="68"/>
        <v>0.51883860656465508</v>
      </c>
      <c r="N232" s="431">
        <f t="shared" si="69"/>
        <v>159954.34219057477</v>
      </c>
      <c r="P232" s="663"/>
      <c r="S232" s="425"/>
    </row>
    <row r="233" spans="1:19">
      <c r="A233" s="863">
        <f t="shared" ref="A233:A265" si="70">A232+1</f>
        <v>219</v>
      </c>
      <c r="B233" s="1058">
        <v>39010</v>
      </c>
      <c r="C233" s="234" t="s">
        <v>1210</v>
      </c>
      <c r="D233" s="323">
        <v>24615279.027610719</v>
      </c>
      <c r="E233" s="431">
        <v>0</v>
      </c>
      <c r="F233" s="625">
        <f>D233+E233</f>
        <v>24615279.027610719</v>
      </c>
      <c r="G233" s="468">
        <v>1</v>
      </c>
      <c r="H233" s="468">
        <f>$H$230</f>
        <v>2.3324339999999999E-2</v>
      </c>
      <c r="I233" s="431">
        <f>F233*G233*H233</f>
        <v>574135.13723486173</v>
      </c>
      <c r="K233" s="323">
        <v>20859932.702454388</v>
      </c>
      <c r="L233" s="468">
        <f>G233</f>
        <v>1</v>
      </c>
      <c r="M233" s="468">
        <f>H233</f>
        <v>2.3324339999999999E-2</v>
      </c>
      <c r="N233" s="431">
        <f>K233*L233*M233</f>
        <v>486544.16272916493</v>
      </c>
      <c r="P233" s="663"/>
      <c r="S233" s="425"/>
    </row>
    <row r="234" spans="1:19">
      <c r="A234" s="863">
        <f t="shared" si="70"/>
        <v>220</v>
      </c>
      <c r="B234" s="1058">
        <v>39100</v>
      </c>
      <c r="C234" s="234" t="s">
        <v>786</v>
      </c>
      <c r="D234" s="323">
        <v>2468502.5878986544</v>
      </c>
      <c r="E234" s="431">
        <v>0</v>
      </c>
      <c r="F234" s="625">
        <f t="shared" si="65"/>
        <v>2468502.5878986544</v>
      </c>
      <c r="G234" s="468">
        <f>$G$229</f>
        <v>0.10929999999999999</v>
      </c>
      <c r="H234" s="468">
        <f>$H$229</f>
        <v>0.51883860656465508</v>
      </c>
      <c r="I234" s="431">
        <f t="shared" ref="I234:I257" si="71">F234*G234*H234</f>
        <v>139986.4606206195</v>
      </c>
      <c r="K234" s="323">
        <v>2438351.7380636302</v>
      </c>
      <c r="L234" s="468">
        <f t="shared" si="67"/>
        <v>0.10929999999999999</v>
      </c>
      <c r="M234" s="468">
        <f t="shared" si="68"/>
        <v>0.51883860656465508</v>
      </c>
      <c r="N234" s="431">
        <f t="shared" si="69"/>
        <v>138276.63427739425</v>
      </c>
      <c r="P234" s="663"/>
      <c r="S234" s="425"/>
    </row>
    <row r="235" spans="1:19">
      <c r="A235" s="863">
        <f t="shared" si="70"/>
        <v>221</v>
      </c>
      <c r="B235" s="1058">
        <v>39101</v>
      </c>
      <c r="C235" s="234" t="s">
        <v>1538</v>
      </c>
      <c r="D235" s="323">
        <v>0</v>
      </c>
      <c r="E235" s="431">
        <v>0</v>
      </c>
      <c r="F235" s="625">
        <f t="shared" si="65"/>
        <v>0</v>
      </c>
      <c r="G235" s="468">
        <f>Allocation!$C$15</f>
        <v>0.10929999999999999</v>
      </c>
      <c r="H235" s="468">
        <f>Allocation!$D$15</f>
        <v>0.51883860656465508</v>
      </c>
      <c r="I235" s="431">
        <f t="shared" si="71"/>
        <v>0</v>
      </c>
      <c r="K235" s="323">
        <v>0</v>
      </c>
      <c r="L235" s="468">
        <f>Allocation!$C$15</f>
        <v>0.10929999999999999</v>
      </c>
      <c r="M235" s="468">
        <f>Allocation!$D$15</f>
        <v>0.51883860656465508</v>
      </c>
      <c r="N235" s="431">
        <f t="shared" si="69"/>
        <v>0</v>
      </c>
      <c r="P235" s="663"/>
      <c r="S235" s="425"/>
    </row>
    <row r="236" spans="1:19">
      <c r="A236" s="863">
        <f t="shared" si="70"/>
        <v>222</v>
      </c>
      <c r="B236" s="1058">
        <v>39102</v>
      </c>
      <c r="C236" s="234" t="s">
        <v>1548</v>
      </c>
      <c r="D236" s="323">
        <v>0</v>
      </c>
      <c r="E236" s="431">
        <v>0</v>
      </c>
      <c r="F236" s="625">
        <f t="shared" si="65"/>
        <v>0</v>
      </c>
      <c r="G236" s="468">
        <f>Allocation!$C$15</f>
        <v>0.10929999999999999</v>
      </c>
      <c r="H236" s="468">
        <f>Allocation!$D$15</f>
        <v>0.51883860656465508</v>
      </c>
      <c r="I236" s="431">
        <f t="shared" si="71"/>
        <v>0</v>
      </c>
      <c r="K236" s="323">
        <v>0</v>
      </c>
      <c r="L236" s="468">
        <f>Allocation!$C$15</f>
        <v>0.10929999999999999</v>
      </c>
      <c r="M236" s="468">
        <f>Allocation!$D$15</f>
        <v>0.51883860656465508</v>
      </c>
      <c r="N236" s="431">
        <f t="shared" si="69"/>
        <v>0</v>
      </c>
      <c r="P236" s="663"/>
      <c r="S236" s="425"/>
    </row>
    <row r="237" spans="1:19">
      <c r="A237" s="863">
        <f t="shared" si="70"/>
        <v>223</v>
      </c>
      <c r="B237" s="1058">
        <v>39103</v>
      </c>
      <c r="C237" s="234" t="s">
        <v>1342</v>
      </c>
      <c r="D237" s="323">
        <v>0</v>
      </c>
      <c r="E237" s="431">
        <v>0</v>
      </c>
      <c r="F237" s="625">
        <f t="shared" si="65"/>
        <v>0</v>
      </c>
      <c r="G237" s="468">
        <f>$G$229</f>
        <v>0.10929999999999999</v>
      </c>
      <c r="H237" s="468">
        <f>$H$229</f>
        <v>0.51883860656465508</v>
      </c>
      <c r="I237" s="431">
        <f t="shared" si="71"/>
        <v>0</v>
      </c>
      <c r="K237" s="323">
        <v>0</v>
      </c>
      <c r="L237" s="468">
        <f t="shared" ref="L237:L241" si="72">G237</f>
        <v>0.10929999999999999</v>
      </c>
      <c r="M237" s="468">
        <f t="shared" ref="M237:M241" si="73">H237</f>
        <v>0.51883860656465508</v>
      </c>
      <c r="N237" s="431">
        <f t="shared" si="69"/>
        <v>0</v>
      </c>
      <c r="P237" s="663"/>
      <c r="S237" s="425"/>
    </row>
    <row r="238" spans="1:19">
      <c r="A238" s="863">
        <f t="shared" si="70"/>
        <v>224</v>
      </c>
      <c r="B238" s="1058">
        <v>39110</v>
      </c>
      <c r="C238" s="234" t="s">
        <v>1549</v>
      </c>
      <c r="D238" s="323">
        <v>2747979.3174940771</v>
      </c>
      <c r="E238" s="431">
        <v>0</v>
      </c>
      <c r="F238" s="625">
        <f t="shared" si="65"/>
        <v>2747979.3174940771</v>
      </c>
      <c r="G238" s="468">
        <v>1</v>
      </c>
      <c r="H238" s="468">
        <f>Allocation!$E$21</f>
        <v>2.3324339999999999E-2</v>
      </c>
      <c r="I238" s="431">
        <f t="shared" si="71"/>
        <v>64094.803914199802</v>
      </c>
      <c r="K238" s="323">
        <v>2006914.2984162667</v>
      </c>
      <c r="L238" s="468">
        <f t="shared" si="72"/>
        <v>1</v>
      </c>
      <c r="M238" s="468">
        <f t="shared" si="73"/>
        <v>2.3324339999999999E-2</v>
      </c>
      <c r="N238" s="431">
        <f t="shared" si="69"/>
        <v>46809.951447122461</v>
      </c>
      <c r="P238" s="663"/>
      <c r="S238" s="425"/>
    </row>
    <row r="239" spans="1:19">
      <c r="A239" s="863">
        <f t="shared" si="70"/>
        <v>225</v>
      </c>
      <c r="B239" s="1058">
        <v>39210</v>
      </c>
      <c r="C239" s="234" t="s">
        <v>1550</v>
      </c>
      <c r="D239" s="323">
        <v>96290.22</v>
      </c>
      <c r="E239" s="431">
        <v>0</v>
      </c>
      <c r="F239" s="625">
        <f t="shared" si="65"/>
        <v>96290.22</v>
      </c>
      <c r="G239" s="468">
        <v>1</v>
      </c>
      <c r="H239" s="468">
        <f>Allocation!$E$21</f>
        <v>2.3324339999999999E-2</v>
      </c>
      <c r="I239" s="431">
        <f t="shared" si="71"/>
        <v>2245.9058299548001</v>
      </c>
      <c r="K239" s="323">
        <v>96290.219999999987</v>
      </c>
      <c r="L239" s="468">
        <f t="shared" si="72"/>
        <v>1</v>
      </c>
      <c r="M239" s="468">
        <f t="shared" si="73"/>
        <v>2.3324339999999999E-2</v>
      </c>
      <c r="N239" s="431">
        <f t="shared" si="69"/>
        <v>2245.9058299547996</v>
      </c>
      <c r="P239" s="663"/>
      <c r="S239" s="425"/>
    </row>
    <row r="240" spans="1:19">
      <c r="A240" s="863">
        <f t="shared" si="70"/>
        <v>226</v>
      </c>
      <c r="B240" s="1058">
        <v>39410</v>
      </c>
      <c r="C240" s="234" t="s">
        <v>1551</v>
      </c>
      <c r="D240" s="323">
        <v>347774.5</v>
      </c>
      <c r="E240" s="431">
        <v>0</v>
      </c>
      <c r="F240" s="625">
        <f t="shared" si="65"/>
        <v>347774.5</v>
      </c>
      <c r="G240" s="468">
        <v>1</v>
      </c>
      <c r="H240" s="468">
        <f>Allocation!$E$21</f>
        <v>2.3324339999999999E-2</v>
      </c>
      <c r="I240" s="431">
        <f t="shared" si="71"/>
        <v>8111.6106813299994</v>
      </c>
      <c r="K240" s="323">
        <v>347774.5</v>
      </c>
      <c r="L240" s="468">
        <f t="shared" si="72"/>
        <v>1</v>
      </c>
      <c r="M240" s="468">
        <f t="shared" si="73"/>
        <v>2.3324339999999999E-2</v>
      </c>
      <c r="N240" s="431">
        <f t="shared" si="69"/>
        <v>8111.6106813299994</v>
      </c>
      <c r="P240" s="663"/>
      <c r="S240" s="425"/>
    </row>
    <row r="241" spans="1:19">
      <c r="A241" s="863">
        <f t="shared" si="70"/>
        <v>227</v>
      </c>
      <c r="B241" s="1058">
        <v>39510</v>
      </c>
      <c r="C241" s="234" t="s">
        <v>1552</v>
      </c>
      <c r="D241" s="323">
        <v>23632.07</v>
      </c>
      <c r="E241" s="431">
        <v>0</v>
      </c>
      <c r="F241" s="625">
        <f t="shared" si="65"/>
        <v>23632.07</v>
      </c>
      <c r="G241" s="468">
        <v>1</v>
      </c>
      <c r="H241" s="468">
        <f>Allocation!$E$21</f>
        <v>2.3324339999999999E-2</v>
      </c>
      <c r="I241" s="431">
        <f t="shared" si="71"/>
        <v>551.20243558380002</v>
      </c>
      <c r="K241" s="323">
        <v>23632.070000000003</v>
      </c>
      <c r="L241" s="468">
        <f t="shared" si="72"/>
        <v>1</v>
      </c>
      <c r="M241" s="468">
        <f t="shared" si="73"/>
        <v>2.3324339999999999E-2</v>
      </c>
      <c r="N241" s="431">
        <f t="shared" si="69"/>
        <v>551.20243558380002</v>
      </c>
      <c r="P241" s="663"/>
      <c r="S241" s="425"/>
    </row>
    <row r="242" spans="1:19">
      <c r="A242" s="863">
        <f t="shared" si="70"/>
        <v>228</v>
      </c>
      <c r="B242" s="1058">
        <v>39700</v>
      </c>
      <c r="C242" s="234" t="s">
        <v>445</v>
      </c>
      <c r="D242" s="323">
        <v>1913117.11</v>
      </c>
      <c r="E242" s="431">
        <v>0</v>
      </c>
      <c r="F242" s="625">
        <f t="shared" si="65"/>
        <v>1913117.11</v>
      </c>
      <c r="G242" s="468">
        <f>$G$229</f>
        <v>0.10929999999999999</v>
      </c>
      <c r="H242" s="468">
        <f>$H$229</f>
        <v>0.51883860656465508</v>
      </c>
      <c r="I242" s="431">
        <f t="shared" si="71"/>
        <v>108491.07239933081</v>
      </c>
      <c r="K242" s="323">
        <v>1913117.1099999996</v>
      </c>
      <c r="L242" s="468">
        <f t="shared" si="67"/>
        <v>0.10929999999999999</v>
      </c>
      <c r="M242" s="468">
        <f t="shared" si="68"/>
        <v>0.51883860656465508</v>
      </c>
      <c r="N242" s="431">
        <f t="shared" si="69"/>
        <v>108491.07239933079</v>
      </c>
      <c r="P242" s="663"/>
      <c r="S242" s="425"/>
    </row>
    <row r="243" spans="1:19">
      <c r="A243" s="863">
        <f t="shared" si="70"/>
        <v>229</v>
      </c>
      <c r="B243" s="1058">
        <v>39710</v>
      </c>
      <c r="C243" s="234" t="s">
        <v>1211</v>
      </c>
      <c r="D243" s="323">
        <v>294319.45</v>
      </c>
      <c r="E243" s="431">
        <v>0</v>
      </c>
      <c r="F243" s="625">
        <f t="shared" si="65"/>
        <v>294319.45</v>
      </c>
      <c r="G243" s="468">
        <v>1</v>
      </c>
      <c r="H243" s="468">
        <f>$H$230</f>
        <v>2.3324339999999999E-2</v>
      </c>
      <c r="I243" s="431">
        <f t="shared" si="71"/>
        <v>6864.8069204129997</v>
      </c>
      <c r="K243" s="323">
        <v>294319.45000000007</v>
      </c>
      <c r="L243" s="468">
        <f>G243</f>
        <v>1</v>
      </c>
      <c r="M243" s="468">
        <f>H243</f>
        <v>2.3324339999999999E-2</v>
      </c>
      <c r="N243" s="431">
        <f t="shared" si="69"/>
        <v>6864.8069204130015</v>
      </c>
      <c r="P243" s="663"/>
      <c r="S243" s="425"/>
    </row>
    <row r="244" spans="1:19">
      <c r="A244" s="863">
        <f t="shared" si="70"/>
        <v>230</v>
      </c>
      <c r="B244" s="1058">
        <v>39800</v>
      </c>
      <c r="C244" s="234" t="s">
        <v>656</v>
      </c>
      <c r="D244" s="323">
        <v>70015.66</v>
      </c>
      <c r="E244" s="431">
        <v>0</v>
      </c>
      <c r="F244" s="625">
        <f t="shared" si="65"/>
        <v>70015.66</v>
      </c>
      <c r="G244" s="468">
        <f t="shared" ref="G244:G252" si="74">$G$229</f>
        <v>0.10929999999999999</v>
      </c>
      <c r="H244" s="468">
        <f t="shared" ref="H244:H252" si="75">$H$229</f>
        <v>0.51883860656465508</v>
      </c>
      <c r="I244" s="431">
        <f t="shared" si="71"/>
        <v>3970.522242701039</v>
      </c>
      <c r="K244" s="323">
        <v>70015.660000000018</v>
      </c>
      <c r="L244" s="468">
        <f t="shared" si="67"/>
        <v>0.10929999999999999</v>
      </c>
      <c r="M244" s="468">
        <f t="shared" si="68"/>
        <v>0.51883860656465508</v>
      </c>
      <c r="N244" s="431">
        <f t="shared" si="69"/>
        <v>3970.5222427010399</v>
      </c>
      <c r="P244" s="663"/>
      <c r="S244" s="425"/>
    </row>
    <row r="245" spans="1:19">
      <c r="A245" s="863">
        <f t="shared" si="70"/>
        <v>231</v>
      </c>
      <c r="B245" s="1058">
        <v>39810</v>
      </c>
      <c r="C245" s="234" t="s">
        <v>1553</v>
      </c>
      <c r="D245" s="323">
        <v>509282.85</v>
      </c>
      <c r="E245" s="431">
        <v>0</v>
      </c>
      <c r="F245" s="625">
        <f t="shared" si="65"/>
        <v>509282.85</v>
      </c>
      <c r="G245" s="468">
        <v>1</v>
      </c>
      <c r="H245" s="468">
        <f>Allocation!$E$21</f>
        <v>2.3324339999999999E-2</v>
      </c>
      <c r="I245" s="431">
        <f t="shared" si="71"/>
        <v>11878.686349569</v>
      </c>
      <c r="K245" s="323">
        <v>509282.84999999992</v>
      </c>
      <c r="L245" s="468">
        <f t="shared" si="67"/>
        <v>1</v>
      </c>
      <c r="M245" s="468">
        <f t="shared" si="68"/>
        <v>2.3324339999999999E-2</v>
      </c>
      <c r="N245" s="431">
        <f t="shared" si="69"/>
        <v>11878.686349568998</v>
      </c>
      <c r="P245" s="663"/>
      <c r="S245" s="425"/>
    </row>
    <row r="246" spans="1:19">
      <c r="A246" s="863">
        <f t="shared" si="70"/>
        <v>232</v>
      </c>
      <c r="B246" s="1058">
        <v>39900</v>
      </c>
      <c r="C246" s="234" t="s">
        <v>1162</v>
      </c>
      <c r="D246" s="323">
        <v>629166.46</v>
      </c>
      <c r="E246" s="431">
        <v>0</v>
      </c>
      <c r="F246" s="625">
        <f t="shared" si="65"/>
        <v>629166.46</v>
      </c>
      <c r="G246" s="468">
        <f t="shared" si="74"/>
        <v>0.10929999999999999</v>
      </c>
      <c r="H246" s="468">
        <f t="shared" si="75"/>
        <v>0.51883860656465508</v>
      </c>
      <c r="I246" s="431">
        <f t="shared" si="71"/>
        <v>35679.438339815315</v>
      </c>
      <c r="K246" s="323">
        <v>629166.46</v>
      </c>
      <c r="L246" s="468">
        <f t="shared" si="67"/>
        <v>0.10929999999999999</v>
      </c>
      <c r="M246" s="468">
        <f t="shared" si="68"/>
        <v>0.51883860656465508</v>
      </c>
      <c r="N246" s="431">
        <f t="shared" si="69"/>
        <v>35679.438339815315</v>
      </c>
      <c r="P246" s="663"/>
      <c r="S246" s="425"/>
    </row>
    <row r="247" spans="1:19">
      <c r="A247" s="863">
        <f t="shared" si="70"/>
        <v>233</v>
      </c>
      <c r="B247" s="1058">
        <v>39901</v>
      </c>
      <c r="C247" s="234" t="s">
        <v>479</v>
      </c>
      <c r="D247" s="323">
        <v>9312629.8658036739</v>
      </c>
      <c r="E247" s="431">
        <v>0</v>
      </c>
      <c r="F247" s="625">
        <f t="shared" si="65"/>
        <v>9312629.8658036739</v>
      </c>
      <c r="G247" s="468">
        <f t="shared" si="74"/>
        <v>0.10929999999999999</v>
      </c>
      <c r="H247" s="468">
        <f t="shared" si="75"/>
        <v>0.51883860656465508</v>
      </c>
      <c r="I247" s="431">
        <f t="shared" si="71"/>
        <v>528110.48300073843</v>
      </c>
      <c r="K247" s="323">
        <v>9312040.3817340173</v>
      </c>
      <c r="L247" s="468">
        <f t="shared" si="67"/>
        <v>0.10929999999999999</v>
      </c>
      <c r="M247" s="468">
        <f t="shared" si="68"/>
        <v>0.51883860656465508</v>
      </c>
      <c r="N247" s="431">
        <f t="shared" si="69"/>
        <v>528077.05391344149</v>
      </c>
      <c r="P247" s="663"/>
      <c r="S247" s="425"/>
    </row>
    <row r="248" spans="1:19">
      <c r="A248" s="863">
        <f t="shared" si="70"/>
        <v>234</v>
      </c>
      <c r="B248" s="1058">
        <v>39902</v>
      </c>
      <c r="C248" s="234" t="s">
        <v>968</v>
      </c>
      <c r="D248" s="323">
        <v>1891144.7000000002</v>
      </c>
      <c r="E248" s="431">
        <v>0</v>
      </c>
      <c r="F248" s="625">
        <f t="shared" si="65"/>
        <v>1891144.7000000002</v>
      </c>
      <c r="G248" s="468">
        <f t="shared" si="74"/>
        <v>0.10929999999999999</v>
      </c>
      <c r="H248" s="468">
        <f t="shared" si="75"/>
        <v>0.51883860656465508</v>
      </c>
      <c r="I248" s="431">
        <f t="shared" si="71"/>
        <v>107245.03768894251</v>
      </c>
      <c r="K248" s="323">
        <v>1891144.6999999995</v>
      </c>
      <c r="L248" s="468">
        <f t="shared" si="67"/>
        <v>0.10929999999999999</v>
      </c>
      <c r="M248" s="468">
        <f t="shared" si="68"/>
        <v>0.51883860656465508</v>
      </c>
      <c r="N248" s="431">
        <f t="shared" si="69"/>
        <v>107245.03768894247</v>
      </c>
      <c r="P248" s="663"/>
      <c r="S248" s="425"/>
    </row>
    <row r="249" spans="1:19">
      <c r="A249" s="863">
        <f t="shared" si="70"/>
        <v>235</v>
      </c>
      <c r="B249" s="1058">
        <v>39903</v>
      </c>
      <c r="C249" s="234" t="s">
        <v>1011</v>
      </c>
      <c r="D249" s="323">
        <v>629225.62</v>
      </c>
      <c r="E249" s="431">
        <v>0</v>
      </c>
      <c r="F249" s="625">
        <f t="shared" si="65"/>
        <v>629225.62</v>
      </c>
      <c r="G249" s="468">
        <f t="shared" si="74"/>
        <v>0.10929999999999999</v>
      </c>
      <c r="H249" s="468">
        <f t="shared" si="75"/>
        <v>0.51883860656465508</v>
      </c>
      <c r="I249" s="431">
        <f t="shared" si="71"/>
        <v>35682.793247787013</v>
      </c>
      <c r="K249" s="323">
        <v>629225.62</v>
      </c>
      <c r="L249" s="468">
        <f t="shared" si="67"/>
        <v>0.10929999999999999</v>
      </c>
      <c r="M249" s="468">
        <f t="shared" si="68"/>
        <v>0.51883860656465508</v>
      </c>
      <c r="N249" s="431">
        <f t="shared" si="69"/>
        <v>35682.793247787013</v>
      </c>
      <c r="P249" s="663"/>
      <c r="S249" s="425"/>
    </row>
    <row r="250" spans="1:19">
      <c r="A250" s="863">
        <f t="shared" si="70"/>
        <v>236</v>
      </c>
      <c r="B250" s="1058">
        <v>39906</v>
      </c>
      <c r="C250" s="234" t="s">
        <v>456</v>
      </c>
      <c r="D250" s="323">
        <v>954590.21881777409</v>
      </c>
      <c r="E250" s="431">
        <v>0</v>
      </c>
      <c r="F250" s="625">
        <f t="shared" si="65"/>
        <v>954590.21881777409</v>
      </c>
      <c r="G250" s="468">
        <f t="shared" si="74"/>
        <v>0.10929999999999999</v>
      </c>
      <c r="H250" s="468">
        <f t="shared" si="75"/>
        <v>0.51883860656465508</v>
      </c>
      <c r="I250" s="431">
        <f t="shared" si="71"/>
        <v>54133.913705602768</v>
      </c>
      <c r="K250" s="323">
        <v>926170.69767124567</v>
      </c>
      <c r="L250" s="468">
        <f t="shared" si="67"/>
        <v>0.10929999999999999</v>
      </c>
      <c r="M250" s="468">
        <f t="shared" si="68"/>
        <v>0.51883860656465508</v>
      </c>
      <c r="N250" s="431">
        <f t="shared" si="69"/>
        <v>52522.269384329455</v>
      </c>
      <c r="P250" s="663"/>
      <c r="S250" s="425"/>
    </row>
    <row r="251" spans="1:19">
      <c r="A251" s="863">
        <f t="shared" si="70"/>
        <v>237</v>
      </c>
      <c r="B251" s="1058">
        <v>39907</v>
      </c>
      <c r="C251" s="234" t="s">
        <v>510</v>
      </c>
      <c r="D251" s="323">
        <v>190246.97</v>
      </c>
      <c r="E251" s="431">
        <v>0</v>
      </c>
      <c r="F251" s="625">
        <f t="shared" si="65"/>
        <v>190246.97</v>
      </c>
      <c r="G251" s="468">
        <f t="shared" si="74"/>
        <v>0.10929999999999999</v>
      </c>
      <c r="H251" s="468">
        <f t="shared" si="75"/>
        <v>0.51883860656465508</v>
      </c>
      <c r="I251" s="431">
        <f t="shared" si="71"/>
        <v>10788.726779001689</v>
      </c>
      <c r="K251" s="323">
        <v>190246.97000000003</v>
      </c>
      <c r="L251" s="468">
        <f t="shared" si="67"/>
        <v>0.10929999999999999</v>
      </c>
      <c r="M251" s="468">
        <f t="shared" si="68"/>
        <v>0.51883860656465508</v>
      </c>
      <c r="N251" s="431">
        <f t="shared" si="69"/>
        <v>10788.72677900169</v>
      </c>
      <c r="P251" s="663"/>
      <c r="S251" s="425"/>
    </row>
    <row r="252" spans="1:19">
      <c r="A252" s="863">
        <f t="shared" si="70"/>
        <v>238</v>
      </c>
      <c r="B252" s="1058">
        <v>39908</v>
      </c>
      <c r="C252" s="234" t="s">
        <v>180</v>
      </c>
      <c r="D252" s="323">
        <v>90725191.515431374</v>
      </c>
      <c r="E252" s="431">
        <v>0</v>
      </c>
      <c r="F252" s="625">
        <f t="shared" si="65"/>
        <v>90725191.515431374</v>
      </c>
      <c r="G252" s="468">
        <f t="shared" si="74"/>
        <v>0.10929999999999999</v>
      </c>
      <c r="H252" s="468">
        <f t="shared" si="75"/>
        <v>0.51883860656465508</v>
      </c>
      <c r="I252" s="431">
        <f t="shared" si="71"/>
        <v>5144940.3017172422</v>
      </c>
      <c r="K252" s="323">
        <v>90020744.762595102</v>
      </c>
      <c r="L252" s="468">
        <f t="shared" si="67"/>
        <v>0.10929999999999999</v>
      </c>
      <c r="M252" s="468">
        <f t="shared" si="68"/>
        <v>0.51883860656465508</v>
      </c>
      <c r="N252" s="431">
        <f t="shared" si="69"/>
        <v>5104991.7887569275</v>
      </c>
      <c r="P252" s="663"/>
      <c r="S252" s="425"/>
    </row>
    <row r="253" spans="1:19">
      <c r="A253" s="863">
        <f t="shared" si="70"/>
        <v>239</v>
      </c>
      <c r="B253" s="1058">
        <v>39910</v>
      </c>
      <c r="C253" s="234" t="s">
        <v>1212</v>
      </c>
      <c r="D253" s="323">
        <v>320517.96818500827</v>
      </c>
      <c r="E253" s="431">
        <v>0</v>
      </c>
      <c r="F253" s="625">
        <f t="shared" si="65"/>
        <v>320517.96818500827</v>
      </c>
      <c r="G253" s="468">
        <v>1</v>
      </c>
      <c r="H253" s="468">
        <f>$H$230</f>
        <v>2.3324339999999999E-2</v>
      </c>
      <c r="I253" s="431">
        <f t="shared" si="71"/>
        <v>7475.8700660563154</v>
      </c>
      <c r="K253" s="323">
        <v>260294.75824396341</v>
      </c>
      <c r="L253" s="468">
        <f t="shared" ref="L253:M255" si="76">G253</f>
        <v>1</v>
      </c>
      <c r="M253" s="468">
        <f t="shared" si="76"/>
        <v>2.3324339999999999E-2</v>
      </c>
      <c r="N253" s="431">
        <f t="shared" si="69"/>
        <v>6071.2034415000053</v>
      </c>
      <c r="P253" s="663"/>
      <c r="S253" s="425"/>
    </row>
    <row r="254" spans="1:19">
      <c r="A254" s="863">
        <f t="shared" si="70"/>
        <v>240</v>
      </c>
      <c r="B254" s="1058">
        <v>39916</v>
      </c>
      <c r="C254" s="80" t="s">
        <v>1213</v>
      </c>
      <c r="D254" s="323">
        <v>312289.64031858783</v>
      </c>
      <c r="E254" s="431">
        <v>0</v>
      </c>
      <c r="F254" s="625">
        <f t="shared" si="65"/>
        <v>312289.64031858783</v>
      </c>
      <c r="G254" s="468">
        <v>1</v>
      </c>
      <c r="H254" s="468">
        <f>$H$230</f>
        <v>2.3324339999999999E-2</v>
      </c>
      <c r="I254" s="431">
        <f t="shared" si="71"/>
        <v>7283.9497492684504</v>
      </c>
      <c r="K254" s="323">
        <v>290739.59266415105</v>
      </c>
      <c r="L254" s="468">
        <f t="shared" si="76"/>
        <v>1</v>
      </c>
      <c r="M254" s="468">
        <f t="shared" si="76"/>
        <v>2.3324339999999999E-2</v>
      </c>
      <c r="N254" s="431">
        <f t="shared" si="69"/>
        <v>6781.3091107601649</v>
      </c>
      <c r="P254" s="663"/>
      <c r="S254" s="425"/>
    </row>
    <row r="255" spans="1:19">
      <c r="A255" s="863">
        <f t="shared" si="70"/>
        <v>241</v>
      </c>
      <c r="B255" s="1058">
        <v>39917</v>
      </c>
      <c r="C255" s="80" t="s">
        <v>1214</v>
      </c>
      <c r="D255" s="323">
        <v>130748.76844009206</v>
      </c>
      <c r="E255" s="431">
        <v>0</v>
      </c>
      <c r="F255" s="625">
        <f t="shared" si="65"/>
        <v>130748.76844009206</v>
      </c>
      <c r="G255" s="468">
        <v>1</v>
      </c>
      <c r="H255" s="468">
        <f>$H$230</f>
        <v>2.3324339999999999E-2</v>
      </c>
      <c r="I255" s="431">
        <f t="shared" si="71"/>
        <v>3049.6287296779765</v>
      </c>
      <c r="K255" s="323">
        <v>122539.97815722387</v>
      </c>
      <c r="L255" s="468">
        <f t="shared" si="76"/>
        <v>1</v>
      </c>
      <c r="M255" s="468">
        <f t="shared" si="76"/>
        <v>2.3324339999999999E-2</v>
      </c>
      <c r="N255" s="431">
        <f t="shared" si="69"/>
        <v>2858.1641141316627</v>
      </c>
      <c r="P255" s="663"/>
      <c r="S255" s="425"/>
    </row>
    <row r="256" spans="1:19">
      <c r="A256" s="863">
        <f t="shared" si="70"/>
        <v>242</v>
      </c>
      <c r="B256" s="1058">
        <v>39918</v>
      </c>
      <c r="C256" s="80" t="s">
        <v>1554</v>
      </c>
      <c r="D256" s="323">
        <v>20560.16</v>
      </c>
      <c r="E256" s="431">
        <v>0</v>
      </c>
      <c r="F256" s="625">
        <f t="shared" si="65"/>
        <v>20560.16</v>
      </c>
      <c r="G256" s="468">
        <v>1</v>
      </c>
      <c r="H256" s="468">
        <f>Allocation!$E$21</f>
        <v>2.3324339999999999E-2</v>
      </c>
      <c r="I256" s="431">
        <f t="shared" si="71"/>
        <v>479.55216229439998</v>
      </c>
      <c r="K256" s="323">
        <v>20560.16</v>
      </c>
      <c r="L256" s="468">
        <f t="shared" ref="L256" si="77">G256</f>
        <v>1</v>
      </c>
      <c r="M256" s="468">
        <f t="shared" ref="M256" si="78">H256</f>
        <v>2.3324339999999999E-2</v>
      </c>
      <c r="N256" s="431">
        <f t="shared" si="69"/>
        <v>479.55216229439998</v>
      </c>
      <c r="P256" s="663"/>
      <c r="S256" s="425"/>
    </row>
    <row r="257" spans="1:19">
      <c r="A257" s="863">
        <f t="shared" si="70"/>
        <v>243</v>
      </c>
      <c r="B257" s="1058">
        <v>39924</v>
      </c>
      <c r="C257" s="80" t="s">
        <v>1555</v>
      </c>
      <c r="D257" s="323">
        <v>0</v>
      </c>
      <c r="E257" s="431">
        <v>0</v>
      </c>
      <c r="F257" s="625">
        <f t="shared" si="65"/>
        <v>0</v>
      </c>
      <c r="G257" s="468">
        <f>Allocation!$C$15</f>
        <v>0.10929999999999999</v>
      </c>
      <c r="H257" s="468">
        <f>Allocation!$D$15</f>
        <v>0.51883860656465508</v>
      </c>
      <c r="I257" s="431">
        <f t="shared" si="71"/>
        <v>0</v>
      </c>
      <c r="K257" s="323">
        <v>0</v>
      </c>
      <c r="L257" s="468">
        <f>Allocation!$C$15</f>
        <v>0.10929999999999999</v>
      </c>
      <c r="M257" s="468">
        <f>Allocation!$D$15</f>
        <v>0.51883860656465508</v>
      </c>
      <c r="N257" s="431">
        <f t="shared" si="69"/>
        <v>0</v>
      </c>
      <c r="P257" s="663"/>
      <c r="S257" s="425"/>
    </row>
    <row r="258" spans="1:19">
      <c r="A258" s="863">
        <f t="shared" si="70"/>
        <v>244</v>
      </c>
      <c r="B258" s="81"/>
      <c r="C258" s="234"/>
      <c r="D258" s="621"/>
      <c r="E258" s="621"/>
      <c r="F258" s="621"/>
      <c r="I258" s="621"/>
      <c r="K258" s="621"/>
      <c r="N258" s="621"/>
    </row>
    <row r="259" spans="1:19" ht="15.75" thickBot="1">
      <c r="A259" s="863">
        <f t="shared" si="70"/>
        <v>245</v>
      </c>
      <c r="B259" s="81"/>
      <c r="C259" s="234" t="s">
        <v>1341</v>
      </c>
      <c r="D259" s="513">
        <f>SUM(D229:D257)</f>
        <v>158405146.22999999</v>
      </c>
      <c r="E259" s="513">
        <f>SUM(E229:E257)</f>
        <v>0</v>
      </c>
      <c r="F259" s="513">
        <f>SUM(F229:F257)</f>
        <v>158405146.22999999</v>
      </c>
      <c r="G259" s="1037"/>
      <c r="H259" s="1037"/>
      <c r="I259" s="513">
        <f>SUM(I229:I257)</f>
        <v>7937871.6411379026</v>
      </c>
      <c r="J259" s="812"/>
      <c r="K259" s="513">
        <f>SUM(K229:K257)</f>
        <v>153055146.22999999</v>
      </c>
      <c r="L259" s="1037"/>
      <c r="M259" s="1037"/>
      <c r="N259" s="513">
        <f>SUM(N229:N257)</f>
        <v>7787593.6295744069</v>
      </c>
    </row>
    <row r="260" spans="1:19" ht="15.75" thickTop="1">
      <c r="A260" s="863">
        <f t="shared" si="70"/>
        <v>246</v>
      </c>
      <c r="B260" s="81"/>
      <c r="C260" s="88"/>
      <c r="D260" s="329"/>
      <c r="E260" s="329"/>
      <c r="F260" s="329"/>
      <c r="I260" s="329"/>
      <c r="K260" s="329"/>
      <c r="N260" s="329"/>
    </row>
    <row r="261" spans="1:19">
      <c r="A261" s="863">
        <f t="shared" si="70"/>
        <v>247</v>
      </c>
      <c r="B261" s="81"/>
      <c r="C261" s="81" t="s">
        <v>756</v>
      </c>
      <c r="D261" s="323">
        <v>3382555.21</v>
      </c>
      <c r="E261" s="329">
        <v>0</v>
      </c>
      <c r="F261" s="329">
        <f>D261+E261</f>
        <v>3382555.21</v>
      </c>
      <c r="G261" s="468">
        <f>$G$229</f>
        <v>0.10929999999999999</v>
      </c>
      <c r="H261" s="468">
        <f>$H$229</f>
        <v>0.51883860656465508</v>
      </c>
      <c r="I261" s="329">
        <f>F261*G261*H261</f>
        <v>191821.52533403647</v>
      </c>
      <c r="K261" s="323">
        <v>3382555.2100000004</v>
      </c>
      <c r="L261" s="468">
        <f>G261</f>
        <v>0.10929999999999999</v>
      </c>
      <c r="M261" s="468">
        <f>H261</f>
        <v>0.51883860656465508</v>
      </c>
      <c r="N261" s="329">
        <f>K261*L261*M261</f>
        <v>191821.52533403647</v>
      </c>
    </row>
    <row r="262" spans="1:19">
      <c r="A262" s="863">
        <f t="shared" si="70"/>
        <v>248</v>
      </c>
    </row>
    <row r="263" spans="1:19" ht="15.75" thickBot="1">
      <c r="A263" s="863">
        <f t="shared" si="70"/>
        <v>249</v>
      </c>
      <c r="C263" s="88" t="s">
        <v>755</v>
      </c>
      <c r="D263" s="469">
        <f>D259+D222+D176+D114</f>
        <v>1032511027.5829306</v>
      </c>
      <c r="E263" s="469">
        <f>E259+E222+E176+E114</f>
        <v>0</v>
      </c>
      <c r="F263" s="469">
        <f>F259+F222+F176+F114</f>
        <v>1032511027.5829306</v>
      </c>
      <c r="I263" s="469">
        <f>I259+I222+I176+I114</f>
        <v>678604753.18741083</v>
      </c>
      <c r="K263" s="469">
        <f>K259+K222+K176+K114</f>
        <v>999904154.46902418</v>
      </c>
      <c r="N263" s="469">
        <f>N259+N222+N176+N114</f>
        <v>656938013.74045253</v>
      </c>
      <c r="P263" s="673"/>
    </row>
    <row r="264" spans="1:19" ht="15.75" thickTop="1">
      <c r="A264" s="863">
        <f t="shared" si="70"/>
        <v>250</v>
      </c>
    </row>
    <row r="265" spans="1:19" ht="30.75" thickBot="1">
      <c r="A265" s="863">
        <f t="shared" si="70"/>
        <v>251</v>
      </c>
      <c r="C265" s="617" t="s">
        <v>5</v>
      </c>
      <c r="D265" s="469">
        <f>D261+D224+D178+D116</f>
        <v>39084184.399999991</v>
      </c>
      <c r="E265" s="1060"/>
      <c r="F265" s="469">
        <f>F261+F224+F178+F116</f>
        <v>39084184.399999991</v>
      </c>
      <c r="I265" s="469">
        <f>I261+I224+I178+I116</f>
        <v>27465677.812154312</v>
      </c>
      <c r="K265" s="469">
        <f>K261+K224+K178+K116</f>
        <v>39084184.399999991</v>
      </c>
      <c r="N265" s="469">
        <f>N261+N224+N178+N116</f>
        <v>27465677.812154312</v>
      </c>
    </row>
    <row r="266" spans="1:19" ht="15.75" thickTop="1">
      <c r="A266" s="863">
        <f t="shared" ref="A266:A270" si="79">A265+1</f>
        <v>252</v>
      </c>
    </row>
    <row r="267" spans="1:19">
      <c r="A267" s="863">
        <f t="shared" si="79"/>
        <v>253</v>
      </c>
    </row>
    <row r="268" spans="1:19">
      <c r="A268" s="863">
        <f t="shared" si="79"/>
        <v>254</v>
      </c>
    </row>
    <row r="269" spans="1:19">
      <c r="A269" s="863">
        <f t="shared" si="79"/>
        <v>255</v>
      </c>
      <c r="C269" s="80" t="s">
        <v>523</v>
      </c>
    </row>
    <row r="270" spans="1:19">
      <c r="A270" s="863">
        <f t="shared" si="79"/>
        <v>256</v>
      </c>
      <c r="C270" s="80" t="s">
        <v>1607</v>
      </c>
    </row>
  </sheetData>
  <mergeCells count="4">
    <mergeCell ref="A1:N1"/>
    <mergeCell ref="A2:N2"/>
    <mergeCell ref="A3:N3"/>
    <mergeCell ref="A4:N4"/>
  </mergeCells>
  <phoneticPr fontId="22" type="noConversion"/>
  <pageMargins left="0.52" right="0.34" top="0.96" bottom="1" header="0.5" footer="0.42"/>
  <pageSetup scale="53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70"/>
  <sheetViews>
    <sheetView view="pageBreakPreview" zoomScale="60" zoomScaleNormal="70" workbookViewId="0">
      <pane ySplit="12" topLeftCell="A172" activePane="bottomLeft" state="frozen"/>
      <selection activeCell="F59" sqref="F59:F60"/>
      <selection pane="bottomLeft" activeCell="F179" sqref="F179"/>
    </sheetView>
  </sheetViews>
  <sheetFormatPr defaultRowHeight="15"/>
  <cols>
    <col min="1" max="1" width="4.88671875" style="80" customWidth="1"/>
    <col min="2" max="2" width="6.88671875" style="80" customWidth="1"/>
    <col min="3" max="3" width="37" style="80" customWidth="1"/>
    <col min="4" max="4" width="13.5546875" style="80" customWidth="1"/>
    <col min="5" max="5" width="11.109375" style="80" bestFit="1" customWidth="1"/>
    <col min="6" max="6" width="14.33203125" style="80" customWidth="1"/>
    <col min="7" max="7" width="12.77734375" style="862" customWidth="1"/>
    <col min="8" max="8" width="12.6640625" style="862" customWidth="1"/>
    <col min="9" max="9" width="13.77734375" style="80" customWidth="1"/>
    <col min="10" max="10" width="3.21875" style="80" customWidth="1"/>
    <col min="11" max="11" width="15.6640625" style="80" customWidth="1"/>
    <col min="12" max="12" width="12.6640625" style="862" customWidth="1"/>
    <col min="13" max="13" width="9.77734375" style="862" bestFit="1" customWidth="1"/>
    <col min="14" max="14" width="14.21875" style="80" customWidth="1"/>
    <col min="15" max="15" width="5.44140625" style="80" customWidth="1"/>
    <col min="16" max="17" width="12" style="80" bestFit="1" customWidth="1"/>
    <col min="18" max="16384" width="8.88671875" style="80"/>
  </cols>
  <sheetData>
    <row r="1" spans="1:17">
      <c r="A1" s="1162" t="str">
        <f>'Table of Contents'!A1:C1</f>
        <v>Atmos Energy Corporation, Kentucky/Mid-States Division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</row>
    <row r="2" spans="1:17">
      <c r="A2" s="1162" t="str">
        <f>'Table of Contents'!A2:C2</f>
        <v>Kentucky Jurisdiction Case No. 2017-00349</v>
      </c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1162"/>
    </row>
    <row r="3" spans="1:17">
      <c r="A3" s="1162" t="s">
        <v>501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</row>
    <row r="4" spans="1:17" ht="15.75">
      <c r="A4" s="1163" t="str">
        <f>'B.1 B'!A4</f>
        <v>as of December 31, 2017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</row>
    <row r="5" spans="1:17">
      <c r="A5" s="150"/>
      <c r="B5" s="150"/>
      <c r="C5" s="150"/>
      <c r="D5" s="150"/>
      <c r="E5" s="734"/>
      <c r="G5" s="865"/>
      <c r="H5" s="865"/>
      <c r="J5" s="81"/>
      <c r="K5" s="150"/>
    </row>
    <row r="6" spans="1:17" ht="15.75">
      <c r="A6" s="88" t="str">
        <f>'B.1 B'!A6</f>
        <v>Data:__X___Base Period______Forecasted Period</v>
      </c>
      <c r="B6" s="81"/>
      <c r="C6" s="81"/>
      <c r="D6" s="81"/>
      <c r="E6" s="911"/>
      <c r="F6" s="911"/>
      <c r="G6" s="865"/>
      <c r="K6" s="81"/>
      <c r="N6" s="910" t="s">
        <v>1444</v>
      </c>
    </row>
    <row r="7" spans="1:17">
      <c r="A7" s="88" t="str">
        <f>'B.1 B'!A7</f>
        <v>Type of Filing:___X____Original________Updated ________Revised</v>
      </c>
      <c r="B7" s="88"/>
      <c r="C7" s="81"/>
      <c r="D7" s="81"/>
      <c r="E7" s="81"/>
      <c r="F7" s="81"/>
      <c r="G7" s="865"/>
      <c r="I7" s="88"/>
      <c r="J7" s="88"/>
      <c r="K7" s="81"/>
      <c r="N7" s="988" t="s">
        <v>1017</v>
      </c>
    </row>
    <row r="8" spans="1:17">
      <c r="A8" s="1038" t="str">
        <f>'B.1 B'!A8</f>
        <v>Workpaper Reference No(s).</v>
      </c>
      <c r="B8" s="74"/>
      <c r="C8" s="74"/>
      <c r="D8" s="74"/>
      <c r="E8" s="74"/>
      <c r="F8" s="74"/>
      <c r="G8" s="76"/>
      <c r="H8" s="1037"/>
      <c r="I8" s="1038"/>
      <c r="J8" s="1038"/>
      <c r="K8" s="74"/>
      <c r="L8" s="1037"/>
      <c r="N8" s="1039" t="str">
        <f>'B.1 B'!F8</f>
        <v>Witness:   Waller</v>
      </c>
    </row>
    <row r="9" spans="1:17">
      <c r="A9" s="1040"/>
      <c r="B9" s="833"/>
      <c r="C9" s="1061"/>
      <c r="D9" s="393"/>
      <c r="E9" s="833"/>
      <c r="F9" s="833"/>
      <c r="G9" s="898"/>
      <c r="H9" s="1041"/>
      <c r="I9" s="1042"/>
      <c r="J9" s="1038"/>
      <c r="K9" s="393"/>
      <c r="L9" s="900"/>
      <c r="M9" s="900"/>
      <c r="N9" s="1043"/>
    </row>
    <row r="10" spans="1:17" ht="15.75">
      <c r="A10" s="1044"/>
      <c r="B10" s="74"/>
      <c r="C10" s="1062"/>
      <c r="D10" s="596">
        <v>43100</v>
      </c>
      <c r="E10" s="74"/>
      <c r="F10" s="74"/>
      <c r="G10" s="76" t="s">
        <v>13</v>
      </c>
      <c r="H10" s="75" t="s">
        <v>11</v>
      </c>
      <c r="I10" s="1045"/>
      <c r="J10" s="1038"/>
      <c r="K10" s="1046"/>
      <c r="L10" s="76" t="s">
        <v>13</v>
      </c>
      <c r="M10" s="75" t="s">
        <v>11</v>
      </c>
      <c r="N10" s="1045"/>
    </row>
    <row r="11" spans="1:17" ht="15.75">
      <c r="A11" s="1044" t="s">
        <v>94</v>
      </c>
      <c r="B11" s="75" t="s">
        <v>269</v>
      </c>
      <c r="C11" s="487" t="s">
        <v>217</v>
      </c>
      <c r="D11" s="862" t="s">
        <v>1347</v>
      </c>
      <c r="E11" s="75"/>
      <c r="F11" s="75" t="s">
        <v>10</v>
      </c>
      <c r="G11" s="75" t="s">
        <v>14</v>
      </c>
      <c r="H11" s="75" t="s">
        <v>600</v>
      </c>
      <c r="I11" s="487" t="s">
        <v>12</v>
      </c>
      <c r="J11" s="75"/>
      <c r="K11" s="1047" t="s">
        <v>46</v>
      </c>
      <c r="L11" s="75" t="s">
        <v>14</v>
      </c>
      <c r="M11" s="75" t="s">
        <v>600</v>
      </c>
      <c r="N11" s="487" t="s">
        <v>12</v>
      </c>
    </row>
    <row r="12" spans="1:17">
      <c r="A12" s="1048" t="s">
        <v>100</v>
      </c>
      <c r="B12" s="186" t="s">
        <v>100</v>
      </c>
      <c r="C12" s="1049" t="s">
        <v>300</v>
      </c>
      <c r="D12" s="1048" t="s">
        <v>106</v>
      </c>
      <c r="E12" s="186" t="s">
        <v>995</v>
      </c>
      <c r="F12" s="186" t="s">
        <v>106</v>
      </c>
      <c r="G12" s="186" t="s">
        <v>633</v>
      </c>
      <c r="H12" s="186" t="s">
        <v>633</v>
      </c>
      <c r="I12" s="1049" t="s">
        <v>105</v>
      </c>
      <c r="J12" s="75"/>
      <c r="K12" s="1048" t="s">
        <v>99</v>
      </c>
      <c r="L12" s="186" t="s">
        <v>633</v>
      </c>
      <c r="M12" s="186" t="s">
        <v>633</v>
      </c>
      <c r="N12" s="1049" t="s">
        <v>105</v>
      </c>
      <c r="P12" s="430"/>
      <c r="Q12" s="430"/>
    </row>
    <row r="13" spans="1:17">
      <c r="A13" s="75"/>
      <c r="B13" s="75"/>
      <c r="C13" s="75"/>
      <c r="D13" s="75" t="s">
        <v>757</v>
      </c>
      <c r="E13" s="75" t="s">
        <v>758</v>
      </c>
      <c r="F13" s="75" t="s">
        <v>764</v>
      </c>
      <c r="G13" s="75" t="s">
        <v>759</v>
      </c>
      <c r="H13" s="75" t="s">
        <v>760</v>
      </c>
      <c r="I13" s="75" t="s">
        <v>765</v>
      </c>
      <c r="J13" s="75"/>
      <c r="K13" s="75" t="s">
        <v>761</v>
      </c>
      <c r="L13" s="75" t="s">
        <v>762</v>
      </c>
      <c r="M13" s="75" t="s">
        <v>763</v>
      </c>
      <c r="N13" s="75" t="s">
        <v>766</v>
      </c>
    </row>
    <row r="14" spans="1:17" ht="15.75">
      <c r="B14" s="951" t="s">
        <v>6</v>
      </c>
    </row>
    <row r="15" spans="1:17">
      <c r="A15" s="210">
        <v>1</v>
      </c>
      <c r="B15" s="196"/>
      <c r="C15" s="622" t="s">
        <v>301</v>
      </c>
    </row>
    <row r="16" spans="1:17">
      <c r="A16" s="210">
        <f>A15+1</f>
        <v>2</v>
      </c>
      <c r="B16" s="1050">
        <v>30100</v>
      </c>
      <c r="C16" s="234" t="s">
        <v>295</v>
      </c>
      <c r="D16" s="323">
        <v>8329.7199999999993</v>
      </c>
      <c r="E16" s="460">
        <v>0</v>
      </c>
      <c r="F16" s="361">
        <f>D16+E16</f>
        <v>8329.7199999999993</v>
      </c>
      <c r="G16" s="337">
        <v>1</v>
      </c>
      <c r="H16" s="337">
        <f>$G$16</f>
        <v>1</v>
      </c>
      <c r="I16" s="361">
        <f>F16*G16*H16</f>
        <v>8329.7199999999993</v>
      </c>
      <c r="J16" s="429"/>
      <c r="K16" s="323">
        <v>8329.7199999999993</v>
      </c>
      <c r="L16" s="337">
        <f t="shared" ref="L16:M17" si="0">$G$16</f>
        <v>1</v>
      </c>
      <c r="M16" s="337">
        <f t="shared" si="0"/>
        <v>1</v>
      </c>
      <c r="N16" s="361">
        <f>K16*L16*M16</f>
        <v>8329.7199999999993</v>
      </c>
    </row>
    <row r="17" spans="1:14">
      <c r="A17" s="210">
        <f t="shared" ref="A17:A80" si="1">A16+1</f>
        <v>3</v>
      </c>
      <c r="B17" s="1050">
        <v>30200</v>
      </c>
      <c r="C17" s="234" t="s">
        <v>154</v>
      </c>
      <c r="D17" s="323">
        <v>119852.69</v>
      </c>
      <c r="E17" s="619">
        <v>0</v>
      </c>
      <c r="F17" s="619">
        <f>D17+E17</f>
        <v>119852.69</v>
      </c>
      <c r="G17" s="337">
        <f>$G$16</f>
        <v>1</v>
      </c>
      <c r="H17" s="337">
        <f>$G$16</f>
        <v>1</v>
      </c>
      <c r="I17" s="619">
        <f>F17*G17*H17</f>
        <v>119852.69</v>
      </c>
      <c r="K17" s="323">
        <v>119852.68999999996</v>
      </c>
      <c r="L17" s="337">
        <f t="shared" si="0"/>
        <v>1</v>
      </c>
      <c r="M17" s="337">
        <f t="shared" si="0"/>
        <v>1</v>
      </c>
      <c r="N17" s="619">
        <f>K17*L17*M17</f>
        <v>119852.68999999996</v>
      </c>
    </row>
    <row r="18" spans="1:14">
      <c r="A18" s="210">
        <f t="shared" si="1"/>
        <v>4</v>
      </c>
      <c r="B18" s="1059"/>
      <c r="C18" s="234"/>
      <c r="D18" s="621"/>
      <c r="E18" s="621"/>
      <c r="F18" s="621"/>
      <c r="G18" s="337"/>
      <c r="H18" s="337"/>
      <c r="I18" s="621"/>
      <c r="K18" s="621"/>
      <c r="N18" s="621"/>
    </row>
    <row r="19" spans="1:14">
      <c r="A19" s="210">
        <f t="shared" si="1"/>
        <v>5</v>
      </c>
      <c r="B19" s="1059"/>
      <c r="C19" s="234" t="s">
        <v>302</v>
      </c>
      <c r="D19" s="361">
        <f>SUM(D16:D17)</f>
        <v>128182.41</v>
      </c>
      <c r="E19" s="361">
        <f>SUM(E16:E17)</f>
        <v>0</v>
      </c>
      <c r="F19" s="361">
        <f>SUM(F16:F17)</f>
        <v>128182.41</v>
      </c>
      <c r="G19" s="1063"/>
      <c r="H19" s="1063"/>
      <c r="I19" s="361">
        <f>SUM(I16:I17)</f>
        <v>128182.41</v>
      </c>
      <c r="K19" s="361">
        <f>SUM(K16:K17)</f>
        <v>128182.40999999996</v>
      </c>
      <c r="N19" s="361">
        <f>SUM(N16:N17)</f>
        <v>128182.40999999996</v>
      </c>
    </row>
    <row r="20" spans="1:14">
      <c r="A20" s="210">
        <f t="shared" si="1"/>
        <v>6</v>
      </c>
      <c r="B20" s="1059"/>
      <c r="C20" s="196"/>
      <c r="G20" s="337"/>
      <c r="H20" s="337"/>
    </row>
    <row r="21" spans="1:14">
      <c r="A21" s="210">
        <f t="shared" si="1"/>
        <v>7</v>
      </c>
      <c r="B21" s="1059"/>
      <c r="C21" s="622" t="s">
        <v>155</v>
      </c>
      <c r="G21" s="337"/>
      <c r="H21" s="337"/>
    </row>
    <row r="22" spans="1:14">
      <c r="A22" s="210">
        <f t="shared" si="1"/>
        <v>8</v>
      </c>
      <c r="B22" s="1050">
        <v>32540</v>
      </c>
      <c r="C22" s="234" t="s">
        <v>162</v>
      </c>
      <c r="D22" s="323">
        <v>0</v>
      </c>
      <c r="E22" s="460">
        <v>0</v>
      </c>
      <c r="F22" s="361">
        <f t="shared" ref="F22:F24" si="2">D22+E22</f>
        <v>0</v>
      </c>
      <c r="G22" s="337">
        <f t="shared" ref="G22:H44" si="3">$G$16</f>
        <v>1</v>
      </c>
      <c r="H22" s="337">
        <f t="shared" si="3"/>
        <v>1</v>
      </c>
      <c r="I22" s="361">
        <f t="shared" ref="I22:I24" si="4">F22*G22*H22</f>
        <v>0</v>
      </c>
      <c r="K22" s="323">
        <v>0</v>
      </c>
      <c r="L22" s="337">
        <f t="shared" ref="L22:M24" si="5">$G$16</f>
        <v>1</v>
      </c>
      <c r="M22" s="337">
        <f t="shared" si="5"/>
        <v>1</v>
      </c>
      <c r="N22" s="361">
        <f t="shared" ref="N22:N24" si="6">K22*L22*M22</f>
        <v>0</v>
      </c>
    </row>
    <row r="23" spans="1:14">
      <c r="A23" s="210">
        <f t="shared" si="1"/>
        <v>9</v>
      </c>
      <c r="B23" s="1050">
        <v>33202</v>
      </c>
      <c r="C23" s="234" t="s">
        <v>602</v>
      </c>
      <c r="D23" s="323">
        <v>0</v>
      </c>
      <c r="E23" s="619">
        <v>0</v>
      </c>
      <c r="F23" s="619">
        <f t="shared" si="2"/>
        <v>0</v>
      </c>
      <c r="G23" s="337">
        <f t="shared" si="3"/>
        <v>1</v>
      </c>
      <c r="H23" s="337">
        <f t="shared" si="3"/>
        <v>1</v>
      </c>
      <c r="I23" s="619">
        <f t="shared" si="4"/>
        <v>0</v>
      </c>
      <c r="K23" s="323">
        <v>0</v>
      </c>
      <c r="L23" s="337">
        <f t="shared" si="5"/>
        <v>1</v>
      </c>
      <c r="M23" s="337">
        <f t="shared" si="5"/>
        <v>1</v>
      </c>
      <c r="N23" s="619">
        <f t="shared" si="6"/>
        <v>0</v>
      </c>
    </row>
    <row r="24" spans="1:14">
      <c r="A24" s="210">
        <f t="shared" si="1"/>
        <v>10</v>
      </c>
      <c r="B24" s="1050">
        <v>33400</v>
      </c>
      <c r="C24" s="234" t="s">
        <v>1129</v>
      </c>
      <c r="D24" s="323">
        <v>0</v>
      </c>
      <c r="E24" s="619">
        <v>0</v>
      </c>
      <c r="F24" s="619">
        <f t="shared" si="2"/>
        <v>0</v>
      </c>
      <c r="G24" s="337">
        <f t="shared" si="3"/>
        <v>1</v>
      </c>
      <c r="H24" s="337">
        <f t="shared" si="3"/>
        <v>1</v>
      </c>
      <c r="I24" s="619">
        <f t="shared" si="4"/>
        <v>0</v>
      </c>
      <c r="K24" s="323">
        <v>0</v>
      </c>
      <c r="L24" s="337">
        <f t="shared" si="5"/>
        <v>1</v>
      </c>
      <c r="M24" s="337">
        <f t="shared" si="5"/>
        <v>1</v>
      </c>
      <c r="N24" s="619">
        <f t="shared" si="6"/>
        <v>0</v>
      </c>
    </row>
    <row r="25" spans="1:14">
      <c r="A25" s="210">
        <f t="shared" si="1"/>
        <v>11</v>
      </c>
      <c r="B25" s="1059"/>
      <c r="C25" s="196"/>
      <c r="D25" s="621"/>
      <c r="E25" s="621"/>
      <c r="F25" s="621"/>
      <c r="G25" s="337"/>
      <c r="H25" s="337"/>
      <c r="I25" s="621"/>
      <c r="K25" s="621"/>
      <c r="N25" s="621"/>
    </row>
    <row r="26" spans="1:14">
      <c r="A26" s="210">
        <f t="shared" si="1"/>
        <v>12</v>
      </c>
      <c r="B26" s="1059"/>
      <c r="C26" s="196" t="s">
        <v>279</v>
      </c>
      <c r="D26" s="361">
        <f>SUM(D22:D25)</f>
        <v>0</v>
      </c>
      <c r="E26" s="361">
        <f>SUM(E22:E25)</f>
        <v>0</v>
      </c>
      <c r="F26" s="361">
        <f>SUM(F22:F25)</f>
        <v>0</v>
      </c>
      <c r="G26" s="337"/>
      <c r="H26" s="337"/>
      <c r="I26" s="361">
        <f>SUM(I22:I25)</f>
        <v>0</v>
      </c>
      <c r="K26" s="361">
        <f>SUM(K22:K25)</f>
        <v>0</v>
      </c>
      <c r="N26" s="361">
        <f>SUM(N22:N25)</f>
        <v>0</v>
      </c>
    </row>
    <row r="27" spans="1:14">
      <c r="A27" s="210">
        <f t="shared" si="1"/>
        <v>13</v>
      </c>
      <c r="B27" s="1059"/>
      <c r="C27" s="234"/>
      <c r="G27" s="337"/>
      <c r="H27" s="337"/>
    </row>
    <row r="28" spans="1:14">
      <c r="A28" s="210">
        <f t="shared" si="1"/>
        <v>14</v>
      </c>
      <c r="B28" s="1059"/>
      <c r="C28" s="622" t="s">
        <v>280</v>
      </c>
      <c r="G28" s="337"/>
      <c r="H28" s="337"/>
    </row>
    <row r="29" spans="1:14">
      <c r="A29" s="210">
        <f t="shared" si="1"/>
        <v>15</v>
      </c>
      <c r="B29" s="1050">
        <v>35010</v>
      </c>
      <c r="C29" s="234" t="s">
        <v>296</v>
      </c>
      <c r="D29" s="323">
        <v>261126.69</v>
      </c>
      <c r="E29" s="460">
        <v>0</v>
      </c>
      <c r="F29" s="361">
        <f>D29+E29</f>
        <v>261126.69</v>
      </c>
      <c r="G29" s="337">
        <f t="shared" si="3"/>
        <v>1</v>
      </c>
      <c r="H29" s="337">
        <f t="shared" si="3"/>
        <v>1</v>
      </c>
      <c r="I29" s="361">
        <f>F29*G29*H29</f>
        <v>261126.69</v>
      </c>
      <c r="K29" s="323">
        <v>261126.68999999997</v>
      </c>
      <c r="L29" s="337">
        <f t="shared" ref="L29:M45" si="7">$G$16</f>
        <v>1</v>
      </c>
      <c r="M29" s="337">
        <f t="shared" si="7"/>
        <v>1</v>
      </c>
      <c r="N29" s="361">
        <f>K29*L29*M29</f>
        <v>261126.68999999997</v>
      </c>
    </row>
    <row r="30" spans="1:14">
      <c r="A30" s="210">
        <f t="shared" si="1"/>
        <v>16</v>
      </c>
      <c r="B30" s="1050">
        <v>35020</v>
      </c>
      <c r="C30" s="234" t="s">
        <v>799</v>
      </c>
      <c r="D30" s="323">
        <v>4681.58</v>
      </c>
      <c r="E30" s="619">
        <v>0</v>
      </c>
      <c r="F30" s="619">
        <f>D30+E30</f>
        <v>4681.58</v>
      </c>
      <c r="G30" s="337">
        <f t="shared" si="3"/>
        <v>1</v>
      </c>
      <c r="H30" s="337">
        <f t="shared" si="3"/>
        <v>1</v>
      </c>
      <c r="I30" s="619">
        <f t="shared" ref="I30:I45" si="8">F30*G30*H30</f>
        <v>4681.58</v>
      </c>
      <c r="K30" s="323">
        <v>4681.5800000000008</v>
      </c>
      <c r="L30" s="337">
        <f t="shared" si="7"/>
        <v>1</v>
      </c>
      <c r="M30" s="337">
        <f t="shared" si="7"/>
        <v>1</v>
      </c>
      <c r="N30" s="619">
        <f t="shared" ref="N30:N45" si="9">K30*L30*M30</f>
        <v>4681.5800000000008</v>
      </c>
    </row>
    <row r="31" spans="1:14">
      <c r="A31" s="210">
        <f t="shared" si="1"/>
        <v>17</v>
      </c>
      <c r="B31" s="1050">
        <v>35100</v>
      </c>
      <c r="C31" s="234" t="s">
        <v>977</v>
      </c>
      <c r="D31" s="323">
        <v>17916.189999999999</v>
      </c>
      <c r="E31" s="619">
        <v>0</v>
      </c>
      <c r="F31" s="619">
        <f t="shared" ref="F31:F45" si="10">D31+E31</f>
        <v>17916.189999999999</v>
      </c>
      <c r="G31" s="337">
        <f t="shared" si="3"/>
        <v>1</v>
      </c>
      <c r="H31" s="337">
        <f t="shared" si="3"/>
        <v>1</v>
      </c>
      <c r="I31" s="619">
        <f t="shared" si="8"/>
        <v>17916.189999999999</v>
      </c>
      <c r="K31" s="323">
        <v>17916.189999999999</v>
      </c>
      <c r="L31" s="337">
        <f t="shared" si="7"/>
        <v>1</v>
      </c>
      <c r="M31" s="337">
        <f t="shared" si="7"/>
        <v>1</v>
      </c>
      <c r="N31" s="619">
        <f t="shared" si="9"/>
        <v>17916.189999999999</v>
      </c>
    </row>
    <row r="32" spans="1:14">
      <c r="A32" s="210">
        <f t="shared" si="1"/>
        <v>18</v>
      </c>
      <c r="B32" s="1050">
        <v>35102</v>
      </c>
      <c r="C32" s="234" t="s">
        <v>281</v>
      </c>
      <c r="D32" s="323">
        <v>153261.29999999999</v>
      </c>
      <c r="E32" s="619">
        <v>0</v>
      </c>
      <c r="F32" s="619">
        <f t="shared" si="10"/>
        <v>153261.29999999999</v>
      </c>
      <c r="G32" s="337">
        <f t="shared" si="3"/>
        <v>1</v>
      </c>
      <c r="H32" s="337">
        <f t="shared" si="3"/>
        <v>1</v>
      </c>
      <c r="I32" s="619">
        <f t="shared" si="8"/>
        <v>153261.29999999999</v>
      </c>
      <c r="K32" s="323">
        <v>153261.30000000002</v>
      </c>
      <c r="L32" s="337">
        <f t="shared" si="7"/>
        <v>1</v>
      </c>
      <c r="M32" s="337">
        <f t="shared" si="7"/>
        <v>1</v>
      </c>
      <c r="N32" s="619">
        <f t="shared" si="9"/>
        <v>153261.30000000002</v>
      </c>
    </row>
    <row r="33" spans="1:15">
      <c r="A33" s="210">
        <f t="shared" si="1"/>
        <v>19</v>
      </c>
      <c r="B33" s="1050">
        <v>35103</v>
      </c>
      <c r="C33" s="234" t="s">
        <v>591</v>
      </c>
      <c r="D33" s="323">
        <v>23138.38</v>
      </c>
      <c r="E33" s="619">
        <v>0</v>
      </c>
      <c r="F33" s="619">
        <f t="shared" si="10"/>
        <v>23138.38</v>
      </c>
      <c r="G33" s="337">
        <f t="shared" si="3"/>
        <v>1</v>
      </c>
      <c r="H33" s="337">
        <f t="shared" si="3"/>
        <v>1</v>
      </c>
      <c r="I33" s="619">
        <f t="shared" si="8"/>
        <v>23138.38</v>
      </c>
      <c r="K33" s="323">
        <v>23138.38</v>
      </c>
      <c r="L33" s="337">
        <f t="shared" si="7"/>
        <v>1</v>
      </c>
      <c r="M33" s="337">
        <f t="shared" si="7"/>
        <v>1</v>
      </c>
      <c r="N33" s="619">
        <f t="shared" si="9"/>
        <v>23138.38</v>
      </c>
    </row>
    <row r="34" spans="1:15">
      <c r="A34" s="210">
        <f t="shared" si="1"/>
        <v>20</v>
      </c>
      <c r="B34" s="1050">
        <v>35104</v>
      </c>
      <c r="C34" s="234" t="s">
        <v>592</v>
      </c>
      <c r="D34" s="323">
        <v>137442.53</v>
      </c>
      <c r="E34" s="619">
        <v>0</v>
      </c>
      <c r="F34" s="619">
        <f t="shared" si="10"/>
        <v>137442.53</v>
      </c>
      <c r="G34" s="337">
        <f t="shared" si="3"/>
        <v>1</v>
      </c>
      <c r="H34" s="337">
        <f t="shared" si="3"/>
        <v>1</v>
      </c>
      <c r="I34" s="619">
        <f t="shared" si="8"/>
        <v>137442.53</v>
      </c>
      <c r="K34" s="323">
        <v>137442.53</v>
      </c>
      <c r="L34" s="337">
        <f t="shared" si="7"/>
        <v>1</v>
      </c>
      <c r="M34" s="337">
        <f t="shared" si="7"/>
        <v>1</v>
      </c>
      <c r="N34" s="619">
        <f t="shared" si="9"/>
        <v>137442.53</v>
      </c>
    </row>
    <row r="35" spans="1:15">
      <c r="A35" s="210">
        <f t="shared" si="1"/>
        <v>21</v>
      </c>
      <c r="B35" s="1050">
        <v>35200</v>
      </c>
      <c r="C35" s="234" t="s">
        <v>446</v>
      </c>
      <c r="D35" s="323">
        <v>7430333.9400000004</v>
      </c>
      <c r="E35" s="619">
        <v>0</v>
      </c>
      <c r="F35" s="619">
        <f t="shared" si="10"/>
        <v>7430333.9400000004</v>
      </c>
      <c r="G35" s="337">
        <f t="shared" si="3"/>
        <v>1</v>
      </c>
      <c r="H35" s="337">
        <f t="shared" si="3"/>
        <v>1</v>
      </c>
      <c r="I35" s="619">
        <f t="shared" si="8"/>
        <v>7430333.9400000004</v>
      </c>
      <c r="K35" s="323">
        <v>7464274.1830769219</v>
      </c>
      <c r="L35" s="337">
        <f t="shared" si="7"/>
        <v>1</v>
      </c>
      <c r="M35" s="337">
        <f t="shared" si="7"/>
        <v>1</v>
      </c>
      <c r="N35" s="619">
        <f t="shared" si="9"/>
        <v>7464274.1830769219</v>
      </c>
    </row>
    <row r="36" spans="1:15">
      <c r="A36" s="210">
        <f t="shared" si="1"/>
        <v>22</v>
      </c>
      <c r="B36" s="1050">
        <v>35201</v>
      </c>
      <c r="C36" s="234" t="s">
        <v>593</v>
      </c>
      <c r="D36" s="323">
        <v>1699998.54</v>
      </c>
      <c r="E36" s="619">
        <v>0</v>
      </c>
      <c r="F36" s="619">
        <f t="shared" si="10"/>
        <v>1699998.54</v>
      </c>
      <c r="G36" s="337">
        <f t="shared" si="3"/>
        <v>1</v>
      </c>
      <c r="H36" s="337">
        <f t="shared" si="3"/>
        <v>1</v>
      </c>
      <c r="I36" s="619">
        <f t="shared" si="8"/>
        <v>1699998.54</v>
      </c>
      <c r="K36" s="323">
        <v>1699998.5399999993</v>
      </c>
      <c r="L36" s="337">
        <f t="shared" si="7"/>
        <v>1</v>
      </c>
      <c r="M36" s="337">
        <f t="shared" si="7"/>
        <v>1</v>
      </c>
      <c r="N36" s="619">
        <f t="shared" si="9"/>
        <v>1699998.5399999993</v>
      </c>
    </row>
    <row r="37" spans="1:15">
      <c r="A37" s="210">
        <f t="shared" si="1"/>
        <v>23</v>
      </c>
      <c r="B37" s="1050">
        <v>35202</v>
      </c>
      <c r="C37" s="234" t="s">
        <v>594</v>
      </c>
      <c r="D37" s="323">
        <v>415818.86</v>
      </c>
      <c r="E37" s="619">
        <v>0</v>
      </c>
      <c r="F37" s="619">
        <f t="shared" si="10"/>
        <v>415818.86</v>
      </c>
      <c r="G37" s="337">
        <f t="shared" si="3"/>
        <v>1</v>
      </c>
      <c r="H37" s="337">
        <f t="shared" si="3"/>
        <v>1</v>
      </c>
      <c r="I37" s="619">
        <f t="shared" si="8"/>
        <v>415818.86</v>
      </c>
      <c r="K37" s="323">
        <v>415818.86</v>
      </c>
      <c r="L37" s="337">
        <f t="shared" si="7"/>
        <v>1</v>
      </c>
      <c r="M37" s="337">
        <f t="shared" si="7"/>
        <v>1</v>
      </c>
      <c r="N37" s="619">
        <f t="shared" si="9"/>
        <v>415818.86</v>
      </c>
    </row>
    <row r="38" spans="1:15">
      <c r="A38" s="210">
        <f t="shared" si="1"/>
        <v>24</v>
      </c>
      <c r="B38" s="1050">
        <v>35203</v>
      </c>
      <c r="C38" s="234" t="s">
        <v>347</v>
      </c>
      <c r="D38" s="323">
        <v>1694832.96</v>
      </c>
      <c r="E38" s="619">
        <v>0</v>
      </c>
      <c r="F38" s="619">
        <f t="shared" si="10"/>
        <v>1694832.96</v>
      </c>
      <c r="G38" s="337">
        <f t="shared" si="3"/>
        <v>1</v>
      </c>
      <c r="H38" s="337">
        <f t="shared" si="3"/>
        <v>1</v>
      </c>
      <c r="I38" s="619">
        <f t="shared" si="8"/>
        <v>1694832.96</v>
      </c>
      <c r="K38" s="323">
        <v>1694832.9600000007</v>
      </c>
      <c r="L38" s="337">
        <f t="shared" si="7"/>
        <v>1</v>
      </c>
      <c r="M38" s="337">
        <f t="shared" si="7"/>
        <v>1</v>
      </c>
      <c r="N38" s="619">
        <f t="shared" si="9"/>
        <v>1694832.9600000007</v>
      </c>
    </row>
    <row r="39" spans="1:15">
      <c r="A39" s="210">
        <f t="shared" si="1"/>
        <v>25</v>
      </c>
      <c r="B39" s="1050">
        <v>35210</v>
      </c>
      <c r="C39" s="234" t="s">
        <v>595</v>
      </c>
      <c r="D39" s="323">
        <v>178530.09</v>
      </c>
      <c r="E39" s="619">
        <v>0</v>
      </c>
      <c r="F39" s="619">
        <f t="shared" si="10"/>
        <v>178530.09</v>
      </c>
      <c r="G39" s="337">
        <f t="shared" si="3"/>
        <v>1</v>
      </c>
      <c r="H39" s="337">
        <f t="shared" si="3"/>
        <v>1</v>
      </c>
      <c r="I39" s="619">
        <f t="shared" si="8"/>
        <v>178530.09</v>
      </c>
      <c r="K39" s="323">
        <v>178530.09000000003</v>
      </c>
      <c r="L39" s="337">
        <f t="shared" si="7"/>
        <v>1</v>
      </c>
      <c r="M39" s="337">
        <f t="shared" si="7"/>
        <v>1</v>
      </c>
      <c r="N39" s="619">
        <f t="shared" si="9"/>
        <v>178530.09000000003</v>
      </c>
    </row>
    <row r="40" spans="1:15">
      <c r="A40" s="210">
        <f t="shared" si="1"/>
        <v>26</v>
      </c>
      <c r="B40" s="1050">
        <v>35211</v>
      </c>
      <c r="C40" s="234" t="s">
        <v>596</v>
      </c>
      <c r="D40" s="323">
        <v>54614.27</v>
      </c>
      <c r="E40" s="619">
        <v>0</v>
      </c>
      <c r="F40" s="619">
        <f t="shared" si="10"/>
        <v>54614.27</v>
      </c>
      <c r="G40" s="337">
        <f t="shared" si="3"/>
        <v>1</v>
      </c>
      <c r="H40" s="337">
        <f t="shared" si="3"/>
        <v>1</v>
      </c>
      <c r="I40" s="619">
        <f t="shared" si="8"/>
        <v>54614.27</v>
      </c>
      <c r="K40" s="323">
        <v>54614.270000000011</v>
      </c>
      <c r="L40" s="337">
        <f t="shared" si="7"/>
        <v>1</v>
      </c>
      <c r="M40" s="337">
        <f t="shared" si="7"/>
        <v>1</v>
      </c>
      <c r="N40" s="619">
        <f t="shared" si="9"/>
        <v>54614.270000000011</v>
      </c>
    </row>
    <row r="41" spans="1:15">
      <c r="A41" s="210">
        <f t="shared" si="1"/>
        <v>27</v>
      </c>
      <c r="B41" s="1050">
        <v>35301</v>
      </c>
      <c r="C41" s="196" t="s">
        <v>163</v>
      </c>
      <c r="D41" s="323">
        <v>178496.9</v>
      </c>
      <c r="E41" s="619">
        <v>0</v>
      </c>
      <c r="F41" s="619">
        <f t="shared" si="10"/>
        <v>178496.9</v>
      </c>
      <c r="G41" s="337">
        <f t="shared" si="3"/>
        <v>1</v>
      </c>
      <c r="H41" s="337">
        <f t="shared" si="3"/>
        <v>1</v>
      </c>
      <c r="I41" s="619">
        <f t="shared" si="8"/>
        <v>178496.9</v>
      </c>
      <c r="K41" s="323">
        <v>178496.89999999994</v>
      </c>
      <c r="L41" s="337">
        <f t="shared" si="7"/>
        <v>1</v>
      </c>
      <c r="M41" s="337">
        <f t="shared" si="7"/>
        <v>1</v>
      </c>
      <c r="N41" s="619">
        <f t="shared" si="9"/>
        <v>178496.89999999994</v>
      </c>
    </row>
    <row r="42" spans="1:15">
      <c r="A42" s="210">
        <f t="shared" si="1"/>
        <v>28</v>
      </c>
      <c r="B42" s="1050">
        <v>35302</v>
      </c>
      <c r="C42" s="234" t="s">
        <v>602</v>
      </c>
      <c r="D42" s="323">
        <v>209458.21</v>
      </c>
      <c r="E42" s="619">
        <v>0</v>
      </c>
      <c r="F42" s="619">
        <f t="shared" si="10"/>
        <v>209458.21</v>
      </c>
      <c r="G42" s="337">
        <f t="shared" si="3"/>
        <v>1</v>
      </c>
      <c r="H42" s="337">
        <f t="shared" si="3"/>
        <v>1</v>
      </c>
      <c r="I42" s="619">
        <f t="shared" si="8"/>
        <v>209458.21</v>
      </c>
      <c r="K42" s="323">
        <v>209458.21</v>
      </c>
      <c r="L42" s="337">
        <f t="shared" si="7"/>
        <v>1</v>
      </c>
      <c r="M42" s="337">
        <f t="shared" si="7"/>
        <v>1</v>
      </c>
      <c r="N42" s="619">
        <f t="shared" si="9"/>
        <v>209458.21</v>
      </c>
    </row>
    <row r="43" spans="1:15">
      <c r="A43" s="210">
        <f t="shared" si="1"/>
        <v>29</v>
      </c>
      <c r="B43" s="1050">
        <v>35400</v>
      </c>
      <c r="C43" s="234" t="s">
        <v>597</v>
      </c>
      <c r="D43" s="323">
        <v>923446.05</v>
      </c>
      <c r="E43" s="619">
        <v>0</v>
      </c>
      <c r="F43" s="619">
        <f t="shared" si="10"/>
        <v>923446.05</v>
      </c>
      <c r="G43" s="337">
        <f t="shared" si="3"/>
        <v>1</v>
      </c>
      <c r="H43" s="337">
        <f t="shared" si="3"/>
        <v>1</v>
      </c>
      <c r="I43" s="619">
        <f t="shared" si="8"/>
        <v>923446.05</v>
      </c>
      <c r="K43" s="323">
        <v>923446.05000000016</v>
      </c>
      <c r="L43" s="337">
        <f t="shared" si="7"/>
        <v>1</v>
      </c>
      <c r="M43" s="337">
        <f t="shared" si="7"/>
        <v>1</v>
      </c>
      <c r="N43" s="619">
        <f t="shared" si="9"/>
        <v>923446.05000000016</v>
      </c>
    </row>
    <row r="44" spans="1:15">
      <c r="A44" s="210">
        <f t="shared" si="1"/>
        <v>30</v>
      </c>
      <c r="B44" s="1050">
        <v>35500</v>
      </c>
      <c r="C44" s="234" t="s">
        <v>1000</v>
      </c>
      <c r="D44" s="323">
        <v>343935.49271612481</v>
      </c>
      <c r="E44" s="619">
        <v>0</v>
      </c>
      <c r="F44" s="619">
        <f t="shared" si="10"/>
        <v>343935.49271612481</v>
      </c>
      <c r="G44" s="337">
        <f t="shared" si="3"/>
        <v>1</v>
      </c>
      <c r="H44" s="337">
        <f t="shared" si="3"/>
        <v>1</v>
      </c>
      <c r="I44" s="619">
        <f t="shared" si="8"/>
        <v>343935.49271612481</v>
      </c>
      <c r="K44" s="323">
        <v>284401.8336964178</v>
      </c>
      <c r="L44" s="337">
        <f t="shared" si="7"/>
        <v>1</v>
      </c>
      <c r="M44" s="337">
        <f t="shared" si="7"/>
        <v>1</v>
      </c>
      <c r="N44" s="619">
        <f t="shared" si="9"/>
        <v>284401.8336964178</v>
      </c>
    </row>
    <row r="45" spans="1:15">
      <c r="A45" s="210">
        <f t="shared" si="1"/>
        <v>31</v>
      </c>
      <c r="B45" s="1050">
        <v>35600</v>
      </c>
      <c r="C45" s="234" t="s">
        <v>1049</v>
      </c>
      <c r="D45" s="323">
        <v>414663.45</v>
      </c>
      <c r="E45" s="1064">
        <v>0</v>
      </c>
      <c r="F45" s="1064">
        <f t="shared" si="10"/>
        <v>414663.45</v>
      </c>
      <c r="G45" s="337">
        <f t="shared" ref="G45:H76" si="11">$G$16</f>
        <v>1</v>
      </c>
      <c r="H45" s="337">
        <f t="shared" si="11"/>
        <v>1</v>
      </c>
      <c r="I45" s="1057">
        <f t="shared" si="8"/>
        <v>414663.45</v>
      </c>
      <c r="K45" s="323">
        <v>414663.45000000013</v>
      </c>
      <c r="L45" s="337">
        <f t="shared" si="7"/>
        <v>1</v>
      </c>
      <c r="M45" s="337">
        <f t="shared" si="7"/>
        <v>1</v>
      </c>
      <c r="N45" s="1057">
        <f t="shared" si="9"/>
        <v>414663.45000000013</v>
      </c>
    </row>
    <row r="46" spans="1:15">
      <c r="A46" s="210">
        <f t="shared" si="1"/>
        <v>32</v>
      </c>
      <c r="B46" s="1059"/>
      <c r="C46" s="234"/>
      <c r="D46" s="621"/>
      <c r="E46" s="621"/>
      <c r="F46" s="621"/>
      <c r="G46" s="337"/>
      <c r="H46" s="337"/>
      <c r="I46" s="726"/>
      <c r="K46" s="621"/>
      <c r="N46" s="621"/>
    </row>
    <row r="47" spans="1:15">
      <c r="A47" s="210">
        <f t="shared" si="1"/>
        <v>33</v>
      </c>
      <c r="B47" s="1059"/>
      <c r="C47" s="234" t="s">
        <v>216</v>
      </c>
      <c r="D47" s="361">
        <f>SUM(D29:D46)</f>
        <v>14141695.432716124</v>
      </c>
      <c r="E47" s="361">
        <f>SUM(E29:E46)</f>
        <v>0</v>
      </c>
      <c r="F47" s="361">
        <f>SUM(F29:F46)</f>
        <v>14141695.432716124</v>
      </c>
      <c r="G47" s="337"/>
      <c r="H47" s="337"/>
      <c r="I47" s="361">
        <f>SUM(I29:I46)</f>
        <v>14141695.432716124</v>
      </c>
      <c r="K47" s="361">
        <f>SUM(K29:K46)</f>
        <v>14116102.016773339</v>
      </c>
      <c r="N47" s="361">
        <f>SUM(N29:N46)</f>
        <v>14116102.016773339</v>
      </c>
      <c r="O47" s="673"/>
    </row>
    <row r="48" spans="1:15">
      <c r="A48" s="210">
        <f t="shared" si="1"/>
        <v>34</v>
      </c>
      <c r="B48" s="1059"/>
      <c r="C48" s="234"/>
      <c r="G48" s="337"/>
      <c r="H48" s="337"/>
      <c r="I48" s="361"/>
    </row>
    <row r="49" spans="1:14">
      <c r="A49" s="210">
        <f t="shared" si="1"/>
        <v>35</v>
      </c>
      <c r="B49" s="1059"/>
      <c r="C49" s="622" t="s">
        <v>1001</v>
      </c>
      <c r="G49" s="337"/>
      <c r="H49" s="337"/>
      <c r="I49" s="361"/>
    </row>
    <row r="50" spans="1:14">
      <c r="A50" s="210">
        <f t="shared" si="1"/>
        <v>36</v>
      </c>
      <c r="B50" s="1050">
        <v>36510</v>
      </c>
      <c r="C50" s="234" t="s">
        <v>296</v>
      </c>
      <c r="D50" s="323">
        <v>26970.37</v>
      </c>
      <c r="E50" s="460">
        <v>0</v>
      </c>
      <c r="F50" s="361">
        <f>D50+E50</f>
        <v>26970.37</v>
      </c>
      <c r="G50" s="337">
        <f t="shared" si="11"/>
        <v>1</v>
      </c>
      <c r="H50" s="337">
        <f t="shared" si="11"/>
        <v>1</v>
      </c>
      <c r="I50" s="361">
        <f>F50*G50*H50</f>
        <v>26970.37</v>
      </c>
      <c r="K50" s="323">
        <v>26970.37</v>
      </c>
      <c r="L50" s="337">
        <f t="shared" ref="L50:M57" si="12">$G$16</f>
        <v>1</v>
      </c>
      <c r="M50" s="337">
        <f t="shared" si="12"/>
        <v>1</v>
      </c>
      <c r="N50" s="361">
        <f>K50*L50*M50</f>
        <v>26970.37</v>
      </c>
    </row>
    <row r="51" spans="1:14">
      <c r="A51" s="210">
        <f t="shared" si="1"/>
        <v>37</v>
      </c>
      <c r="B51" s="1050">
        <v>36520</v>
      </c>
      <c r="C51" s="234" t="s">
        <v>799</v>
      </c>
      <c r="D51" s="323">
        <v>867772</v>
      </c>
      <c r="E51" s="619">
        <v>0</v>
      </c>
      <c r="F51" s="619">
        <f>D51+E51</f>
        <v>867772</v>
      </c>
      <c r="G51" s="337">
        <f t="shared" si="11"/>
        <v>1</v>
      </c>
      <c r="H51" s="337">
        <f t="shared" si="11"/>
        <v>1</v>
      </c>
      <c r="I51" s="619">
        <f t="shared" ref="I51:I57" si="13">F51*G51*H51</f>
        <v>867772</v>
      </c>
      <c r="K51" s="323">
        <v>867772</v>
      </c>
      <c r="L51" s="337">
        <f t="shared" si="12"/>
        <v>1</v>
      </c>
      <c r="M51" s="337">
        <f t="shared" si="12"/>
        <v>1</v>
      </c>
      <c r="N51" s="619">
        <f t="shared" ref="N51:N57" si="14">K51*L51*M51</f>
        <v>867772</v>
      </c>
    </row>
    <row r="52" spans="1:14">
      <c r="A52" s="210">
        <f t="shared" si="1"/>
        <v>38</v>
      </c>
      <c r="B52" s="1050">
        <v>36602</v>
      </c>
      <c r="C52" s="234" t="s">
        <v>863</v>
      </c>
      <c r="D52" s="323">
        <v>49001.72</v>
      </c>
      <c r="E52" s="619">
        <v>0</v>
      </c>
      <c r="F52" s="619">
        <f t="shared" ref="F52:F57" si="15">D52+E52</f>
        <v>49001.72</v>
      </c>
      <c r="G52" s="337">
        <f t="shared" si="11"/>
        <v>1</v>
      </c>
      <c r="H52" s="337">
        <f t="shared" si="11"/>
        <v>1</v>
      </c>
      <c r="I52" s="619">
        <f t="shared" si="13"/>
        <v>49001.72</v>
      </c>
      <c r="K52" s="323">
        <v>49001.719999999987</v>
      </c>
      <c r="L52" s="337">
        <f t="shared" si="12"/>
        <v>1</v>
      </c>
      <c r="M52" s="337">
        <f t="shared" si="12"/>
        <v>1</v>
      </c>
      <c r="N52" s="619">
        <f t="shared" si="14"/>
        <v>49001.719999999987</v>
      </c>
    </row>
    <row r="53" spans="1:14">
      <c r="A53" s="210">
        <f t="shared" si="1"/>
        <v>39</v>
      </c>
      <c r="B53" s="1050">
        <v>36603</v>
      </c>
      <c r="C53" s="234" t="s">
        <v>1002</v>
      </c>
      <c r="D53" s="323">
        <v>60826.29</v>
      </c>
      <c r="E53" s="619">
        <v>0</v>
      </c>
      <c r="F53" s="619">
        <f t="shared" si="15"/>
        <v>60826.29</v>
      </c>
      <c r="G53" s="337">
        <f t="shared" si="11"/>
        <v>1</v>
      </c>
      <c r="H53" s="337">
        <f t="shared" si="11"/>
        <v>1</v>
      </c>
      <c r="I53" s="619">
        <f t="shared" si="13"/>
        <v>60826.29</v>
      </c>
      <c r="K53" s="323">
        <v>60826.290000000008</v>
      </c>
      <c r="L53" s="337">
        <f t="shared" si="12"/>
        <v>1</v>
      </c>
      <c r="M53" s="337">
        <f t="shared" si="12"/>
        <v>1</v>
      </c>
      <c r="N53" s="619">
        <f t="shared" si="14"/>
        <v>60826.290000000008</v>
      </c>
    </row>
    <row r="54" spans="1:14">
      <c r="A54" s="210">
        <f t="shared" si="1"/>
        <v>40</v>
      </c>
      <c r="B54" s="1050">
        <v>36700</v>
      </c>
      <c r="C54" s="234" t="s">
        <v>851</v>
      </c>
      <c r="D54" s="323">
        <v>158925.44</v>
      </c>
      <c r="E54" s="619">
        <v>0</v>
      </c>
      <c r="F54" s="619">
        <f t="shared" si="15"/>
        <v>158925.44</v>
      </c>
      <c r="G54" s="337">
        <f t="shared" si="11"/>
        <v>1</v>
      </c>
      <c r="H54" s="337">
        <f t="shared" si="11"/>
        <v>1</v>
      </c>
      <c r="I54" s="619">
        <f t="shared" si="13"/>
        <v>158925.44</v>
      </c>
      <c r="K54" s="323">
        <v>158925.43999999997</v>
      </c>
      <c r="L54" s="337">
        <f t="shared" si="12"/>
        <v>1</v>
      </c>
      <c r="M54" s="337">
        <f t="shared" si="12"/>
        <v>1</v>
      </c>
      <c r="N54" s="619">
        <f t="shared" si="14"/>
        <v>158925.43999999997</v>
      </c>
    </row>
    <row r="55" spans="1:14">
      <c r="A55" s="210">
        <f t="shared" si="1"/>
        <v>41</v>
      </c>
      <c r="B55" s="1050">
        <v>36701</v>
      </c>
      <c r="C55" s="234" t="s">
        <v>16</v>
      </c>
      <c r="D55" s="323">
        <v>27643441.630000003</v>
      </c>
      <c r="E55" s="619">
        <v>0</v>
      </c>
      <c r="F55" s="619">
        <f t="shared" si="15"/>
        <v>27643441.630000003</v>
      </c>
      <c r="G55" s="337">
        <f t="shared" si="11"/>
        <v>1</v>
      </c>
      <c r="H55" s="337">
        <f t="shared" si="11"/>
        <v>1</v>
      </c>
      <c r="I55" s="619">
        <f t="shared" si="13"/>
        <v>27643441.630000003</v>
      </c>
      <c r="K55" s="323">
        <v>27644378.737692304</v>
      </c>
      <c r="L55" s="337">
        <f t="shared" si="12"/>
        <v>1</v>
      </c>
      <c r="M55" s="337">
        <f t="shared" si="12"/>
        <v>1</v>
      </c>
      <c r="N55" s="619">
        <f t="shared" si="14"/>
        <v>27644378.737692304</v>
      </c>
    </row>
    <row r="56" spans="1:14">
      <c r="A56" s="210">
        <f t="shared" si="1"/>
        <v>42</v>
      </c>
      <c r="B56" s="1050">
        <v>36900</v>
      </c>
      <c r="C56" s="234" t="s">
        <v>1003</v>
      </c>
      <c r="D56" s="323">
        <v>731466.64</v>
      </c>
      <c r="E56" s="619">
        <v>0</v>
      </c>
      <c r="F56" s="619">
        <f t="shared" si="15"/>
        <v>731466.64</v>
      </c>
      <c r="G56" s="337">
        <f t="shared" si="11"/>
        <v>1</v>
      </c>
      <c r="H56" s="337">
        <f t="shared" si="11"/>
        <v>1</v>
      </c>
      <c r="I56" s="619">
        <f t="shared" si="13"/>
        <v>731466.64</v>
      </c>
      <c r="K56" s="323">
        <v>731466.6399999999</v>
      </c>
      <c r="L56" s="337">
        <f t="shared" si="12"/>
        <v>1</v>
      </c>
      <c r="M56" s="337">
        <f t="shared" si="12"/>
        <v>1</v>
      </c>
      <c r="N56" s="619">
        <f t="shared" si="14"/>
        <v>731466.6399999999</v>
      </c>
    </row>
    <row r="57" spans="1:14">
      <c r="A57" s="210">
        <f t="shared" si="1"/>
        <v>43</v>
      </c>
      <c r="B57" s="1050">
        <v>36901</v>
      </c>
      <c r="C57" s="234" t="s">
        <v>1003</v>
      </c>
      <c r="D57" s="323">
        <v>2269555.91</v>
      </c>
      <c r="E57" s="1064">
        <v>0</v>
      </c>
      <c r="F57" s="1064">
        <f t="shared" si="15"/>
        <v>2269555.91</v>
      </c>
      <c r="G57" s="337">
        <f t="shared" si="11"/>
        <v>1</v>
      </c>
      <c r="H57" s="337">
        <f t="shared" si="11"/>
        <v>1</v>
      </c>
      <c r="I57" s="1057">
        <f t="shared" si="13"/>
        <v>2269555.91</v>
      </c>
      <c r="K57" s="323">
        <v>2269555.91</v>
      </c>
      <c r="L57" s="337">
        <f t="shared" si="12"/>
        <v>1</v>
      </c>
      <c r="M57" s="337">
        <f t="shared" si="12"/>
        <v>1</v>
      </c>
      <c r="N57" s="1057">
        <f t="shared" si="14"/>
        <v>2269555.91</v>
      </c>
    </row>
    <row r="58" spans="1:14">
      <c r="A58" s="210">
        <f t="shared" si="1"/>
        <v>44</v>
      </c>
      <c r="B58" s="1059"/>
      <c r="C58" s="234"/>
      <c r="D58" s="621"/>
      <c r="E58" s="621"/>
      <c r="F58" s="621"/>
      <c r="G58" s="337"/>
      <c r="H58" s="337"/>
      <c r="I58" s="726"/>
      <c r="K58" s="726"/>
      <c r="N58" s="621"/>
    </row>
    <row r="59" spans="1:14">
      <c r="A59" s="210">
        <f t="shared" si="1"/>
        <v>45</v>
      </c>
      <c r="B59" s="1059"/>
      <c r="C59" s="234" t="s">
        <v>1372</v>
      </c>
      <c r="D59" s="361">
        <f>SUM(D50:D58)</f>
        <v>31807960.000000004</v>
      </c>
      <c r="E59" s="361">
        <f>SUM(E50:E58)</f>
        <v>0</v>
      </c>
      <c r="F59" s="361">
        <f>SUM(F50:F58)</f>
        <v>31807960.000000004</v>
      </c>
      <c r="G59" s="337"/>
      <c r="H59" s="337"/>
      <c r="I59" s="361">
        <f>SUM(I50:I58)</f>
        <v>31807960.000000004</v>
      </c>
      <c r="K59" s="361">
        <f>SUM(K50:K58)</f>
        <v>31808897.107692305</v>
      </c>
      <c r="N59" s="361">
        <f>SUM(N50:N58)</f>
        <v>31808897.107692305</v>
      </c>
    </row>
    <row r="60" spans="1:14">
      <c r="A60" s="210">
        <f t="shared" si="1"/>
        <v>46</v>
      </c>
      <c r="B60" s="1059"/>
      <c r="C60" s="196"/>
      <c r="G60" s="337"/>
      <c r="H60" s="337"/>
      <c r="I60" s="361"/>
      <c r="K60" s="361"/>
    </row>
    <row r="61" spans="1:14">
      <c r="A61" s="210">
        <f t="shared" si="1"/>
        <v>47</v>
      </c>
      <c r="B61" s="1059"/>
      <c r="C61" s="622" t="s">
        <v>303</v>
      </c>
      <c r="G61" s="337"/>
      <c r="H61" s="337"/>
      <c r="I61" s="361"/>
      <c r="K61" s="361"/>
    </row>
    <row r="62" spans="1:14">
      <c r="A62" s="210">
        <f t="shared" si="1"/>
        <v>48</v>
      </c>
      <c r="B62" s="1050">
        <v>37400</v>
      </c>
      <c r="C62" s="234" t="s">
        <v>1157</v>
      </c>
      <c r="D62" s="323">
        <v>531166.79</v>
      </c>
      <c r="E62" s="460">
        <v>0</v>
      </c>
      <c r="F62" s="361">
        <f>D62+E62</f>
        <v>531166.79</v>
      </c>
      <c r="G62" s="337">
        <f t="shared" si="11"/>
        <v>1</v>
      </c>
      <c r="H62" s="337">
        <f t="shared" si="11"/>
        <v>1</v>
      </c>
      <c r="I62" s="361">
        <f>F62*G62*H62</f>
        <v>531166.79</v>
      </c>
      <c r="K62" s="323">
        <v>531166.79</v>
      </c>
      <c r="L62" s="337">
        <f t="shared" ref="L62:M81" si="16">$G$16</f>
        <v>1</v>
      </c>
      <c r="M62" s="337">
        <f t="shared" si="16"/>
        <v>1</v>
      </c>
      <c r="N62" s="361">
        <f>K62*L62*M62</f>
        <v>531166.79</v>
      </c>
    </row>
    <row r="63" spans="1:14">
      <c r="A63" s="210">
        <f t="shared" si="1"/>
        <v>49</v>
      </c>
      <c r="B63" s="1050">
        <v>37401</v>
      </c>
      <c r="C63" s="234" t="s">
        <v>296</v>
      </c>
      <c r="D63" s="323">
        <v>37326.42</v>
      </c>
      <c r="E63" s="619">
        <v>0</v>
      </c>
      <c r="F63" s="619">
        <f>D63+E63</f>
        <v>37326.42</v>
      </c>
      <c r="G63" s="337">
        <f t="shared" si="11"/>
        <v>1</v>
      </c>
      <c r="H63" s="337">
        <f t="shared" si="11"/>
        <v>1</v>
      </c>
      <c r="I63" s="619">
        <f t="shared" ref="I63:I81" si="17">F63*G63*H63</f>
        <v>37326.42</v>
      </c>
      <c r="J63" s="619"/>
      <c r="K63" s="323">
        <v>37326.419999999991</v>
      </c>
      <c r="L63" s="337">
        <f t="shared" si="16"/>
        <v>1</v>
      </c>
      <c r="M63" s="337">
        <f t="shared" si="16"/>
        <v>1</v>
      </c>
      <c r="N63" s="619">
        <f t="shared" ref="N63:N81" si="18">K63*L63*M63</f>
        <v>37326.419999999991</v>
      </c>
    </row>
    <row r="64" spans="1:14">
      <c r="A64" s="210">
        <f t="shared" si="1"/>
        <v>50</v>
      </c>
      <c r="B64" s="1050">
        <v>37402</v>
      </c>
      <c r="C64" s="234" t="s">
        <v>1007</v>
      </c>
      <c r="D64" s="323">
        <v>2729252.788302395</v>
      </c>
      <c r="E64" s="619">
        <v>0</v>
      </c>
      <c r="F64" s="619">
        <f t="shared" ref="F64:F81" si="19">D64+E64</f>
        <v>2729252.788302395</v>
      </c>
      <c r="G64" s="337">
        <f t="shared" si="11"/>
        <v>1</v>
      </c>
      <c r="H64" s="337">
        <f t="shared" si="11"/>
        <v>1</v>
      </c>
      <c r="I64" s="619">
        <f t="shared" si="17"/>
        <v>2729252.788302395</v>
      </c>
      <c r="J64" s="619"/>
      <c r="K64" s="323">
        <v>2428380.5264732754</v>
      </c>
      <c r="L64" s="337">
        <f t="shared" si="16"/>
        <v>1</v>
      </c>
      <c r="M64" s="337">
        <f t="shared" si="16"/>
        <v>1</v>
      </c>
      <c r="N64" s="619">
        <f t="shared" si="18"/>
        <v>2428380.5264732754</v>
      </c>
    </row>
    <row r="65" spans="1:17">
      <c r="A65" s="210">
        <f t="shared" si="1"/>
        <v>51</v>
      </c>
      <c r="B65" s="1050">
        <v>37403</v>
      </c>
      <c r="C65" s="234" t="s">
        <v>1004</v>
      </c>
      <c r="D65" s="323">
        <v>2783.89</v>
      </c>
      <c r="E65" s="619">
        <v>0</v>
      </c>
      <c r="F65" s="619">
        <f t="shared" si="19"/>
        <v>2783.89</v>
      </c>
      <c r="G65" s="337">
        <f t="shared" si="11"/>
        <v>1</v>
      </c>
      <c r="H65" s="337">
        <f t="shared" si="11"/>
        <v>1</v>
      </c>
      <c r="I65" s="619">
        <f t="shared" si="17"/>
        <v>2783.89</v>
      </c>
      <c r="J65" s="619"/>
      <c r="K65" s="323">
        <v>2783.89</v>
      </c>
      <c r="L65" s="337">
        <f t="shared" si="16"/>
        <v>1</v>
      </c>
      <c r="M65" s="337">
        <f t="shared" si="16"/>
        <v>1</v>
      </c>
      <c r="N65" s="619">
        <f t="shared" si="18"/>
        <v>2783.89</v>
      </c>
    </row>
    <row r="66" spans="1:17">
      <c r="A66" s="210">
        <f t="shared" si="1"/>
        <v>52</v>
      </c>
      <c r="B66" s="1050">
        <v>37500</v>
      </c>
      <c r="C66" s="234" t="s">
        <v>863</v>
      </c>
      <c r="D66" s="323">
        <v>336167.54</v>
      </c>
      <c r="E66" s="619">
        <v>0</v>
      </c>
      <c r="F66" s="619">
        <f t="shared" si="19"/>
        <v>336167.54</v>
      </c>
      <c r="G66" s="337">
        <f t="shared" si="11"/>
        <v>1</v>
      </c>
      <c r="H66" s="337">
        <f t="shared" si="11"/>
        <v>1</v>
      </c>
      <c r="I66" s="619">
        <f t="shared" si="17"/>
        <v>336167.54</v>
      </c>
      <c r="J66" s="619"/>
      <c r="K66" s="323">
        <v>336167.54</v>
      </c>
      <c r="L66" s="337">
        <f t="shared" si="16"/>
        <v>1</v>
      </c>
      <c r="M66" s="337">
        <f t="shared" si="16"/>
        <v>1</v>
      </c>
      <c r="N66" s="619">
        <f t="shared" si="18"/>
        <v>336167.54</v>
      </c>
    </row>
    <row r="67" spans="1:17">
      <c r="A67" s="210">
        <f t="shared" si="1"/>
        <v>53</v>
      </c>
      <c r="B67" s="1050">
        <v>37501</v>
      </c>
      <c r="C67" s="234" t="s">
        <v>1005</v>
      </c>
      <c r="D67" s="323">
        <v>99818.13</v>
      </c>
      <c r="E67" s="619">
        <v>0</v>
      </c>
      <c r="F67" s="619">
        <f t="shared" si="19"/>
        <v>99818.13</v>
      </c>
      <c r="G67" s="337">
        <f t="shared" si="11"/>
        <v>1</v>
      </c>
      <c r="H67" s="337">
        <f t="shared" si="11"/>
        <v>1</v>
      </c>
      <c r="I67" s="619">
        <f t="shared" si="17"/>
        <v>99818.13</v>
      </c>
      <c r="J67" s="619"/>
      <c r="K67" s="323">
        <v>99818.12999999999</v>
      </c>
      <c r="L67" s="337">
        <f t="shared" si="16"/>
        <v>1</v>
      </c>
      <c r="M67" s="337">
        <f t="shared" si="16"/>
        <v>1</v>
      </c>
      <c r="N67" s="619">
        <f t="shared" si="18"/>
        <v>99818.12999999999</v>
      </c>
    </row>
    <row r="68" spans="1:17">
      <c r="A68" s="210">
        <f t="shared" si="1"/>
        <v>54</v>
      </c>
      <c r="B68" s="1050">
        <v>37502</v>
      </c>
      <c r="C68" s="234" t="s">
        <v>1007</v>
      </c>
      <c r="D68" s="323">
        <v>46264.19</v>
      </c>
      <c r="E68" s="619">
        <v>0</v>
      </c>
      <c r="F68" s="619">
        <f t="shared" si="19"/>
        <v>46264.19</v>
      </c>
      <c r="G68" s="337">
        <f t="shared" si="11"/>
        <v>1</v>
      </c>
      <c r="H68" s="337">
        <f t="shared" si="11"/>
        <v>1</v>
      </c>
      <c r="I68" s="619">
        <f t="shared" si="17"/>
        <v>46264.19</v>
      </c>
      <c r="J68" s="619"/>
      <c r="K68" s="323">
        <v>46264.189999999995</v>
      </c>
      <c r="L68" s="337">
        <f t="shared" si="16"/>
        <v>1</v>
      </c>
      <c r="M68" s="337">
        <f t="shared" si="16"/>
        <v>1</v>
      </c>
      <c r="N68" s="619">
        <f t="shared" si="18"/>
        <v>46264.189999999995</v>
      </c>
    </row>
    <row r="69" spans="1:17">
      <c r="A69" s="210">
        <f t="shared" si="1"/>
        <v>55</v>
      </c>
      <c r="B69" s="1050">
        <v>37503</v>
      </c>
      <c r="C69" s="234" t="s">
        <v>1006</v>
      </c>
      <c r="D69" s="323">
        <v>4005.08</v>
      </c>
      <c r="E69" s="619">
        <v>0</v>
      </c>
      <c r="F69" s="619">
        <f t="shared" si="19"/>
        <v>4005.08</v>
      </c>
      <c r="G69" s="337">
        <f t="shared" si="11"/>
        <v>1</v>
      </c>
      <c r="H69" s="337">
        <f t="shared" si="11"/>
        <v>1</v>
      </c>
      <c r="I69" s="619">
        <f t="shared" si="17"/>
        <v>4005.08</v>
      </c>
      <c r="J69" s="619"/>
      <c r="K69" s="323">
        <v>4005.0800000000013</v>
      </c>
      <c r="L69" s="337">
        <f t="shared" si="16"/>
        <v>1</v>
      </c>
      <c r="M69" s="337">
        <f t="shared" si="16"/>
        <v>1</v>
      </c>
      <c r="N69" s="619">
        <f t="shared" si="18"/>
        <v>4005.0800000000013</v>
      </c>
    </row>
    <row r="70" spans="1:17">
      <c r="A70" s="210">
        <f t="shared" si="1"/>
        <v>56</v>
      </c>
      <c r="B70" s="1050">
        <v>37600</v>
      </c>
      <c r="C70" s="234" t="s">
        <v>851</v>
      </c>
      <c r="D70" s="323">
        <v>20839824.191419367</v>
      </c>
      <c r="E70" s="619">
        <v>0</v>
      </c>
      <c r="F70" s="619">
        <f t="shared" si="19"/>
        <v>20839824.191419367</v>
      </c>
      <c r="G70" s="337">
        <f t="shared" si="11"/>
        <v>1</v>
      </c>
      <c r="H70" s="337">
        <f t="shared" si="11"/>
        <v>1</v>
      </c>
      <c r="I70" s="619">
        <f t="shared" si="17"/>
        <v>20839824.191419367</v>
      </c>
      <c r="J70" s="619"/>
      <c r="K70" s="323">
        <v>20931756.50472464</v>
      </c>
      <c r="L70" s="337">
        <f t="shared" si="16"/>
        <v>1</v>
      </c>
      <c r="M70" s="337">
        <f t="shared" si="16"/>
        <v>1</v>
      </c>
      <c r="N70" s="619">
        <f t="shared" si="18"/>
        <v>20931756.50472464</v>
      </c>
    </row>
    <row r="71" spans="1:17">
      <c r="A71" s="210">
        <f t="shared" si="1"/>
        <v>57</v>
      </c>
      <c r="B71" s="1050">
        <v>37601</v>
      </c>
      <c r="C71" s="234" t="s">
        <v>16</v>
      </c>
      <c r="D71" s="323">
        <v>139633199.75526756</v>
      </c>
      <c r="E71" s="619">
        <v>0</v>
      </c>
      <c r="F71" s="619">
        <f t="shared" si="19"/>
        <v>139633199.75526756</v>
      </c>
      <c r="G71" s="337">
        <f t="shared" si="11"/>
        <v>1</v>
      </c>
      <c r="H71" s="337">
        <f t="shared" si="11"/>
        <v>1</v>
      </c>
      <c r="I71" s="619">
        <f t="shared" si="17"/>
        <v>139633199.75526756</v>
      </c>
      <c r="J71" s="619"/>
      <c r="K71" s="323">
        <v>139186816.52012223</v>
      </c>
      <c r="L71" s="337">
        <f t="shared" si="16"/>
        <v>1</v>
      </c>
      <c r="M71" s="337">
        <f t="shared" si="16"/>
        <v>1</v>
      </c>
      <c r="N71" s="619">
        <f t="shared" si="18"/>
        <v>139186816.52012223</v>
      </c>
    </row>
    <row r="72" spans="1:17">
      <c r="A72" s="210">
        <f t="shared" si="1"/>
        <v>58</v>
      </c>
      <c r="B72" s="1050">
        <v>37602</v>
      </c>
      <c r="C72" s="234" t="s">
        <v>852</v>
      </c>
      <c r="D72" s="323">
        <v>108190082.43696019</v>
      </c>
      <c r="E72" s="619">
        <v>0</v>
      </c>
      <c r="F72" s="619">
        <f t="shared" si="19"/>
        <v>108190082.43696019</v>
      </c>
      <c r="G72" s="337">
        <f t="shared" si="11"/>
        <v>1</v>
      </c>
      <c r="H72" s="337">
        <f t="shared" si="11"/>
        <v>1</v>
      </c>
      <c r="I72" s="619">
        <f t="shared" si="17"/>
        <v>108190082.43696019</v>
      </c>
      <c r="J72" s="619"/>
      <c r="K72" s="323">
        <v>97764861.214369506</v>
      </c>
      <c r="L72" s="337">
        <f t="shared" si="16"/>
        <v>1</v>
      </c>
      <c r="M72" s="337">
        <f t="shared" si="16"/>
        <v>1</v>
      </c>
      <c r="N72" s="619">
        <f t="shared" si="18"/>
        <v>97764861.214369506</v>
      </c>
      <c r="Q72" s="673"/>
    </row>
    <row r="73" spans="1:17">
      <c r="A73" s="210">
        <f t="shared" si="1"/>
        <v>59</v>
      </c>
      <c r="B73" s="1050">
        <v>37800</v>
      </c>
      <c r="C73" s="234" t="s">
        <v>230</v>
      </c>
      <c r="D73" s="323">
        <v>11143482.702178247</v>
      </c>
      <c r="E73" s="619">
        <v>0</v>
      </c>
      <c r="F73" s="619">
        <f t="shared" si="19"/>
        <v>11143482.702178247</v>
      </c>
      <c r="G73" s="337">
        <f t="shared" si="11"/>
        <v>1</v>
      </c>
      <c r="H73" s="337">
        <f t="shared" si="11"/>
        <v>1</v>
      </c>
      <c r="I73" s="619">
        <f t="shared" si="17"/>
        <v>11143482.702178247</v>
      </c>
      <c r="J73" s="619"/>
      <c r="K73" s="323">
        <v>9597586.2010076065</v>
      </c>
      <c r="L73" s="337">
        <f t="shared" si="16"/>
        <v>1</v>
      </c>
      <c r="M73" s="337">
        <f t="shared" si="16"/>
        <v>1</v>
      </c>
      <c r="N73" s="619">
        <f t="shared" si="18"/>
        <v>9597586.2010076065</v>
      </c>
    </row>
    <row r="74" spans="1:17">
      <c r="A74" s="210">
        <f t="shared" si="1"/>
        <v>60</v>
      </c>
      <c r="B74" s="1050">
        <v>37900</v>
      </c>
      <c r="C74" s="234" t="s">
        <v>1200</v>
      </c>
      <c r="D74" s="323">
        <v>4390986.3751828903</v>
      </c>
      <c r="E74" s="619">
        <v>0</v>
      </c>
      <c r="F74" s="619">
        <f t="shared" si="19"/>
        <v>4390986.3751828903</v>
      </c>
      <c r="G74" s="337">
        <f t="shared" si="11"/>
        <v>1</v>
      </c>
      <c r="H74" s="337">
        <f t="shared" si="11"/>
        <v>1</v>
      </c>
      <c r="I74" s="619">
        <f t="shared" si="17"/>
        <v>4390986.3751828903</v>
      </c>
      <c r="J74" s="619"/>
      <c r="K74" s="323">
        <v>4016209.7106458554</v>
      </c>
      <c r="L74" s="337">
        <f t="shared" si="16"/>
        <v>1</v>
      </c>
      <c r="M74" s="337">
        <f t="shared" si="16"/>
        <v>1</v>
      </c>
      <c r="N74" s="619">
        <f t="shared" si="18"/>
        <v>4016209.7106458554</v>
      </c>
    </row>
    <row r="75" spans="1:17">
      <c r="A75" s="210">
        <f t="shared" si="1"/>
        <v>61</v>
      </c>
      <c r="B75" s="1050">
        <v>37905</v>
      </c>
      <c r="C75" s="234" t="s">
        <v>732</v>
      </c>
      <c r="D75" s="323">
        <v>2137219.850208587</v>
      </c>
      <c r="E75" s="619">
        <v>0</v>
      </c>
      <c r="F75" s="619">
        <f t="shared" si="19"/>
        <v>2137219.850208587</v>
      </c>
      <c r="G75" s="337">
        <f t="shared" si="11"/>
        <v>1</v>
      </c>
      <c r="H75" s="337">
        <f t="shared" si="11"/>
        <v>1</v>
      </c>
      <c r="I75" s="619">
        <f t="shared" si="17"/>
        <v>2137219.850208587</v>
      </c>
      <c r="J75" s="619"/>
      <c r="K75" s="323">
        <v>1753407.2767088378</v>
      </c>
      <c r="L75" s="337">
        <f t="shared" si="16"/>
        <v>1</v>
      </c>
      <c r="M75" s="337">
        <f t="shared" si="16"/>
        <v>1</v>
      </c>
      <c r="N75" s="619">
        <f t="shared" si="18"/>
        <v>1753407.2767088378</v>
      </c>
    </row>
    <row r="76" spans="1:17">
      <c r="A76" s="210">
        <f t="shared" si="1"/>
        <v>62</v>
      </c>
      <c r="B76" s="1050">
        <v>38000</v>
      </c>
      <c r="C76" s="234" t="s">
        <v>1061</v>
      </c>
      <c r="D76" s="323">
        <v>125090928.6933367</v>
      </c>
      <c r="E76" s="619">
        <v>0</v>
      </c>
      <c r="F76" s="619">
        <f t="shared" si="19"/>
        <v>125090928.6933367</v>
      </c>
      <c r="G76" s="337">
        <f t="shared" si="11"/>
        <v>1</v>
      </c>
      <c r="H76" s="337">
        <f t="shared" si="11"/>
        <v>1</v>
      </c>
      <c r="I76" s="619">
        <f t="shared" si="17"/>
        <v>125090928.6933367</v>
      </c>
      <c r="J76" s="619"/>
      <c r="K76" s="323">
        <v>115920465.59676665</v>
      </c>
      <c r="L76" s="337">
        <f t="shared" si="16"/>
        <v>1</v>
      </c>
      <c r="M76" s="337">
        <f t="shared" si="16"/>
        <v>1</v>
      </c>
      <c r="N76" s="619">
        <f t="shared" si="18"/>
        <v>115920465.59676665</v>
      </c>
    </row>
    <row r="77" spans="1:17">
      <c r="A77" s="210">
        <f t="shared" si="1"/>
        <v>63</v>
      </c>
      <c r="B77" s="1050">
        <v>38100</v>
      </c>
      <c r="C77" s="234" t="s">
        <v>853</v>
      </c>
      <c r="D77" s="323">
        <v>34572059.045847826</v>
      </c>
      <c r="E77" s="619">
        <v>0</v>
      </c>
      <c r="F77" s="619">
        <f t="shared" si="19"/>
        <v>34572059.045847826</v>
      </c>
      <c r="G77" s="337">
        <f t="shared" ref="G77:H110" si="20">$G$16</f>
        <v>1</v>
      </c>
      <c r="H77" s="337">
        <f t="shared" si="20"/>
        <v>1</v>
      </c>
      <c r="I77" s="619">
        <f t="shared" si="17"/>
        <v>34572059.045847826</v>
      </c>
      <c r="J77" s="619"/>
      <c r="K77" s="323">
        <v>30218955.663557205</v>
      </c>
      <c r="L77" s="337">
        <f t="shared" si="16"/>
        <v>1</v>
      </c>
      <c r="M77" s="337">
        <f t="shared" si="16"/>
        <v>1</v>
      </c>
      <c r="N77" s="619">
        <f t="shared" si="18"/>
        <v>30218955.663557205</v>
      </c>
    </row>
    <row r="78" spans="1:17">
      <c r="A78" s="210">
        <f t="shared" si="1"/>
        <v>64</v>
      </c>
      <c r="B78" s="1050">
        <v>38200</v>
      </c>
      <c r="C78" s="234" t="s">
        <v>447</v>
      </c>
      <c r="D78" s="323">
        <v>55930896.950776473</v>
      </c>
      <c r="E78" s="619">
        <v>0</v>
      </c>
      <c r="F78" s="619">
        <f t="shared" si="19"/>
        <v>55930896.950776473</v>
      </c>
      <c r="G78" s="337">
        <f t="shared" si="20"/>
        <v>1</v>
      </c>
      <c r="H78" s="337">
        <f t="shared" si="20"/>
        <v>1</v>
      </c>
      <c r="I78" s="619">
        <f t="shared" si="17"/>
        <v>55930896.950776473</v>
      </c>
      <c r="J78" s="619"/>
      <c r="K78" s="323">
        <v>55326917.089017496</v>
      </c>
      <c r="L78" s="337">
        <f t="shared" si="16"/>
        <v>1</v>
      </c>
      <c r="M78" s="337">
        <f t="shared" si="16"/>
        <v>1</v>
      </c>
      <c r="N78" s="619">
        <f t="shared" si="18"/>
        <v>55326917.089017496</v>
      </c>
    </row>
    <row r="79" spans="1:17">
      <c r="A79" s="210">
        <f t="shared" si="1"/>
        <v>65</v>
      </c>
      <c r="B79" s="1050">
        <v>38300</v>
      </c>
      <c r="C79" s="234" t="s">
        <v>1062</v>
      </c>
      <c r="D79" s="323">
        <v>11066326.556323143</v>
      </c>
      <c r="E79" s="619">
        <v>0</v>
      </c>
      <c r="F79" s="619">
        <f t="shared" si="19"/>
        <v>11066326.556323143</v>
      </c>
      <c r="G79" s="337">
        <f t="shared" si="20"/>
        <v>1</v>
      </c>
      <c r="H79" s="337">
        <f t="shared" si="20"/>
        <v>1</v>
      </c>
      <c r="I79" s="619">
        <f t="shared" si="17"/>
        <v>11066326.556323143</v>
      </c>
      <c r="J79" s="619"/>
      <c r="K79" s="323">
        <v>10650748.706396315</v>
      </c>
      <c r="L79" s="337">
        <f t="shared" si="16"/>
        <v>1</v>
      </c>
      <c r="M79" s="337">
        <f t="shared" si="16"/>
        <v>1</v>
      </c>
      <c r="N79" s="619">
        <f t="shared" si="18"/>
        <v>10650748.706396315</v>
      </c>
    </row>
    <row r="80" spans="1:17">
      <c r="A80" s="210">
        <f t="shared" si="1"/>
        <v>66</v>
      </c>
      <c r="B80" s="1050">
        <v>38400</v>
      </c>
      <c r="C80" s="234" t="s">
        <v>448</v>
      </c>
      <c r="D80" s="323">
        <v>218301.06872914961</v>
      </c>
      <c r="E80" s="619">
        <v>0</v>
      </c>
      <c r="F80" s="619">
        <f t="shared" si="19"/>
        <v>218301.06872914961</v>
      </c>
      <c r="G80" s="337">
        <f t="shared" si="20"/>
        <v>1</v>
      </c>
      <c r="H80" s="337">
        <f t="shared" si="20"/>
        <v>1</v>
      </c>
      <c r="I80" s="619">
        <f t="shared" si="17"/>
        <v>218301.06872914961</v>
      </c>
      <c r="J80" s="619"/>
      <c r="K80" s="323">
        <v>199426.48544288758</v>
      </c>
      <c r="L80" s="337">
        <f t="shared" si="16"/>
        <v>1</v>
      </c>
      <c r="M80" s="337">
        <f t="shared" si="16"/>
        <v>1</v>
      </c>
      <c r="N80" s="619">
        <f t="shared" si="18"/>
        <v>199426.48544288758</v>
      </c>
    </row>
    <row r="81" spans="1:15">
      <c r="A81" s="210">
        <f t="shared" ref="A81:A150" si="21">A80+1</f>
        <v>67</v>
      </c>
      <c r="B81" s="1050">
        <v>38500</v>
      </c>
      <c r="C81" s="234" t="s">
        <v>449</v>
      </c>
      <c r="D81" s="323">
        <v>5189649.8545054561</v>
      </c>
      <c r="E81" s="619">
        <v>0</v>
      </c>
      <c r="F81" s="619">
        <f t="shared" si="19"/>
        <v>5189649.8545054561</v>
      </c>
      <c r="G81" s="337">
        <f t="shared" si="20"/>
        <v>1</v>
      </c>
      <c r="H81" s="337">
        <f t="shared" si="20"/>
        <v>1</v>
      </c>
      <c r="I81" s="619">
        <f t="shared" si="17"/>
        <v>5189649.8545054561</v>
      </c>
      <c r="J81" s="619"/>
      <c r="K81" s="323">
        <v>5160498.8037676439</v>
      </c>
      <c r="L81" s="337">
        <f t="shared" si="16"/>
        <v>1</v>
      </c>
      <c r="M81" s="337">
        <f t="shared" si="16"/>
        <v>1</v>
      </c>
      <c r="N81" s="619">
        <f t="shared" si="18"/>
        <v>5160498.8037676439</v>
      </c>
    </row>
    <row r="82" spans="1:15">
      <c r="A82" s="210">
        <f t="shared" si="21"/>
        <v>68</v>
      </c>
      <c r="B82" s="1059"/>
      <c r="C82" s="234"/>
      <c r="D82" s="621"/>
      <c r="E82" s="621"/>
      <c r="F82" s="621"/>
      <c r="G82" s="337"/>
      <c r="H82" s="337"/>
      <c r="I82" s="621"/>
      <c r="K82" s="726"/>
      <c r="N82" s="621"/>
    </row>
    <row r="83" spans="1:15">
      <c r="A83" s="210">
        <f t="shared" si="21"/>
        <v>69</v>
      </c>
      <c r="B83" s="1059"/>
      <c r="C83" s="234" t="s">
        <v>304</v>
      </c>
      <c r="D83" s="361">
        <f>SUM(D62:D82)</f>
        <v>522189742.30903792</v>
      </c>
      <c r="E83" s="361">
        <f>SUM(E62:E82)</f>
        <v>0</v>
      </c>
      <c r="F83" s="361">
        <f>SUM(F62:F82)</f>
        <v>522189742.30903792</v>
      </c>
      <c r="G83" s="337"/>
      <c r="H83" s="337"/>
      <c r="I83" s="361">
        <f>SUM(I62:I82)</f>
        <v>522189742.30903792</v>
      </c>
      <c r="K83" s="361">
        <f>SUM(K62:K82)</f>
        <v>494213562.33900023</v>
      </c>
      <c r="N83" s="361">
        <f>SUM(N62:N82)</f>
        <v>494213562.33900023</v>
      </c>
      <c r="O83" s="673"/>
    </row>
    <row r="84" spans="1:15">
      <c r="A84" s="210">
        <f t="shared" si="21"/>
        <v>70</v>
      </c>
      <c r="B84" s="1059"/>
      <c r="C84" s="234"/>
      <c r="G84" s="337"/>
      <c r="H84" s="337"/>
      <c r="K84" s="361"/>
    </row>
    <row r="85" spans="1:15">
      <c r="A85" s="210">
        <f t="shared" si="21"/>
        <v>71</v>
      </c>
      <c r="B85" s="1059"/>
      <c r="C85" s="622" t="s">
        <v>1179</v>
      </c>
      <c r="G85" s="337"/>
      <c r="H85" s="337"/>
      <c r="K85" s="361"/>
    </row>
    <row r="86" spans="1:15">
      <c r="A86" s="210">
        <f t="shared" si="21"/>
        <v>72</v>
      </c>
      <c r="B86" s="1050">
        <v>38900</v>
      </c>
      <c r="C86" s="234" t="s">
        <v>1157</v>
      </c>
      <c r="D86" s="323">
        <v>1211697.3</v>
      </c>
      <c r="E86" s="460">
        <v>0</v>
      </c>
      <c r="F86" s="361">
        <f t="shared" ref="F86:F110" si="22">D86+E86</f>
        <v>1211697.3</v>
      </c>
      <c r="G86" s="337">
        <f t="shared" si="20"/>
        <v>1</v>
      </c>
      <c r="H86" s="337">
        <f t="shared" si="20"/>
        <v>1</v>
      </c>
      <c r="I86" s="361">
        <f>F86*G86*H86</f>
        <v>1211697.3</v>
      </c>
      <c r="K86" s="323">
        <v>1211697.3000000003</v>
      </c>
      <c r="L86" s="337">
        <f t="shared" ref="L86:M110" si="23">$G$16</f>
        <v>1</v>
      </c>
      <c r="M86" s="337">
        <f t="shared" si="23"/>
        <v>1</v>
      </c>
      <c r="N86" s="361">
        <f>K86*L86*M86</f>
        <v>1211697.3000000003</v>
      </c>
    </row>
    <row r="87" spans="1:15">
      <c r="A87" s="210">
        <f t="shared" si="21"/>
        <v>73</v>
      </c>
      <c r="B87" s="1050">
        <v>39000</v>
      </c>
      <c r="C87" s="234" t="s">
        <v>863</v>
      </c>
      <c r="D87" s="323">
        <v>7144406.4734884454</v>
      </c>
      <c r="E87" s="619">
        <v>0</v>
      </c>
      <c r="F87" s="619">
        <f>D87+E87</f>
        <v>7144406.4734884454</v>
      </c>
      <c r="G87" s="337">
        <f t="shared" si="20"/>
        <v>1</v>
      </c>
      <c r="H87" s="337">
        <f t="shared" si="20"/>
        <v>1</v>
      </c>
      <c r="I87" s="619">
        <f t="shared" ref="I87:I110" si="24">F87*G87*H87</f>
        <v>7144406.4734884454</v>
      </c>
      <c r="K87" s="323">
        <v>7142325.9952791734</v>
      </c>
      <c r="L87" s="337">
        <f t="shared" si="23"/>
        <v>1</v>
      </c>
      <c r="M87" s="337">
        <f t="shared" si="23"/>
        <v>1</v>
      </c>
      <c r="N87" s="619">
        <f t="shared" ref="N87:N110" si="25">K87*L87*M87</f>
        <v>7142325.9952791734</v>
      </c>
    </row>
    <row r="88" spans="1:15">
      <c r="A88" s="210">
        <f t="shared" si="21"/>
        <v>74</v>
      </c>
      <c r="B88" s="1050">
        <v>39002</v>
      </c>
      <c r="C88" s="234" t="s">
        <v>754</v>
      </c>
      <c r="D88" s="323">
        <v>173114.85</v>
      </c>
      <c r="E88" s="619">
        <v>0</v>
      </c>
      <c r="F88" s="619">
        <f t="shared" si="22"/>
        <v>173114.85</v>
      </c>
      <c r="G88" s="337">
        <f t="shared" si="20"/>
        <v>1</v>
      </c>
      <c r="H88" s="337">
        <f t="shared" si="20"/>
        <v>1</v>
      </c>
      <c r="I88" s="619">
        <f t="shared" si="24"/>
        <v>173114.85</v>
      </c>
      <c r="K88" s="323">
        <v>173114.85000000003</v>
      </c>
      <c r="L88" s="337">
        <f t="shared" si="23"/>
        <v>1</v>
      </c>
      <c r="M88" s="337">
        <f t="shared" si="23"/>
        <v>1</v>
      </c>
      <c r="N88" s="619">
        <f t="shared" si="25"/>
        <v>173114.85000000003</v>
      </c>
    </row>
    <row r="89" spans="1:15">
      <c r="A89" s="210">
        <f t="shared" si="21"/>
        <v>75</v>
      </c>
      <c r="B89" s="1050">
        <v>39003</v>
      </c>
      <c r="C89" s="234" t="s">
        <v>1006</v>
      </c>
      <c r="D89" s="323">
        <v>709199.18</v>
      </c>
      <c r="E89" s="619">
        <v>0</v>
      </c>
      <c r="F89" s="619">
        <f t="shared" si="22"/>
        <v>709199.18</v>
      </c>
      <c r="G89" s="337">
        <f t="shared" si="20"/>
        <v>1</v>
      </c>
      <c r="H89" s="337">
        <f t="shared" si="20"/>
        <v>1</v>
      </c>
      <c r="I89" s="619">
        <f t="shared" si="24"/>
        <v>709199.18</v>
      </c>
      <c r="K89" s="323">
        <v>709199.17999999982</v>
      </c>
      <c r="L89" s="337">
        <f t="shared" si="23"/>
        <v>1</v>
      </c>
      <c r="M89" s="337">
        <f t="shared" si="23"/>
        <v>1</v>
      </c>
      <c r="N89" s="619">
        <f t="shared" si="25"/>
        <v>709199.17999999982</v>
      </c>
    </row>
    <row r="90" spans="1:15">
      <c r="A90" s="210">
        <f t="shared" si="21"/>
        <v>76</v>
      </c>
      <c r="B90" s="1050">
        <v>39004</v>
      </c>
      <c r="C90" s="234" t="s">
        <v>450</v>
      </c>
      <c r="D90" s="323">
        <v>12954.74</v>
      </c>
      <c r="E90" s="619">
        <v>0</v>
      </c>
      <c r="F90" s="619">
        <f t="shared" si="22"/>
        <v>12954.74</v>
      </c>
      <c r="G90" s="337">
        <f t="shared" si="20"/>
        <v>1</v>
      </c>
      <c r="H90" s="337">
        <f t="shared" si="20"/>
        <v>1</v>
      </c>
      <c r="I90" s="619">
        <f t="shared" si="24"/>
        <v>12954.74</v>
      </c>
      <c r="K90" s="323">
        <v>12954.74</v>
      </c>
      <c r="L90" s="337">
        <f t="shared" si="23"/>
        <v>1</v>
      </c>
      <c r="M90" s="337">
        <f t="shared" si="23"/>
        <v>1</v>
      </c>
      <c r="N90" s="619">
        <f t="shared" si="25"/>
        <v>12954.74</v>
      </c>
    </row>
    <row r="91" spans="1:15">
      <c r="A91" s="210">
        <f t="shared" si="21"/>
        <v>77</v>
      </c>
      <c r="B91" s="1050">
        <v>39009</v>
      </c>
      <c r="C91" s="234" t="s">
        <v>1045</v>
      </c>
      <c r="D91" s="323">
        <v>1246194.18</v>
      </c>
      <c r="E91" s="619">
        <v>0</v>
      </c>
      <c r="F91" s="619">
        <f t="shared" si="22"/>
        <v>1246194.18</v>
      </c>
      <c r="G91" s="337">
        <f t="shared" si="20"/>
        <v>1</v>
      </c>
      <c r="H91" s="337">
        <f t="shared" si="20"/>
        <v>1</v>
      </c>
      <c r="I91" s="619">
        <f t="shared" si="24"/>
        <v>1246194.18</v>
      </c>
      <c r="K91" s="323">
        <v>1246194.18</v>
      </c>
      <c r="L91" s="337">
        <f t="shared" si="23"/>
        <v>1</v>
      </c>
      <c r="M91" s="337">
        <f t="shared" si="23"/>
        <v>1</v>
      </c>
      <c r="N91" s="619">
        <f t="shared" si="25"/>
        <v>1246194.18</v>
      </c>
    </row>
    <row r="92" spans="1:15">
      <c r="A92" s="210">
        <f t="shared" si="21"/>
        <v>78</v>
      </c>
      <c r="B92" s="1050">
        <v>39100</v>
      </c>
      <c r="C92" s="234" t="s">
        <v>786</v>
      </c>
      <c r="D92" s="323">
        <v>1794619.1</v>
      </c>
      <c r="E92" s="619">
        <v>0</v>
      </c>
      <c r="F92" s="619">
        <f t="shared" si="22"/>
        <v>1794619.1</v>
      </c>
      <c r="G92" s="337">
        <f t="shared" si="20"/>
        <v>1</v>
      </c>
      <c r="H92" s="337">
        <f t="shared" si="20"/>
        <v>1</v>
      </c>
      <c r="I92" s="619">
        <f t="shared" si="24"/>
        <v>1794619.1</v>
      </c>
      <c r="K92" s="323">
        <v>1794619.1000000003</v>
      </c>
      <c r="L92" s="337">
        <f t="shared" si="23"/>
        <v>1</v>
      </c>
      <c r="M92" s="337">
        <f t="shared" si="23"/>
        <v>1</v>
      </c>
      <c r="N92" s="619">
        <f t="shared" si="25"/>
        <v>1794619.1000000003</v>
      </c>
    </row>
    <row r="93" spans="1:15">
      <c r="A93" s="210">
        <f t="shared" si="21"/>
        <v>79</v>
      </c>
      <c r="B93" s="1050">
        <v>39103</v>
      </c>
      <c r="C93" s="80" t="s">
        <v>787</v>
      </c>
      <c r="D93" s="323">
        <v>0</v>
      </c>
      <c r="E93" s="619">
        <v>0</v>
      </c>
      <c r="F93" s="619">
        <f t="shared" si="22"/>
        <v>0</v>
      </c>
      <c r="G93" s="337">
        <f t="shared" si="20"/>
        <v>1</v>
      </c>
      <c r="H93" s="337">
        <f t="shared" si="20"/>
        <v>1</v>
      </c>
      <c r="I93" s="619">
        <f t="shared" si="24"/>
        <v>0</v>
      </c>
      <c r="K93" s="323">
        <v>0</v>
      </c>
      <c r="L93" s="337">
        <f t="shared" si="23"/>
        <v>1</v>
      </c>
      <c r="M93" s="337">
        <f t="shared" si="23"/>
        <v>1</v>
      </c>
      <c r="N93" s="619">
        <f t="shared" si="25"/>
        <v>0</v>
      </c>
    </row>
    <row r="94" spans="1:15">
      <c r="A94" s="210">
        <f t="shared" si="21"/>
        <v>80</v>
      </c>
      <c r="B94" s="1050">
        <v>39200</v>
      </c>
      <c r="C94" s="234" t="s">
        <v>1085</v>
      </c>
      <c r="D94" s="323">
        <v>220986.90000000002</v>
      </c>
      <c r="E94" s="619">
        <v>0</v>
      </c>
      <c r="F94" s="619">
        <f t="shared" si="22"/>
        <v>220986.90000000002</v>
      </c>
      <c r="G94" s="337">
        <f t="shared" si="20"/>
        <v>1</v>
      </c>
      <c r="H94" s="337">
        <f t="shared" si="20"/>
        <v>1</v>
      </c>
      <c r="I94" s="619">
        <f t="shared" si="24"/>
        <v>220986.90000000002</v>
      </c>
      <c r="K94" s="323">
        <v>245236.79076923072</v>
      </c>
      <c r="L94" s="337">
        <f t="shared" si="23"/>
        <v>1</v>
      </c>
      <c r="M94" s="337">
        <f t="shared" si="23"/>
        <v>1</v>
      </c>
      <c r="N94" s="619">
        <f t="shared" si="25"/>
        <v>245236.79076923072</v>
      </c>
    </row>
    <row r="95" spans="1:15">
      <c r="A95" s="210">
        <f t="shared" si="21"/>
        <v>81</v>
      </c>
      <c r="B95" s="1050">
        <v>39202</v>
      </c>
      <c r="C95" s="234" t="s">
        <v>87</v>
      </c>
      <c r="D95" s="323">
        <v>0</v>
      </c>
      <c r="E95" s="619">
        <v>0</v>
      </c>
      <c r="F95" s="619">
        <f t="shared" si="22"/>
        <v>0</v>
      </c>
      <c r="G95" s="337">
        <f t="shared" si="20"/>
        <v>1</v>
      </c>
      <c r="H95" s="337">
        <f t="shared" si="20"/>
        <v>1</v>
      </c>
      <c r="I95" s="619">
        <f t="shared" si="24"/>
        <v>0</v>
      </c>
      <c r="K95" s="323">
        <v>1322.6838461538462</v>
      </c>
      <c r="L95" s="337">
        <f t="shared" si="23"/>
        <v>1</v>
      </c>
      <c r="M95" s="337">
        <f t="shared" si="23"/>
        <v>1</v>
      </c>
      <c r="N95" s="619">
        <f t="shared" si="25"/>
        <v>1322.6838461538462</v>
      </c>
    </row>
    <row r="96" spans="1:15">
      <c r="A96" s="210">
        <f t="shared" si="21"/>
        <v>82</v>
      </c>
      <c r="B96" s="1050">
        <v>39400</v>
      </c>
      <c r="C96" s="234" t="s">
        <v>1044</v>
      </c>
      <c r="D96" s="323">
        <v>4189376.1161897252</v>
      </c>
      <c r="E96" s="619">
        <v>0</v>
      </c>
      <c r="F96" s="619">
        <f t="shared" si="22"/>
        <v>4189376.1161897252</v>
      </c>
      <c r="G96" s="337">
        <f t="shared" si="20"/>
        <v>1</v>
      </c>
      <c r="H96" s="337">
        <f t="shared" si="20"/>
        <v>1</v>
      </c>
      <c r="I96" s="619">
        <f t="shared" si="24"/>
        <v>4189376.1161897252</v>
      </c>
      <c r="K96" s="323">
        <v>3457519.0385784637</v>
      </c>
      <c r="L96" s="337">
        <f t="shared" si="23"/>
        <v>1</v>
      </c>
      <c r="M96" s="337">
        <f t="shared" si="23"/>
        <v>1</v>
      </c>
      <c r="N96" s="619">
        <f t="shared" si="25"/>
        <v>3457519.0385784637</v>
      </c>
    </row>
    <row r="97" spans="1:14">
      <c r="A97" s="210">
        <f t="shared" si="21"/>
        <v>83</v>
      </c>
      <c r="B97" s="1050">
        <v>39603</v>
      </c>
      <c r="C97" s="234" t="s">
        <v>88</v>
      </c>
      <c r="D97" s="323">
        <v>39610.080000000002</v>
      </c>
      <c r="E97" s="619">
        <v>0</v>
      </c>
      <c r="F97" s="619">
        <f t="shared" si="22"/>
        <v>39610.080000000002</v>
      </c>
      <c r="G97" s="337">
        <f t="shared" si="20"/>
        <v>1</v>
      </c>
      <c r="H97" s="337">
        <f t="shared" si="20"/>
        <v>1</v>
      </c>
      <c r="I97" s="619">
        <f t="shared" si="24"/>
        <v>39610.080000000002</v>
      </c>
      <c r="K97" s="323">
        <v>39610.080000000009</v>
      </c>
      <c r="L97" s="337">
        <f t="shared" si="23"/>
        <v>1</v>
      </c>
      <c r="M97" s="337">
        <f t="shared" si="23"/>
        <v>1</v>
      </c>
      <c r="N97" s="619">
        <f t="shared" si="25"/>
        <v>39610.080000000009</v>
      </c>
    </row>
    <row r="98" spans="1:14">
      <c r="A98" s="210">
        <f t="shared" si="21"/>
        <v>84</v>
      </c>
      <c r="B98" s="1050">
        <v>39604</v>
      </c>
      <c r="C98" s="234" t="s">
        <v>89</v>
      </c>
      <c r="D98" s="323">
        <v>62747.29</v>
      </c>
      <c r="E98" s="619">
        <v>0</v>
      </c>
      <c r="F98" s="619">
        <f t="shared" si="22"/>
        <v>62747.29</v>
      </c>
      <c r="G98" s="337">
        <f t="shared" si="20"/>
        <v>1</v>
      </c>
      <c r="H98" s="337">
        <f t="shared" si="20"/>
        <v>1</v>
      </c>
      <c r="I98" s="619">
        <f t="shared" si="24"/>
        <v>62747.29</v>
      </c>
      <c r="K98" s="323">
        <v>62747.290000000008</v>
      </c>
      <c r="L98" s="337">
        <f t="shared" si="23"/>
        <v>1</v>
      </c>
      <c r="M98" s="337">
        <f t="shared" si="23"/>
        <v>1</v>
      </c>
      <c r="N98" s="619">
        <f t="shared" si="25"/>
        <v>62747.290000000008</v>
      </c>
    </row>
    <row r="99" spans="1:14">
      <c r="A99" s="210">
        <f t="shared" si="21"/>
        <v>85</v>
      </c>
      <c r="B99" s="1050">
        <v>39605</v>
      </c>
      <c r="C99" s="196" t="s">
        <v>90</v>
      </c>
      <c r="D99" s="323">
        <v>19427.23</v>
      </c>
      <c r="E99" s="619">
        <v>0</v>
      </c>
      <c r="F99" s="619">
        <f t="shared" si="22"/>
        <v>19427.23</v>
      </c>
      <c r="G99" s="337">
        <f t="shared" si="20"/>
        <v>1</v>
      </c>
      <c r="H99" s="337">
        <f t="shared" si="20"/>
        <v>1</v>
      </c>
      <c r="I99" s="619">
        <f t="shared" si="24"/>
        <v>19427.23</v>
      </c>
      <c r="K99" s="323">
        <v>19427.230000000003</v>
      </c>
      <c r="L99" s="337">
        <f t="shared" si="23"/>
        <v>1</v>
      </c>
      <c r="M99" s="337">
        <f t="shared" si="23"/>
        <v>1</v>
      </c>
      <c r="N99" s="619">
        <f t="shared" si="25"/>
        <v>19427.230000000003</v>
      </c>
    </row>
    <row r="100" spans="1:14">
      <c r="A100" s="210">
        <f t="shared" si="21"/>
        <v>86</v>
      </c>
      <c r="B100" s="1050">
        <v>39700</v>
      </c>
      <c r="C100" s="234" t="s">
        <v>445</v>
      </c>
      <c r="D100" s="323">
        <v>358964.52</v>
      </c>
      <c r="E100" s="619">
        <v>0</v>
      </c>
      <c r="F100" s="619">
        <f t="shared" si="22"/>
        <v>358964.52</v>
      </c>
      <c r="G100" s="337">
        <f t="shared" si="20"/>
        <v>1</v>
      </c>
      <c r="H100" s="337">
        <f t="shared" si="20"/>
        <v>1</v>
      </c>
      <c r="I100" s="619">
        <f t="shared" si="24"/>
        <v>358964.52</v>
      </c>
      <c r="K100" s="323">
        <v>358964.51999999996</v>
      </c>
      <c r="L100" s="337">
        <f t="shared" si="23"/>
        <v>1</v>
      </c>
      <c r="M100" s="337">
        <f t="shared" si="23"/>
        <v>1</v>
      </c>
      <c r="N100" s="619">
        <f t="shared" si="25"/>
        <v>358964.51999999996</v>
      </c>
    </row>
    <row r="101" spans="1:14">
      <c r="A101" s="210">
        <f t="shared" si="21"/>
        <v>87</v>
      </c>
      <c r="B101" s="1050">
        <v>39701</v>
      </c>
      <c r="C101" s="80" t="s">
        <v>1535</v>
      </c>
      <c r="D101" s="323">
        <v>0</v>
      </c>
      <c r="E101" s="619">
        <v>0</v>
      </c>
      <c r="F101" s="619">
        <f t="shared" si="22"/>
        <v>0</v>
      </c>
      <c r="G101" s="337">
        <f t="shared" si="20"/>
        <v>1</v>
      </c>
      <c r="H101" s="337">
        <f t="shared" si="20"/>
        <v>1</v>
      </c>
      <c r="I101" s="619">
        <f t="shared" si="24"/>
        <v>0</v>
      </c>
      <c r="K101" s="323">
        <v>0</v>
      </c>
      <c r="L101" s="337">
        <f t="shared" si="23"/>
        <v>1</v>
      </c>
      <c r="M101" s="337">
        <f t="shared" si="23"/>
        <v>1</v>
      </c>
      <c r="N101" s="619">
        <f t="shared" si="25"/>
        <v>0</v>
      </c>
    </row>
    <row r="102" spans="1:14">
      <c r="A102" s="210">
        <f t="shared" si="21"/>
        <v>88</v>
      </c>
      <c r="B102" s="1050">
        <v>39702</v>
      </c>
      <c r="C102" s="80" t="s">
        <v>1535</v>
      </c>
      <c r="D102" s="323">
        <v>0</v>
      </c>
      <c r="E102" s="619">
        <v>0</v>
      </c>
      <c r="F102" s="619">
        <f t="shared" si="22"/>
        <v>0</v>
      </c>
      <c r="G102" s="337">
        <f t="shared" si="20"/>
        <v>1</v>
      </c>
      <c r="H102" s="337">
        <f t="shared" si="20"/>
        <v>1</v>
      </c>
      <c r="I102" s="619">
        <f t="shared" si="24"/>
        <v>0</v>
      </c>
      <c r="K102" s="323">
        <v>0</v>
      </c>
      <c r="L102" s="337">
        <f t="shared" si="23"/>
        <v>1</v>
      </c>
      <c r="M102" s="337">
        <f t="shared" si="23"/>
        <v>1</v>
      </c>
      <c r="N102" s="619">
        <f t="shared" si="25"/>
        <v>0</v>
      </c>
    </row>
    <row r="103" spans="1:14">
      <c r="A103" s="210">
        <f t="shared" si="21"/>
        <v>89</v>
      </c>
      <c r="B103" s="1050">
        <v>39705</v>
      </c>
      <c r="C103" s="234" t="s">
        <v>728</v>
      </c>
      <c r="D103" s="323">
        <v>0</v>
      </c>
      <c r="E103" s="619">
        <v>0</v>
      </c>
      <c r="F103" s="619">
        <f t="shared" si="22"/>
        <v>0</v>
      </c>
      <c r="G103" s="337">
        <f t="shared" si="20"/>
        <v>1</v>
      </c>
      <c r="H103" s="337">
        <f t="shared" si="20"/>
        <v>1</v>
      </c>
      <c r="I103" s="619">
        <f t="shared" si="24"/>
        <v>0</v>
      </c>
      <c r="K103" s="323">
        <v>0</v>
      </c>
      <c r="L103" s="337">
        <f t="shared" si="23"/>
        <v>1</v>
      </c>
      <c r="M103" s="337">
        <f t="shared" si="23"/>
        <v>1</v>
      </c>
      <c r="N103" s="619">
        <f t="shared" si="25"/>
        <v>0</v>
      </c>
    </row>
    <row r="104" spans="1:14">
      <c r="A104" s="210">
        <f t="shared" si="21"/>
        <v>90</v>
      </c>
      <c r="B104" s="1050">
        <v>39800</v>
      </c>
      <c r="C104" s="234" t="s">
        <v>656</v>
      </c>
      <c r="D104" s="323">
        <v>3832806.2211540877</v>
      </c>
      <c r="E104" s="619">
        <v>0</v>
      </c>
      <c r="F104" s="619">
        <f t="shared" si="22"/>
        <v>3832806.2211540877</v>
      </c>
      <c r="G104" s="337">
        <f t="shared" si="20"/>
        <v>1</v>
      </c>
      <c r="H104" s="337">
        <f t="shared" si="20"/>
        <v>1</v>
      </c>
      <c r="I104" s="619">
        <f t="shared" si="24"/>
        <v>3832806.2211540877</v>
      </c>
      <c r="K104" s="323">
        <v>3858367.8156924802</v>
      </c>
      <c r="L104" s="337">
        <f t="shared" si="23"/>
        <v>1</v>
      </c>
      <c r="M104" s="337">
        <f t="shared" si="23"/>
        <v>1</v>
      </c>
      <c r="N104" s="619">
        <f t="shared" si="25"/>
        <v>3858367.8156924802</v>
      </c>
    </row>
    <row r="105" spans="1:14">
      <c r="A105" s="210">
        <f t="shared" si="21"/>
        <v>91</v>
      </c>
      <c r="B105" s="1050">
        <v>39901</v>
      </c>
      <c r="C105" s="80" t="s">
        <v>1536</v>
      </c>
      <c r="D105" s="323">
        <v>14389.76</v>
      </c>
      <c r="E105" s="619">
        <v>0</v>
      </c>
      <c r="F105" s="619">
        <f t="shared" si="22"/>
        <v>14389.76</v>
      </c>
      <c r="G105" s="337">
        <f t="shared" si="20"/>
        <v>1</v>
      </c>
      <c r="H105" s="337">
        <f t="shared" si="20"/>
        <v>1</v>
      </c>
      <c r="I105" s="619">
        <f t="shared" si="24"/>
        <v>14389.76</v>
      </c>
      <c r="K105" s="323">
        <v>0</v>
      </c>
      <c r="L105" s="337">
        <f t="shared" si="23"/>
        <v>1</v>
      </c>
      <c r="M105" s="337">
        <f t="shared" si="23"/>
        <v>1</v>
      </c>
      <c r="N105" s="619">
        <f t="shared" si="25"/>
        <v>0</v>
      </c>
    </row>
    <row r="106" spans="1:14">
      <c r="A106" s="210">
        <f t="shared" si="21"/>
        <v>92</v>
      </c>
      <c r="B106" s="1050">
        <v>39902</v>
      </c>
      <c r="C106" s="80" t="s">
        <v>1537</v>
      </c>
      <c r="D106" s="323">
        <v>0</v>
      </c>
      <c r="E106" s="619">
        <v>0</v>
      </c>
      <c r="F106" s="619">
        <f t="shared" si="22"/>
        <v>0</v>
      </c>
      <c r="G106" s="337">
        <f t="shared" si="20"/>
        <v>1</v>
      </c>
      <c r="H106" s="337">
        <f t="shared" si="20"/>
        <v>1</v>
      </c>
      <c r="I106" s="619">
        <f t="shared" si="24"/>
        <v>0</v>
      </c>
      <c r="K106" s="323">
        <v>0</v>
      </c>
      <c r="L106" s="337">
        <f t="shared" si="23"/>
        <v>1</v>
      </c>
      <c r="M106" s="337">
        <f t="shared" si="23"/>
        <v>1</v>
      </c>
      <c r="N106" s="619">
        <f t="shared" si="25"/>
        <v>0</v>
      </c>
    </row>
    <row r="107" spans="1:14">
      <c r="A107" s="210">
        <f t="shared" si="21"/>
        <v>93</v>
      </c>
      <c r="B107" s="1050">
        <v>39903</v>
      </c>
      <c r="C107" s="234" t="s">
        <v>1011</v>
      </c>
      <c r="D107" s="323">
        <v>134598.85999999999</v>
      </c>
      <c r="E107" s="619">
        <v>0</v>
      </c>
      <c r="F107" s="619">
        <f t="shared" si="22"/>
        <v>134598.85999999999</v>
      </c>
      <c r="G107" s="337">
        <f t="shared" si="20"/>
        <v>1</v>
      </c>
      <c r="H107" s="337">
        <f t="shared" si="20"/>
        <v>1</v>
      </c>
      <c r="I107" s="619">
        <f t="shared" si="24"/>
        <v>134598.85999999999</v>
      </c>
      <c r="K107" s="323">
        <v>134598.85999999993</v>
      </c>
      <c r="L107" s="337">
        <f t="shared" si="23"/>
        <v>1</v>
      </c>
      <c r="M107" s="337">
        <f t="shared" si="23"/>
        <v>1</v>
      </c>
      <c r="N107" s="619">
        <f t="shared" si="25"/>
        <v>134598.85999999993</v>
      </c>
    </row>
    <row r="108" spans="1:14">
      <c r="A108" s="210">
        <f t="shared" si="21"/>
        <v>94</v>
      </c>
      <c r="B108" s="1050">
        <v>39906</v>
      </c>
      <c r="C108" s="234" t="s">
        <v>456</v>
      </c>
      <c r="D108" s="323">
        <v>1497304.664638296</v>
      </c>
      <c r="E108" s="619">
        <v>0</v>
      </c>
      <c r="F108" s="619">
        <f t="shared" si="22"/>
        <v>1497304.664638296</v>
      </c>
      <c r="G108" s="337">
        <f t="shared" si="20"/>
        <v>1</v>
      </c>
      <c r="H108" s="337">
        <f t="shared" si="20"/>
        <v>1</v>
      </c>
      <c r="I108" s="619">
        <f t="shared" si="24"/>
        <v>1497304.664638296</v>
      </c>
      <c r="K108" s="323">
        <v>1330835.4375630915</v>
      </c>
      <c r="L108" s="337">
        <f t="shared" si="23"/>
        <v>1</v>
      </c>
      <c r="M108" s="337">
        <f t="shared" si="23"/>
        <v>1</v>
      </c>
      <c r="N108" s="619">
        <f t="shared" si="25"/>
        <v>1330835.4375630915</v>
      </c>
    </row>
    <row r="109" spans="1:14">
      <c r="A109" s="210">
        <f t="shared" si="21"/>
        <v>95</v>
      </c>
      <c r="B109" s="1050">
        <v>39907</v>
      </c>
      <c r="C109" s="234" t="s">
        <v>510</v>
      </c>
      <c r="D109" s="323">
        <v>0</v>
      </c>
      <c r="E109" s="619">
        <v>0</v>
      </c>
      <c r="F109" s="619">
        <f t="shared" si="22"/>
        <v>0</v>
      </c>
      <c r="G109" s="337">
        <f t="shared" si="20"/>
        <v>1</v>
      </c>
      <c r="H109" s="337">
        <f t="shared" si="20"/>
        <v>1</v>
      </c>
      <c r="I109" s="619">
        <f t="shared" si="24"/>
        <v>0</v>
      </c>
      <c r="K109" s="323">
        <v>0</v>
      </c>
      <c r="L109" s="337">
        <f t="shared" si="23"/>
        <v>1</v>
      </c>
      <c r="M109" s="337">
        <f t="shared" si="23"/>
        <v>1</v>
      </c>
      <c r="N109" s="619">
        <f t="shared" si="25"/>
        <v>0</v>
      </c>
    </row>
    <row r="110" spans="1:14">
      <c r="A110" s="210">
        <f t="shared" si="21"/>
        <v>96</v>
      </c>
      <c r="B110" s="1050">
        <v>39908</v>
      </c>
      <c r="C110" s="234" t="s">
        <v>180</v>
      </c>
      <c r="D110" s="323">
        <v>123514.83</v>
      </c>
      <c r="E110" s="619">
        <v>0</v>
      </c>
      <c r="F110" s="619">
        <f t="shared" si="22"/>
        <v>123514.83</v>
      </c>
      <c r="G110" s="337">
        <f t="shared" si="20"/>
        <v>1</v>
      </c>
      <c r="H110" s="337">
        <f t="shared" si="20"/>
        <v>1</v>
      </c>
      <c r="I110" s="619">
        <f t="shared" si="24"/>
        <v>123514.83</v>
      </c>
      <c r="K110" s="323">
        <v>123514.83000000002</v>
      </c>
      <c r="L110" s="337">
        <f t="shared" si="23"/>
        <v>1</v>
      </c>
      <c r="M110" s="337">
        <f t="shared" si="23"/>
        <v>1</v>
      </c>
      <c r="N110" s="619">
        <f t="shared" si="25"/>
        <v>123514.83000000002</v>
      </c>
    </row>
    <row r="111" spans="1:14">
      <c r="A111" s="210">
        <f t="shared" si="21"/>
        <v>97</v>
      </c>
      <c r="B111" s="1059"/>
      <c r="C111" s="234"/>
      <c r="D111" s="621"/>
      <c r="E111" s="621"/>
      <c r="F111" s="621"/>
      <c r="I111" s="621"/>
      <c r="K111" s="726"/>
      <c r="N111" s="621"/>
    </row>
    <row r="112" spans="1:14">
      <c r="A112" s="210">
        <f t="shared" si="21"/>
        <v>98</v>
      </c>
      <c r="B112" s="1059"/>
      <c r="C112" s="234" t="s">
        <v>4</v>
      </c>
      <c r="D112" s="361">
        <f>SUM(D86:D111)</f>
        <v>22785912.295470551</v>
      </c>
      <c r="E112" s="361">
        <f>SUM(E86:E111)</f>
        <v>0</v>
      </c>
      <c r="F112" s="361">
        <f>SUM(F86:F111)</f>
        <v>22785912.295470551</v>
      </c>
      <c r="G112" s="337"/>
      <c r="H112" s="337"/>
      <c r="I112" s="361">
        <f>SUM(I86:I111)</f>
        <v>22785912.295470551</v>
      </c>
      <c r="K112" s="361">
        <f>SUM(K86:K111)</f>
        <v>21922249.921728589</v>
      </c>
      <c r="N112" s="361">
        <f>SUM(N86:N111)</f>
        <v>21922249.921728589</v>
      </c>
    </row>
    <row r="113" spans="1:18">
      <c r="A113" s="210">
        <f t="shared" si="21"/>
        <v>99</v>
      </c>
      <c r="B113" s="1059"/>
      <c r="C113" s="234"/>
      <c r="K113" s="361"/>
    </row>
    <row r="114" spans="1:18" ht="15.75" thickBot="1">
      <c r="A114" s="210">
        <f t="shared" si="21"/>
        <v>100</v>
      </c>
      <c r="B114" s="1059"/>
      <c r="C114" s="234" t="s">
        <v>1339</v>
      </c>
      <c r="D114" s="1021">
        <f>D19+D26+D47+D59+D83+D112</f>
        <v>591053492.44722462</v>
      </c>
      <c r="E114" s="1021">
        <f>E19+E26+E47+E59+E83+E112</f>
        <v>0</v>
      </c>
      <c r="F114" s="1021">
        <f>F19+F26+F47+F59+F83+F112</f>
        <v>591053492.44722462</v>
      </c>
      <c r="I114" s="1021">
        <f>I19+I26+I47+I59+I83+I112</f>
        <v>591053492.44722462</v>
      </c>
      <c r="K114" s="1021">
        <f>K19+K26+K47+K59+K83+K112</f>
        <v>562188993.79519451</v>
      </c>
      <c r="N114" s="1021">
        <f>N19+N26+N47+N59+N83+N112</f>
        <v>562188993.79519451</v>
      </c>
    </row>
    <row r="115" spans="1:18" ht="15.75" thickTop="1">
      <c r="A115" s="210">
        <f t="shared" si="21"/>
        <v>101</v>
      </c>
      <c r="B115" s="1059"/>
      <c r="C115" s="234"/>
      <c r="K115" s="361"/>
    </row>
    <row r="116" spans="1:18">
      <c r="A116" s="210">
        <f t="shared" si="21"/>
        <v>102</v>
      </c>
      <c r="B116" s="1059"/>
      <c r="C116" s="196" t="s">
        <v>756</v>
      </c>
      <c r="D116" s="323">
        <v>26845504.509999994</v>
      </c>
      <c r="E116" s="323">
        <v>0</v>
      </c>
      <c r="F116" s="323">
        <f>D116+E116</f>
        <v>26845504.509999994</v>
      </c>
      <c r="G116" s="618">
        <f>$G$16</f>
        <v>1</v>
      </c>
      <c r="H116" s="618">
        <f>$G$16</f>
        <v>1</v>
      </c>
      <c r="I116" s="323">
        <f>F116*G116*H116</f>
        <v>26845504.509999994</v>
      </c>
      <c r="K116" s="323">
        <v>21588717.546153843</v>
      </c>
      <c r="L116" s="337">
        <f>$G$16</f>
        <v>1</v>
      </c>
      <c r="M116" s="337">
        <f>$G$16</f>
        <v>1</v>
      </c>
      <c r="N116" s="323">
        <f>K116*L116*M116</f>
        <v>21588717.546153843</v>
      </c>
      <c r="R116" s="425"/>
    </row>
    <row r="117" spans="1:18">
      <c r="A117" s="210">
        <f t="shared" si="21"/>
        <v>103</v>
      </c>
      <c r="B117" s="1059"/>
      <c r="K117" s="361"/>
    </row>
    <row r="118" spans="1:18" ht="15.75">
      <c r="A118" s="210">
        <f t="shared" si="21"/>
        <v>104</v>
      </c>
      <c r="B118" s="1055" t="s">
        <v>7</v>
      </c>
      <c r="K118" s="361"/>
    </row>
    <row r="119" spans="1:18">
      <c r="A119" s="210">
        <f t="shared" si="21"/>
        <v>105</v>
      </c>
      <c r="B119" s="1059"/>
      <c r="K119" s="361"/>
    </row>
    <row r="120" spans="1:18">
      <c r="A120" s="210">
        <f t="shared" si="21"/>
        <v>106</v>
      </c>
      <c r="B120" s="1059"/>
      <c r="C120" s="622" t="s">
        <v>301</v>
      </c>
      <c r="K120" s="361"/>
    </row>
    <row r="121" spans="1:18">
      <c r="A121" s="210">
        <f t="shared" si="21"/>
        <v>107</v>
      </c>
      <c r="B121" s="1058">
        <v>30100</v>
      </c>
      <c r="C121" s="234" t="s">
        <v>295</v>
      </c>
      <c r="D121" s="323">
        <v>185309.27</v>
      </c>
      <c r="E121" s="361">
        <v>0</v>
      </c>
      <c r="F121" s="361">
        <f>D121+E121</f>
        <v>185309.27</v>
      </c>
      <c r="G121" s="337">
        <f>$G$16</f>
        <v>1</v>
      </c>
      <c r="H121" s="325">
        <f>Allocation!$H$17</f>
        <v>0.49440000000000001</v>
      </c>
      <c r="I121" s="361">
        <f>F121*G121*H121</f>
        <v>91616.903087999992</v>
      </c>
      <c r="K121" s="323">
        <v>185309.27</v>
      </c>
      <c r="L121" s="337">
        <f t="shared" ref="L121:M122" si="26">G121</f>
        <v>1</v>
      </c>
      <c r="M121" s="325">
        <f t="shared" si="26"/>
        <v>0.49440000000000001</v>
      </c>
      <c r="N121" s="619">
        <f t="shared" ref="N121:N122" si="27">K121*L121*M121</f>
        <v>91616.903087999992</v>
      </c>
      <c r="R121" s="425"/>
    </row>
    <row r="122" spans="1:18">
      <c r="A122" s="210">
        <f t="shared" si="21"/>
        <v>108</v>
      </c>
      <c r="B122" s="1058">
        <v>30300</v>
      </c>
      <c r="C122" s="234" t="s">
        <v>548</v>
      </c>
      <c r="D122" s="323">
        <v>1109551.68</v>
      </c>
      <c r="E122" s="1064">
        <v>0</v>
      </c>
      <c r="F122" s="1064">
        <f>D122+E122</f>
        <v>1109551.68</v>
      </c>
      <c r="G122" s="337">
        <f>$G$16</f>
        <v>1</v>
      </c>
      <c r="H122" s="325">
        <f>$H$121</f>
        <v>0.49440000000000001</v>
      </c>
      <c r="I122" s="1057">
        <f>F122*G122*H122</f>
        <v>548562.35059199994</v>
      </c>
      <c r="K122" s="323">
        <v>1109551.68</v>
      </c>
      <c r="L122" s="337">
        <f t="shared" si="26"/>
        <v>1</v>
      </c>
      <c r="M122" s="325">
        <f t="shared" si="26"/>
        <v>0.49440000000000001</v>
      </c>
      <c r="N122" s="619">
        <f t="shared" si="27"/>
        <v>548562.35059199994</v>
      </c>
      <c r="R122" s="425"/>
    </row>
    <row r="123" spans="1:18">
      <c r="A123" s="210">
        <f t="shared" si="21"/>
        <v>109</v>
      </c>
      <c r="B123" s="1059"/>
      <c r="C123" s="234"/>
      <c r="D123" s="621"/>
      <c r="E123" s="621"/>
      <c r="F123" s="621"/>
      <c r="I123" s="621"/>
      <c r="K123" s="726"/>
      <c r="N123" s="621"/>
    </row>
    <row r="124" spans="1:18">
      <c r="A124" s="210">
        <f t="shared" si="21"/>
        <v>110</v>
      </c>
      <c r="B124" s="1059"/>
      <c r="C124" s="234" t="s">
        <v>302</v>
      </c>
      <c r="D124" s="361">
        <f>SUM(D121:D123)</f>
        <v>1294860.95</v>
      </c>
      <c r="E124" s="361">
        <f>SUM(E121:E123)</f>
        <v>0</v>
      </c>
      <c r="F124" s="361">
        <f>SUM(F121:F123)</f>
        <v>1294860.95</v>
      </c>
      <c r="G124" s="337"/>
      <c r="H124" s="337"/>
      <c r="I124" s="361">
        <f>SUM(I121:I123)</f>
        <v>640179.25367999997</v>
      </c>
      <c r="K124" s="361">
        <f>SUM(K121:K123)</f>
        <v>1294860.95</v>
      </c>
      <c r="N124" s="361">
        <f>SUM(N121:N123)</f>
        <v>640179.25367999997</v>
      </c>
    </row>
    <row r="125" spans="1:18">
      <c r="A125" s="210">
        <f t="shared" si="21"/>
        <v>111</v>
      </c>
      <c r="B125" s="1059"/>
      <c r="K125" s="361"/>
    </row>
    <row r="126" spans="1:18">
      <c r="A126" s="210">
        <f t="shared" si="21"/>
        <v>112</v>
      </c>
      <c r="B126" s="1059"/>
      <c r="C126" s="622" t="s">
        <v>303</v>
      </c>
      <c r="K126" s="361"/>
    </row>
    <row r="127" spans="1:18">
      <c r="A127" s="210">
        <f t="shared" si="21"/>
        <v>113</v>
      </c>
      <c r="B127" s="1058">
        <v>37400</v>
      </c>
      <c r="C127" s="234" t="s">
        <v>1157</v>
      </c>
      <c r="D127" s="361">
        <v>0</v>
      </c>
      <c r="E127" s="361">
        <v>0</v>
      </c>
      <c r="F127" s="361">
        <f>D127+E127</f>
        <v>0</v>
      </c>
      <c r="G127" s="337">
        <f>$G$16</f>
        <v>1</v>
      </c>
      <c r="H127" s="325">
        <f>$H$121</f>
        <v>0.49440000000000001</v>
      </c>
      <c r="I127" s="361">
        <f>F127*G127*H127</f>
        <v>0</v>
      </c>
      <c r="K127" s="361">
        <v>0</v>
      </c>
      <c r="L127" s="337">
        <f>G127</f>
        <v>1</v>
      </c>
      <c r="M127" s="325">
        <f>H127</f>
        <v>0.49440000000000001</v>
      </c>
      <c r="N127" s="361">
        <f>K127*L127*M127</f>
        <v>0</v>
      </c>
    </row>
    <row r="128" spans="1:18">
      <c r="A128" s="210">
        <f t="shared" si="21"/>
        <v>114</v>
      </c>
      <c r="B128" s="1058">
        <v>35010</v>
      </c>
      <c r="C128" s="234" t="s">
        <v>296</v>
      </c>
      <c r="D128" s="619">
        <v>0</v>
      </c>
      <c r="E128" s="619">
        <v>0</v>
      </c>
      <c r="F128" s="619">
        <f>D128+E128</f>
        <v>0</v>
      </c>
      <c r="G128" s="337">
        <f>$G$16</f>
        <v>1</v>
      </c>
      <c r="H128" s="325">
        <f>$H$121</f>
        <v>0.49440000000000001</v>
      </c>
      <c r="I128" s="619">
        <f>F128*G128*H128</f>
        <v>0</v>
      </c>
      <c r="K128" s="619">
        <v>0</v>
      </c>
      <c r="L128" s="337">
        <f t="shared" ref="L128:L147" si="28">G128</f>
        <v>1</v>
      </c>
      <c r="M128" s="325">
        <f t="shared" ref="M128:M147" si="29">H128</f>
        <v>0.49440000000000001</v>
      </c>
      <c r="N128" s="619">
        <f t="shared" ref="N128:N147" si="30">K128*L128*M128</f>
        <v>0</v>
      </c>
    </row>
    <row r="129" spans="1:14">
      <c r="A129" s="210">
        <f t="shared" si="21"/>
        <v>115</v>
      </c>
      <c r="B129" s="1058">
        <v>37402</v>
      </c>
      <c r="C129" s="234" t="s">
        <v>1007</v>
      </c>
      <c r="D129" s="619">
        <v>0</v>
      </c>
      <c r="E129" s="619">
        <v>0</v>
      </c>
      <c r="F129" s="619">
        <f t="shared" ref="F129:F147" si="31">D129+E129</f>
        <v>0</v>
      </c>
      <c r="G129" s="337">
        <f t="shared" ref="G129:G147" si="32">$G$16</f>
        <v>1</v>
      </c>
      <c r="H129" s="325">
        <f t="shared" ref="H129:H147" si="33">$H$121</f>
        <v>0.49440000000000001</v>
      </c>
      <c r="I129" s="619">
        <f t="shared" ref="I129:I147" si="34">F129*G129*H129</f>
        <v>0</v>
      </c>
      <c r="K129" s="619">
        <v>0</v>
      </c>
      <c r="L129" s="337">
        <f t="shared" si="28"/>
        <v>1</v>
      </c>
      <c r="M129" s="325">
        <f t="shared" si="29"/>
        <v>0.49440000000000001</v>
      </c>
      <c r="N129" s="619">
        <f t="shared" si="30"/>
        <v>0</v>
      </c>
    </row>
    <row r="130" spans="1:14">
      <c r="A130" s="210">
        <f t="shared" si="21"/>
        <v>116</v>
      </c>
      <c r="B130" s="1058">
        <v>37403</v>
      </c>
      <c r="C130" s="234" t="s">
        <v>1004</v>
      </c>
      <c r="D130" s="619">
        <v>0</v>
      </c>
      <c r="E130" s="619">
        <v>0</v>
      </c>
      <c r="F130" s="619">
        <f t="shared" si="31"/>
        <v>0</v>
      </c>
      <c r="G130" s="337">
        <f t="shared" si="32"/>
        <v>1</v>
      </c>
      <c r="H130" s="325">
        <f t="shared" si="33"/>
        <v>0.49440000000000001</v>
      </c>
      <c r="I130" s="619">
        <f t="shared" si="34"/>
        <v>0</v>
      </c>
      <c r="K130" s="619">
        <v>0</v>
      </c>
      <c r="L130" s="337">
        <f t="shared" si="28"/>
        <v>1</v>
      </c>
      <c r="M130" s="325">
        <f t="shared" si="29"/>
        <v>0.49440000000000001</v>
      </c>
      <c r="N130" s="619">
        <f t="shared" si="30"/>
        <v>0</v>
      </c>
    </row>
    <row r="131" spans="1:14">
      <c r="A131" s="210">
        <f t="shared" si="21"/>
        <v>117</v>
      </c>
      <c r="B131" s="1058">
        <v>36602</v>
      </c>
      <c r="C131" s="234" t="s">
        <v>863</v>
      </c>
      <c r="D131" s="619">
        <v>0</v>
      </c>
      <c r="E131" s="619">
        <v>0</v>
      </c>
      <c r="F131" s="619">
        <f t="shared" si="31"/>
        <v>0</v>
      </c>
      <c r="G131" s="337">
        <f t="shared" si="32"/>
        <v>1</v>
      </c>
      <c r="H131" s="325">
        <f t="shared" si="33"/>
        <v>0.49440000000000001</v>
      </c>
      <c r="I131" s="619">
        <f t="shared" si="34"/>
        <v>0</v>
      </c>
      <c r="K131" s="619">
        <v>0</v>
      </c>
      <c r="L131" s="337">
        <f t="shared" si="28"/>
        <v>1</v>
      </c>
      <c r="M131" s="325">
        <f t="shared" si="29"/>
        <v>0.49440000000000001</v>
      </c>
      <c r="N131" s="619">
        <f t="shared" si="30"/>
        <v>0</v>
      </c>
    </row>
    <row r="132" spans="1:14">
      <c r="A132" s="210">
        <f t="shared" si="21"/>
        <v>118</v>
      </c>
      <c r="B132" s="1058">
        <v>37402</v>
      </c>
      <c r="C132" s="234" t="s">
        <v>1007</v>
      </c>
      <c r="D132" s="619">
        <v>0</v>
      </c>
      <c r="E132" s="619">
        <v>0</v>
      </c>
      <c r="F132" s="619">
        <f>D132+E132</f>
        <v>0</v>
      </c>
      <c r="G132" s="337">
        <f t="shared" si="32"/>
        <v>1</v>
      </c>
      <c r="H132" s="325">
        <f t="shared" si="33"/>
        <v>0.49440000000000001</v>
      </c>
      <c r="I132" s="619">
        <f>F132*G132*H132</f>
        <v>0</v>
      </c>
      <c r="K132" s="619">
        <v>0</v>
      </c>
      <c r="L132" s="337">
        <f>G132</f>
        <v>1</v>
      </c>
      <c r="M132" s="325">
        <f>H132</f>
        <v>0.49440000000000001</v>
      </c>
      <c r="N132" s="619">
        <f>K132*L132*M132</f>
        <v>0</v>
      </c>
    </row>
    <row r="133" spans="1:14">
      <c r="A133" s="210">
        <f t="shared" si="21"/>
        <v>119</v>
      </c>
      <c r="B133" s="1058">
        <v>37501</v>
      </c>
      <c r="C133" s="234" t="s">
        <v>1005</v>
      </c>
      <c r="D133" s="619">
        <v>0</v>
      </c>
      <c r="E133" s="619">
        <v>0</v>
      </c>
      <c r="F133" s="619">
        <f t="shared" si="31"/>
        <v>0</v>
      </c>
      <c r="G133" s="337">
        <f t="shared" si="32"/>
        <v>1</v>
      </c>
      <c r="H133" s="325">
        <f t="shared" si="33"/>
        <v>0.49440000000000001</v>
      </c>
      <c r="I133" s="619">
        <f t="shared" si="34"/>
        <v>0</v>
      </c>
      <c r="K133" s="619">
        <v>0</v>
      </c>
      <c r="L133" s="337">
        <f t="shared" si="28"/>
        <v>1</v>
      </c>
      <c r="M133" s="325">
        <f t="shared" si="29"/>
        <v>0.49440000000000001</v>
      </c>
      <c r="N133" s="619">
        <f t="shared" si="30"/>
        <v>0</v>
      </c>
    </row>
    <row r="134" spans="1:14">
      <c r="A134" s="210">
        <f t="shared" si="21"/>
        <v>120</v>
      </c>
      <c r="B134" s="1058">
        <v>37503</v>
      </c>
      <c r="C134" s="234" t="s">
        <v>1006</v>
      </c>
      <c r="D134" s="619">
        <v>0</v>
      </c>
      <c r="E134" s="619">
        <v>0</v>
      </c>
      <c r="F134" s="619">
        <f t="shared" si="31"/>
        <v>0</v>
      </c>
      <c r="G134" s="337">
        <f t="shared" si="32"/>
        <v>1</v>
      </c>
      <c r="H134" s="325">
        <f t="shared" si="33"/>
        <v>0.49440000000000001</v>
      </c>
      <c r="I134" s="619">
        <f t="shared" si="34"/>
        <v>0</v>
      </c>
      <c r="K134" s="619">
        <v>0</v>
      </c>
      <c r="L134" s="337">
        <f t="shared" si="28"/>
        <v>1</v>
      </c>
      <c r="M134" s="325">
        <f t="shared" si="29"/>
        <v>0.49440000000000001</v>
      </c>
      <c r="N134" s="619">
        <f t="shared" si="30"/>
        <v>0</v>
      </c>
    </row>
    <row r="135" spans="1:14">
      <c r="A135" s="210">
        <f t="shared" si="21"/>
        <v>121</v>
      </c>
      <c r="B135" s="1058">
        <v>36700</v>
      </c>
      <c r="C135" s="234" t="s">
        <v>851</v>
      </c>
      <c r="D135" s="619">
        <v>0</v>
      </c>
      <c r="E135" s="619">
        <v>0</v>
      </c>
      <c r="F135" s="619">
        <f t="shared" si="31"/>
        <v>0</v>
      </c>
      <c r="G135" s="337">
        <f t="shared" si="32"/>
        <v>1</v>
      </c>
      <c r="H135" s="325">
        <f t="shared" si="33"/>
        <v>0.49440000000000001</v>
      </c>
      <c r="I135" s="619">
        <f t="shared" si="34"/>
        <v>0</v>
      </c>
      <c r="K135" s="619">
        <v>0</v>
      </c>
      <c r="L135" s="337">
        <f t="shared" si="28"/>
        <v>1</v>
      </c>
      <c r="M135" s="325">
        <f t="shared" si="29"/>
        <v>0.49440000000000001</v>
      </c>
      <c r="N135" s="619">
        <f t="shared" si="30"/>
        <v>0</v>
      </c>
    </row>
    <row r="136" spans="1:14">
      <c r="A136" s="210">
        <f t="shared" si="21"/>
        <v>122</v>
      </c>
      <c r="B136" s="1058">
        <v>36701</v>
      </c>
      <c r="C136" s="234" t="s">
        <v>16</v>
      </c>
      <c r="D136" s="619">
        <v>0</v>
      </c>
      <c r="E136" s="619">
        <v>0</v>
      </c>
      <c r="F136" s="619">
        <f t="shared" si="31"/>
        <v>0</v>
      </c>
      <c r="G136" s="337">
        <f t="shared" si="32"/>
        <v>1</v>
      </c>
      <c r="H136" s="325">
        <f t="shared" si="33"/>
        <v>0.49440000000000001</v>
      </c>
      <c r="I136" s="619">
        <f t="shared" si="34"/>
        <v>0</v>
      </c>
      <c r="K136" s="619">
        <v>0</v>
      </c>
      <c r="L136" s="337">
        <f t="shared" si="28"/>
        <v>1</v>
      </c>
      <c r="M136" s="325">
        <f t="shared" si="29"/>
        <v>0.49440000000000001</v>
      </c>
      <c r="N136" s="619">
        <f t="shared" si="30"/>
        <v>0</v>
      </c>
    </row>
    <row r="137" spans="1:14">
      <c r="A137" s="210">
        <f t="shared" si="21"/>
        <v>123</v>
      </c>
      <c r="B137" s="1058">
        <v>37602</v>
      </c>
      <c r="C137" s="234" t="s">
        <v>852</v>
      </c>
      <c r="D137" s="619">
        <v>0</v>
      </c>
      <c r="E137" s="619">
        <v>0</v>
      </c>
      <c r="F137" s="619">
        <f t="shared" si="31"/>
        <v>0</v>
      </c>
      <c r="G137" s="337">
        <f t="shared" si="32"/>
        <v>1</v>
      </c>
      <c r="H137" s="325">
        <f t="shared" si="33"/>
        <v>0.49440000000000001</v>
      </c>
      <c r="I137" s="619">
        <f t="shared" si="34"/>
        <v>0</v>
      </c>
      <c r="K137" s="619">
        <v>0</v>
      </c>
      <c r="L137" s="337">
        <f t="shared" si="28"/>
        <v>1</v>
      </c>
      <c r="M137" s="325">
        <f t="shared" si="29"/>
        <v>0.49440000000000001</v>
      </c>
      <c r="N137" s="619">
        <f t="shared" si="30"/>
        <v>0</v>
      </c>
    </row>
    <row r="138" spans="1:14">
      <c r="A138" s="210">
        <f t="shared" si="21"/>
        <v>124</v>
      </c>
      <c r="B138" s="1058">
        <v>37800</v>
      </c>
      <c r="C138" s="234" t="s">
        <v>230</v>
      </c>
      <c r="D138" s="619">
        <v>0</v>
      </c>
      <c r="E138" s="619">
        <v>0</v>
      </c>
      <c r="F138" s="619">
        <f t="shared" si="31"/>
        <v>0</v>
      </c>
      <c r="G138" s="337">
        <f t="shared" si="32"/>
        <v>1</v>
      </c>
      <c r="H138" s="325">
        <f t="shared" si="33"/>
        <v>0.49440000000000001</v>
      </c>
      <c r="I138" s="619">
        <f t="shared" si="34"/>
        <v>0</v>
      </c>
      <c r="K138" s="619">
        <v>0</v>
      </c>
      <c r="L138" s="337">
        <f t="shared" si="28"/>
        <v>1</v>
      </c>
      <c r="M138" s="325">
        <f t="shared" si="29"/>
        <v>0.49440000000000001</v>
      </c>
      <c r="N138" s="619">
        <f t="shared" si="30"/>
        <v>0</v>
      </c>
    </row>
    <row r="139" spans="1:14">
      <c r="A139" s="210">
        <f t="shared" si="21"/>
        <v>125</v>
      </c>
      <c r="B139" s="1058">
        <v>37900</v>
      </c>
      <c r="C139" s="234" t="s">
        <v>1200</v>
      </c>
      <c r="D139" s="619">
        <v>0</v>
      </c>
      <c r="E139" s="619">
        <v>0</v>
      </c>
      <c r="F139" s="619">
        <f t="shared" si="31"/>
        <v>0</v>
      </c>
      <c r="G139" s="337">
        <f t="shared" si="32"/>
        <v>1</v>
      </c>
      <c r="H139" s="325">
        <f t="shared" si="33"/>
        <v>0.49440000000000001</v>
      </c>
      <c r="I139" s="619">
        <f t="shared" si="34"/>
        <v>0</v>
      </c>
      <c r="K139" s="619">
        <v>0</v>
      </c>
      <c r="L139" s="337">
        <f t="shared" si="28"/>
        <v>1</v>
      </c>
      <c r="M139" s="325">
        <f t="shared" si="29"/>
        <v>0.49440000000000001</v>
      </c>
      <c r="N139" s="619">
        <f t="shared" si="30"/>
        <v>0</v>
      </c>
    </row>
    <row r="140" spans="1:14">
      <c r="A140" s="210">
        <f t="shared" si="21"/>
        <v>126</v>
      </c>
      <c r="B140" s="1058">
        <v>37905</v>
      </c>
      <c r="C140" s="234" t="s">
        <v>732</v>
      </c>
      <c r="D140" s="619">
        <v>0</v>
      </c>
      <c r="E140" s="619">
        <v>0</v>
      </c>
      <c r="F140" s="619">
        <f t="shared" si="31"/>
        <v>0</v>
      </c>
      <c r="G140" s="337">
        <f t="shared" si="32"/>
        <v>1</v>
      </c>
      <c r="H140" s="325">
        <f t="shared" si="33"/>
        <v>0.49440000000000001</v>
      </c>
      <c r="I140" s="619">
        <f t="shared" si="34"/>
        <v>0</v>
      </c>
      <c r="K140" s="619">
        <v>0</v>
      </c>
      <c r="L140" s="337">
        <f t="shared" si="28"/>
        <v>1</v>
      </c>
      <c r="M140" s="325">
        <f t="shared" si="29"/>
        <v>0.49440000000000001</v>
      </c>
      <c r="N140" s="619">
        <f t="shared" si="30"/>
        <v>0</v>
      </c>
    </row>
    <row r="141" spans="1:14">
      <c r="A141" s="210">
        <f t="shared" si="21"/>
        <v>127</v>
      </c>
      <c r="B141" s="1058">
        <v>38000</v>
      </c>
      <c r="C141" s="234" t="s">
        <v>1061</v>
      </c>
      <c r="D141" s="619">
        <v>0</v>
      </c>
      <c r="E141" s="619">
        <v>0</v>
      </c>
      <c r="F141" s="619">
        <f t="shared" si="31"/>
        <v>0</v>
      </c>
      <c r="G141" s="337">
        <f t="shared" si="32"/>
        <v>1</v>
      </c>
      <c r="H141" s="325">
        <f t="shared" si="33"/>
        <v>0.49440000000000001</v>
      </c>
      <c r="I141" s="619">
        <f t="shared" si="34"/>
        <v>0</v>
      </c>
      <c r="K141" s="619">
        <v>0</v>
      </c>
      <c r="L141" s="337">
        <f t="shared" si="28"/>
        <v>1</v>
      </c>
      <c r="M141" s="325">
        <f t="shared" si="29"/>
        <v>0.49440000000000001</v>
      </c>
      <c r="N141" s="619">
        <f t="shared" si="30"/>
        <v>0</v>
      </c>
    </row>
    <row r="142" spans="1:14">
      <c r="A142" s="210">
        <f t="shared" si="21"/>
        <v>128</v>
      </c>
      <c r="B142" s="1058">
        <v>38100</v>
      </c>
      <c r="C142" s="234" t="s">
        <v>853</v>
      </c>
      <c r="D142" s="619">
        <v>0</v>
      </c>
      <c r="E142" s="619">
        <v>0</v>
      </c>
      <c r="F142" s="619">
        <f t="shared" si="31"/>
        <v>0</v>
      </c>
      <c r="G142" s="337">
        <f t="shared" si="32"/>
        <v>1</v>
      </c>
      <c r="H142" s="325">
        <f t="shared" si="33"/>
        <v>0.49440000000000001</v>
      </c>
      <c r="I142" s="619">
        <f t="shared" si="34"/>
        <v>0</v>
      </c>
      <c r="K142" s="619">
        <v>0</v>
      </c>
      <c r="L142" s="337">
        <f t="shared" si="28"/>
        <v>1</v>
      </c>
      <c r="M142" s="325">
        <f t="shared" si="29"/>
        <v>0.49440000000000001</v>
      </c>
      <c r="N142" s="619">
        <f t="shared" si="30"/>
        <v>0</v>
      </c>
    </row>
    <row r="143" spans="1:14">
      <c r="A143" s="210">
        <f t="shared" si="21"/>
        <v>129</v>
      </c>
      <c r="B143" s="1058">
        <v>38200</v>
      </c>
      <c r="C143" s="234" t="s">
        <v>447</v>
      </c>
      <c r="D143" s="619">
        <v>0</v>
      </c>
      <c r="E143" s="619">
        <v>0</v>
      </c>
      <c r="F143" s="619">
        <f t="shared" si="31"/>
        <v>0</v>
      </c>
      <c r="G143" s="337">
        <f t="shared" si="32"/>
        <v>1</v>
      </c>
      <c r="H143" s="325">
        <f t="shared" si="33"/>
        <v>0.49440000000000001</v>
      </c>
      <c r="I143" s="619">
        <f t="shared" si="34"/>
        <v>0</v>
      </c>
      <c r="K143" s="619">
        <v>0</v>
      </c>
      <c r="L143" s="337">
        <f t="shared" si="28"/>
        <v>1</v>
      </c>
      <c r="M143" s="325">
        <f t="shared" si="29"/>
        <v>0.49440000000000001</v>
      </c>
      <c r="N143" s="619">
        <f t="shared" si="30"/>
        <v>0</v>
      </c>
    </row>
    <row r="144" spans="1:14">
      <c r="A144" s="210">
        <f t="shared" si="21"/>
        <v>130</v>
      </c>
      <c r="B144" s="1058">
        <v>38300</v>
      </c>
      <c r="C144" s="234" t="s">
        <v>1062</v>
      </c>
      <c r="D144" s="619">
        <v>0</v>
      </c>
      <c r="E144" s="619">
        <v>0</v>
      </c>
      <c r="F144" s="619">
        <f t="shared" si="31"/>
        <v>0</v>
      </c>
      <c r="G144" s="337">
        <f t="shared" si="32"/>
        <v>1</v>
      </c>
      <c r="H144" s="325">
        <f t="shared" si="33"/>
        <v>0.49440000000000001</v>
      </c>
      <c r="I144" s="619">
        <f t="shared" si="34"/>
        <v>0</v>
      </c>
      <c r="K144" s="619">
        <v>0</v>
      </c>
      <c r="L144" s="337">
        <f t="shared" si="28"/>
        <v>1</v>
      </c>
      <c r="M144" s="325">
        <f t="shared" si="29"/>
        <v>0.49440000000000001</v>
      </c>
      <c r="N144" s="619">
        <f t="shared" si="30"/>
        <v>0</v>
      </c>
    </row>
    <row r="145" spans="1:18">
      <c r="A145" s="210">
        <f t="shared" si="21"/>
        <v>131</v>
      </c>
      <c r="B145" s="1058">
        <v>38400</v>
      </c>
      <c r="C145" s="234" t="s">
        <v>448</v>
      </c>
      <c r="D145" s="619">
        <v>0</v>
      </c>
      <c r="E145" s="619">
        <v>0</v>
      </c>
      <c r="F145" s="619">
        <f t="shared" si="31"/>
        <v>0</v>
      </c>
      <c r="G145" s="337">
        <f t="shared" si="32"/>
        <v>1</v>
      </c>
      <c r="H145" s="325">
        <f t="shared" si="33"/>
        <v>0.49440000000000001</v>
      </c>
      <c r="I145" s="619">
        <f t="shared" si="34"/>
        <v>0</v>
      </c>
      <c r="K145" s="619">
        <v>0</v>
      </c>
      <c r="L145" s="337">
        <f t="shared" si="28"/>
        <v>1</v>
      </c>
      <c r="M145" s="325">
        <f t="shared" si="29"/>
        <v>0.49440000000000001</v>
      </c>
      <c r="N145" s="619">
        <f t="shared" si="30"/>
        <v>0</v>
      </c>
    </row>
    <row r="146" spans="1:18">
      <c r="A146" s="210">
        <f t="shared" si="21"/>
        <v>132</v>
      </c>
      <c r="B146" s="1058">
        <v>38500</v>
      </c>
      <c r="C146" s="234" t="s">
        <v>449</v>
      </c>
      <c r="D146" s="619">
        <v>0</v>
      </c>
      <c r="E146" s="619">
        <v>0</v>
      </c>
      <c r="F146" s="619">
        <f t="shared" si="31"/>
        <v>0</v>
      </c>
      <c r="G146" s="337">
        <f t="shared" si="32"/>
        <v>1</v>
      </c>
      <c r="H146" s="325">
        <f t="shared" si="33"/>
        <v>0.49440000000000001</v>
      </c>
      <c r="I146" s="619">
        <f t="shared" si="34"/>
        <v>0</v>
      </c>
      <c r="K146" s="619">
        <v>0</v>
      </c>
      <c r="L146" s="337">
        <f t="shared" si="28"/>
        <v>1</v>
      </c>
      <c r="M146" s="325">
        <f t="shared" si="29"/>
        <v>0.49440000000000001</v>
      </c>
      <c r="N146" s="619">
        <f t="shared" si="30"/>
        <v>0</v>
      </c>
    </row>
    <row r="147" spans="1:18">
      <c r="A147" s="210">
        <f t="shared" si="21"/>
        <v>133</v>
      </c>
      <c r="B147" s="1058">
        <v>38600</v>
      </c>
      <c r="C147" s="234" t="s">
        <v>107</v>
      </c>
      <c r="D147" s="1057">
        <v>0</v>
      </c>
      <c r="E147" s="1057">
        <v>0</v>
      </c>
      <c r="F147" s="1057">
        <f t="shared" si="31"/>
        <v>0</v>
      </c>
      <c r="G147" s="337">
        <f t="shared" si="32"/>
        <v>1</v>
      </c>
      <c r="H147" s="325">
        <f t="shared" si="33"/>
        <v>0.49440000000000001</v>
      </c>
      <c r="I147" s="1057">
        <f t="shared" si="34"/>
        <v>0</v>
      </c>
      <c r="K147" s="1057">
        <v>0</v>
      </c>
      <c r="L147" s="337">
        <f t="shared" si="28"/>
        <v>1</v>
      </c>
      <c r="M147" s="325">
        <f t="shared" si="29"/>
        <v>0.49440000000000001</v>
      </c>
      <c r="N147" s="1057">
        <f t="shared" si="30"/>
        <v>0</v>
      </c>
    </row>
    <row r="148" spans="1:18">
      <c r="A148" s="210">
        <f t="shared" si="21"/>
        <v>134</v>
      </c>
      <c r="B148" s="1059"/>
      <c r="C148" s="234"/>
      <c r="M148" s="325"/>
    </row>
    <row r="149" spans="1:18">
      <c r="A149" s="210">
        <f t="shared" si="21"/>
        <v>135</v>
      </c>
      <c r="B149" s="1059"/>
      <c r="C149" s="234" t="s">
        <v>304</v>
      </c>
      <c r="D149" s="361">
        <f>SUM(D127:D148)</f>
        <v>0</v>
      </c>
      <c r="E149" s="361">
        <f>SUM(E127:E148)</f>
        <v>0</v>
      </c>
      <c r="F149" s="361">
        <f>SUM(F127:F148)</f>
        <v>0</v>
      </c>
      <c r="I149" s="361">
        <f>SUM(I127:I148)</f>
        <v>0</v>
      </c>
      <c r="K149" s="361">
        <f>SUM(K127:K148)</f>
        <v>0</v>
      </c>
      <c r="M149" s="325"/>
      <c r="N149" s="361">
        <f>SUM(N127:N148)</f>
        <v>0</v>
      </c>
    </row>
    <row r="150" spans="1:18">
      <c r="A150" s="210">
        <f t="shared" si="21"/>
        <v>136</v>
      </c>
      <c r="B150" s="1059"/>
      <c r="C150" s="234"/>
      <c r="M150" s="325"/>
    </row>
    <row r="151" spans="1:18">
      <c r="A151" s="210">
        <f t="shared" ref="A151:A167" si="35">A150+1</f>
        <v>137</v>
      </c>
      <c r="B151" s="1059"/>
      <c r="C151" s="622" t="s">
        <v>305</v>
      </c>
      <c r="M151" s="325"/>
    </row>
    <row r="152" spans="1:18">
      <c r="A152" s="210">
        <f t="shared" si="35"/>
        <v>138</v>
      </c>
      <c r="B152" s="1058">
        <v>39001</v>
      </c>
      <c r="C152" s="234" t="s">
        <v>546</v>
      </c>
      <c r="D152" s="323">
        <v>179338.52</v>
      </c>
      <c r="E152" s="619">
        <v>0</v>
      </c>
      <c r="F152" s="619">
        <f>D152+E152</f>
        <v>179338.52</v>
      </c>
      <c r="G152" s="337">
        <f>$G$16</f>
        <v>1</v>
      </c>
      <c r="H152" s="325">
        <f>$H$121</f>
        <v>0.49440000000000001</v>
      </c>
      <c r="I152" s="619">
        <f>F152*G152*H152</f>
        <v>88664.964288000003</v>
      </c>
      <c r="K152" s="323">
        <v>179338.52</v>
      </c>
      <c r="L152" s="337">
        <f t="shared" ref="L152:L172" si="36">G152</f>
        <v>1</v>
      </c>
      <c r="M152" s="325">
        <f t="shared" ref="M152:M172" si="37">H152</f>
        <v>0.49440000000000001</v>
      </c>
      <c r="N152" s="619">
        <f t="shared" ref="N152:N172" si="38">K152*L152*M152</f>
        <v>88664.964288000003</v>
      </c>
      <c r="R152" s="425"/>
    </row>
    <row r="153" spans="1:18">
      <c r="A153" s="210">
        <f t="shared" si="35"/>
        <v>139</v>
      </c>
      <c r="B153" s="1058">
        <v>39004</v>
      </c>
      <c r="C153" s="234" t="s">
        <v>450</v>
      </c>
      <c r="D153" s="323">
        <v>15383.91</v>
      </c>
      <c r="E153" s="619">
        <v>0</v>
      </c>
      <c r="F153" s="619">
        <f t="shared" ref="F153:F172" si="39">D153+E153</f>
        <v>15383.91</v>
      </c>
      <c r="G153" s="337">
        <f t="shared" ref="G153:G172" si="40">$G$16</f>
        <v>1</v>
      </c>
      <c r="H153" s="325">
        <f t="shared" ref="H153:H172" si="41">$H$121</f>
        <v>0.49440000000000001</v>
      </c>
      <c r="I153" s="619">
        <f t="shared" ref="I153:I155" si="42">F153*G153*H153</f>
        <v>7605.805104</v>
      </c>
      <c r="K153" s="323">
        <v>15383.910000000002</v>
      </c>
      <c r="L153" s="337">
        <f t="shared" si="36"/>
        <v>1</v>
      </c>
      <c r="M153" s="325">
        <f t="shared" si="37"/>
        <v>0.49440000000000001</v>
      </c>
      <c r="N153" s="619">
        <f t="shared" si="38"/>
        <v>7605.8051040000009</v>
      </c>
      <c r="R153" s="425"/>
    </row>
    <row r="154" spans="1:18">
      <c r="A154" s="210">
        <f t="shared" si="35"/>
        <v>140</v>
      </c>
      <c r="B154" s="1058">
        <v>39009</v>
      </c>
      <c r="C154" s="234" t="s">
        <v>1045</v>
      </c>
      <c r="D154" s="323">
        <v>38834</v>
      </c>
      <c r="E154" s="619">
        <v>0</v>
      </c>
      <c r="F154" s="619">
        <f t="shared" si="39"/>
        <v>38834</v>
      </c>
      <c r="G154" s="337">
        <f t="shared" si="40"/>
        <v>1</v>
      </c>
      <c r="H154" s="325">
        <f t="shared" si="41"/>
        <v>0.49440000000000001</v>
      </c>
      <c r="I154" s="619">
        <f t="shared" si="42"/>
        <v>19199.529600000002</v>
      </c>
      <c r="K154" s="323">
        <v>38834</v>
      </c>
      <c r="L154" s="337">
        <f t="shared" si="36"/>
        <v>1</v>
      </c>
      <c r="M154" s="325">
        <f t="shared" si="37"/>
        <v>0.49440000000000001</v>
      </c>
      <c r="N154" s="619">
        <f t="shared" si="38"/>
        <v>19199.529600000002</v>
      </c>
      <c r="R154" s="425"/>
    </row>
    <row r="155" spans="1:18">
      <c r="A155" s="210">
        <f t="shared" si="35"/>
        <v>141</v>
      </c>
      <c r="B155" s="1058">
        <v>39100</v>
      </c>
      <c r="C155" s="234" t="s">
        <v>786</v>
      </c>
      <c r="D155" s="323">
        <v>41397.21</v>
      </c>
      <c r="E155" s="619">
        <v>0</v>
      </c>
      <c r="F155" s="619">
        <f t="shared" si="39"/>
        <v>41397.21</v>
      </c>
      <c r="G155" s="337">
        <f t="shared" si="40"/>
        <v>1</v>
      </c>
      <c r="H155" s="325">
        <f t="shared" si="41"/>
        <v>0.49440000000000001</v>
      </c>
      <c r="I155" s="619">
        <f t="shared" si="42"/>
        <v>20466.780623999999</v>
      </c>
      <c r="K155" s="323">
        <v>41397.210000000006</v>
      </c>
      <c r="L155" s="337">
        <f t="shared" si="36"/>
        <v>1</v>
      </c>
      <c r="M155" s="325">
        <f t="shared" si="37"/>
        <v>0.49440000000000001</v>
      </c>
      <c r="N155" s="619">
        <f t="shared" si="38"/>
        <v>20466.780624000003</v>
      </c>
      <c r="R155" s="425"/>
    </row>
    <row r="156" spans="1:18">
      <c r="A156" s="210">
        <f t="shared" si="35"/>
        <v>142</v>
      </c>
      <c r="B156" s="1058">
        <v>39101</v>
      </c>
      <c r="C156" s="234" t="s">
        <v>1538</v>
      </c>
      <c r="D156" s="323">
        <v>0</v>
      </c>
      <c r="E156" s="619">
        <v>0</v>
      </c>
      <c r="F156" s="619">
        <f t="shared" si="39"/>
        <v>0</v>
      </c>
      <c r="G156" s="337">
        <f t="shared" si="40"/>
        <v>1</v>
      </c>
      <c r="H156" s="325">
        <f t="shared" si="41"/>
        <v>0.49440000000000001</v>
      </c>
      <c r="I156" s="619">
        <f t="shared" ref="I156:I172" si="43">F156*G156*H156</f>
        <v>0</v>
      </c>
      <c r="K156" s="323">
        <v>0</v>
      </c>
      <c r="L156" s="337">
        <f t="shared" ref="L156:L168" si="44">G156</f>
        <v>1</v>
      </c>
      <c r="M156" s="325">
        <f t="shared" ref="M156:M168" si="45">H156</f>
        <v>0.49440000000000001</v>
      </c>
      <c r="N156" s="619">
        <f t="shared" ref="N156:N168" si="46">K156*L156*M156</f>
        <v>0</v>
      </c>
      <c r="R156" s="425"/>
    </row>
    <row r="157" spans="1:18">
      <c r="A157" s="210">
        <f t="shared" si="35"/>
        <v>143</v>
      </c>
      <c r="B157" s="1058">
        <v>39103</v>
      </c>
      <c r="C157" s="234" t="s">
        <v>787</v>
      </c>
      <c r="D157" s="323">
        <v>0</v>
      </c>
      <c r="E157" s="619">
        <v>0</v>
      </c>
      <c r="F157" s="619">
        <f t="shared" si="39"/>
        <v>0</v>
      </c>
      <c r="G157" s="337">
        <f t="shared" si="40"/>
        <v>1</v>
      </c>
      <c r="H157" s="325">
        <f t="shared" si="41"/>
        <v>0.49440000000000001</v>
      </c>
      <c r="I157" s="619">
        <f t="shared" si="43"/>
        <v>0</v>
      </c>
      <c r="K157" s="323">
        <v>0</v>
      </c>
      <c r="L157" s="337">
        <f t="shared" si="44"/>
        <v>1</v>
      </c>
      <c r="M157" s="325">
        <f t="shared" si="45"/>
        <v>0.49440000000000001</v>
      </c>
      <c r="N157" s="619">
        <f t="shared" si="46"/>
        <v>0</v>
      </c>
      <c r="R157" s="425"/>
    </row>
    <row r="158" spans="1:18">
      <c r="A158" s="210">
        <f t="shared" si="35"/>
        <v>144</v>
      </c>
      <c r="B158" s="1058">
        <v>39200</v>
      </c>
      <c r="C158" s="234" t="s">
        <v>1085</v>
      </c>
      <c r="D158" s="323">
        <v>27284.69</v>
      </c>
      <c r="E158" s="619">
        <v>0</v>
      </c>
      <c r="F158" s="619">
        <f t="shared" si="39"/>
        <v>27284.69</v>
      </c>
      <c r="G158" s="337">
        <f t="shared" si="40"/>
        <v>1</v>
      </c>
      <c r="H158" s="325">
        <f t="shared" si="41"/>
        <v>0.49440000000000001</v>
      </c>
      <c r="I158" s="619">
        <f t="shared" si="43"/>
        <v>13489.550735999999</v>
      </c>
      <c r="K158" s="323">
        <v>27284.69</v>
      </c>
      <c r="L158" s="337">
        <f t="shared" si="44"/>
        <v>1</v>
      </c>
      <c r="M158" s="325">
        <f t="shared" si="45"/>
        <v>0.49440000000000001</v>
      </c>
      <c r="N158" s="619">
        <f t="shared" si="46"/>
        <v>13489.550735999999</v>
      </c>
      <c r="R158" s="425"/>
    </row>
    <row r="159" spans="1:18">
      <c r="A159" s="210">
        <f t="shared" si="35"/>
        <v>145</v>
      </c>
      <c r="B159" s="1058">
        <v>39300</v>
      </c>
      <c r="C159" s="234" t="s">
        <v>655</v>
      </c>
      <c r="D159" s="323">
        <v>0</v>
      </c>
      <c r="E159" s="619">
        <v>0</v>
      </c>
      <c r="F159" s="619">
        <f t="shared" si="39"/>
        <v>0</v>
      </c>
      <c r="G159" s="337">
        <f t="shared" si="40"/>
        <v>1</v>
      </c>
      <c r="H159" s="325">
        <f t="shared" si="41"/>
        <v>0.49440000000000001</v>
      </c>
      <c r="I159" s="619">
        <f t="shared" si="43"/>
        <v>0</v>
      </c>
      <c r="K159" s="323">
        <v>0</v>
      </c>
      <c r="L159" s="337">
        <f t="shared" si="44"/>
        <v>1</v>
      </c>
      <c r="M159" s="325">
        <f t="shared" si="45"/>
        <v>0.49440000000000001</v>
      </c>
      <c r="N159" s="619">
        <f t="shared" si="46"/>
        <v>0</v>
      </c>
      <c r="R159" s="425"/>
    </row>
    <row r="160" spans="1:18">
      <c r="A160" s="210">
        <f t="shared" si="35"/>
        <v>146</v>
      </c>
      <c r="B160" s="1058">
        <v>39400</v>
      </c>
      <c r="C160" s="234" t="s">
        <v>1044</v>
      </c>
      <c r="D160" s="323">
        <v>175867.44</v>
      </c>
      <c r="E160" s="619">
        <v>0</v>
      </c>
      <c r="F160" s="619">
        <f t="shared" si="39"/>
        <v>175867.44</v>
      </c>
      <c r="G160" s="337">
        <f t="shared" si="40"/>
        <v>1</v>
      </c>
      <c r="H160" s="325">
        <f t="shared" si="41"/>
        <v>0.49440000000000001</v>
      </c>
      <c r="I160" s="619">
        <f t="shared" si="43"/>
        <v>86948.862336000006</v>
      </c>
      <c r="K160" s="323">
        <v>172787.49461538458</v>
      </c>
      <c r="L160" s="337">
        <f t="shared" si="44"/>
        <v>1</v>
      </c>
      <c r="M160" s="325">
        <f t="shared" si="45"/>
        <v>0.49440000000000001</v>
      </c>
      <c r="N160" s="619">
        <f t="shared" si="46"/>
        <v>85426.137337846143</v>
      </c>
      <c r="R160" s="425"/>
    </row>
    <row r="161" spans="1:18">
      <c r="A161" s="210">
        <f t="shared" si="35"/>
        <v>147</v>
      </c>
      <c r="B161" s="1058">
        <v>39600</v>
      </c>
      <c r="C161" s="234" t="s">
        <v>547</v>
      </c>
      <c r="D161" s="323">
        <v>20515.689999999999</v>
      </c>
      <c r="E161" s="619">
        <v>0</v>
      </c>
      <c r="F161" s="619">
        <f t="shared" si="39"/>
        <v>20515.689999999999</v>
      </c>
      <c r="G161" s="337">
        <f t="shared" si="40"/>
        <v>1</v>
      </c>
      <c r="H161" s="325">
        <f t="shared" si="41"/>
        <v>0.49440000000000001</v>
      </c>
      <c r="I161" s="619">
        <f t="shared" si="43"/>
        <v>10142.957135999999</v>
      </c>
      <c r="K161" s="323">
        <v>20515.689999999999</v>
      </c>
      <c r="L161" s="337">
        <f t="shared" si="44"/>
        <v>1</v>
      </c>
      <c r="M161" s="325">
        <f t="shared" si="45"/>
        <v>0.49440000000000001</v>
      </c>
      <c r="N161" s="619">
        <f t="shared" si="46"/>
        <v>10142.957135999999</v>
      </c>
      <c r="R161" s="425"/>
    </row>
    <row r="162" spans="1:18">
      <c r="A162" s="210">
        <f t="shared" si="35"/>
        <v>148</v>
      </c>
      <c r="B162" s="1058">
        <v>39700</v>
      </c>
      <c r="C162" s="234" t="s">
        <v>445</v>
      </c>
      <c r="D162" s="323">
        <v>37541</v>
      </c>
      <c r="E162" s="619">
        <v>0</v>
      </c>
      <c r="F162" s="619">
        <f t="shared" si="39"/>
        <v>37541</v>
      </c>
      <c r="G162" s="337">
        <f t="shared" si="40"/>
        <v>1</v>
      </c>
      <c r="H162" s="325">
        <f t="shared" si="41"/>
        <v>0.49440000000000001</v>
      </c>
      <c r="I162" s="619">
        <f t="shared" si="43"/>
        <v>18560.270400000001</v>
      </c>
      <c r="K162" s="323">
        <v>34653.230769230766</v>
      </c>
      <c r="L162" s="337">
        <f t="shared" si="44"/>
        <v>1</v>
      </c>
      <c r="M162" s="325">
        <f t="shared" si="45"/>
        <v>0.49440000000000001</v>
      </c>
      <c r="N162" s="619">
        <f t="shared" si="46"/>
        <v>17132.557292307691</v>
      </c>
      <c r="R162" s="425"/>
    </row>
    <row r="163" spans="1:18">
      <c r="A163" s="210">
        <f t="shared" si="35"/>
        <v>149</v>
      </c>
      <c r="B163" s="1058">
        <v>39701</v>
      </c>
      <c r="C163" s="234" t="s">
        <v>1535</v>
      </c>
      <c r="D163" s="323">
        <v>0</v>
      </c>
      <c r="E163" s="619">
        <v>0</v>
      </c>
      <c r="F163" s="619">
        <f t="shared" si="39"/>
        <v>0</v>
      </c>
      <c r="G163" s="337">
        <f t="shared" si="40"/>
        <v>1</v>
      </c>
      <c r="H163" s="325">
        <f t="shared" si="41"/>
        <v>0.49440000000000001</v>
      </c>
      <c r="I163" s="619">
        <f t="shared" si="43"/>
        <v>0</v>
      </c>
      <c r="K163" s="323">
        <v>0</v>
      </c>
      <c r="L163" s="337">
        <f t="shared" si="44"/>
        <v>1</v>
      </c>
      <c r="M163" s="325">
        <f t="shared" si="45"/>
        <v>0.49440000000000001</v>
      </c>
      <c r="N163" s="619">
        <f t="shared" si="46"/>
        <v>0</v>
      </c>
      <c r="R163" s="425"/>
    </row>
    <row r="164" spans="1:18">
      <c r="A164" s="210">
        <f t="shared" si="35"/>
        <v>150</v>
      </c>
      <c r="B164" s="1058">
        <v>39702</v>
      </c>
      <c r="C164" s="234" t="s">
        <v>1535</v>
      </c>
      <c r="D164" s="323">
        <v>0</v>
      </c>
      <c r="E164" s="619">
        <v>0</v>
      </c>
      <c r="F164" s="619">
        <f t="shared" si="39"/>
        <v>0</v>
      </c>
      <c r="G164" s="337">
        <f t="shared" si="40"/>
        <v>1</v>
      </c>
      <c r="H164" s="325">
        <f t="shared" si="41"/>
        <v>0.49440000000000001</v>
      </c>
      <c r="I164" s="619">
        <f t="shared" si="43"/>
        <v>0</v>
      </c>
      <c r="K164" s="323">
        <v>0</v>
      </c>
      <c r="L164" s="337">
        <f t="shared" si="44"/>
        <v>1</v>
      </c>
      <c r="M164" s="325">
        <f t="shared" si="45"/>
        <v>0.49440000000000001</v>
      </c>
      <c r="N164" s="619">
        <f t="shared" si="46"/>
        <v>0</v>
      </c>
      <c r="R164" s="425"/>
    </row>
    <row r="165" spans="1:18">
      <c r="A165" s="210">
        <f t="shared" si="35"/>
        <v>151</v>
      </c>
      <c r="B165" s="1058">
        <v>39800</v>
      </c>
      <c r="C165" s="234" t="s">
        <v>656</v>
      </c>
      <c r="D165" s="323">
        <v>814166.88</v>
      </c>
      <c r="E165" s="619">
        <v>0</v>
      </c>
      <c r="F165" s="619">
        <f t="shared" si="39"/>
        <v>814166.88</v>
      </c>
      <c r="G165" s="337">
        <f t="shared" si="40"/>
        <v>1</v>
      </c>
      <c r="H165" s="325">
        <f t="shared" si="41"/>
        <v>0.49440000000000001</v>
      </c>
      <c r="I165" s="619">
        <f t="shared" si="43"/>
        <v>402524.10547200002</v>
      </c>
      <c r="K165" s="323">
        <v>814166.88000000012</v>
      </c>
      <c r="L165" s="337">
        <f t="shared" si="44"/>
        <v>1</v>
      </c>
      <c r="M165" s="325">
        <f t="shared" si="45"/>
        <v>0.49440000000000001</v>
      </c>
      <c r="N165" s="619">
        <f t="shared" si="46"/>
        <v>402524.10547200008</v>
      </c>
      <c r="R165" s="425"/>
    </row>
    <row r="166" spans="1:18">
      <c r="A166" s="210">
        <f t="shared" si="35"/>
        <v>152</v>
      </c>
      <c r="B166" s="1058">
        <v>39900</v>
      </c>
      <c r="C166" s="234" t="s">
        <v>1162</v>
      </c>
      <c r="D166" s="323">
        <v>0</v>
      </c>
      <c r="E166" s="619">
        <v>0</v>
      </c>
      <c r="F166" s="619">
        <f t="shared" si="39"/>
        <v>0</v>
      </c>
      <c r="G166" s="337">
        <f t="shared" si="40"/>
        <v>1</v>
      </c>
      <c r="H166" s="325">
        <f t="shared" si="41"/>
        <v>0.49440000000000001</v>
      </c>
      <c r="I166" s="619">
        <f t="shared" si="43"/>
        <v>0</v>
      </c>
      <c r="K166" s="323">
        <v>0</v>
      </c>
      <c r="L166" s="337">
        <f t="shared" si="44"/>
        <v>1</v>
      </c>
      <c r="M166" s="325">
        <f t="shared" si="45"/>
        <v>0.49440000000000001</v>
      </c>
      <c r="N166" s="619">
        <f t="shared" si="46"/>
        <v>0</v>
      </c>
      <c r="R166" s="425"/>
    </row>
    <row r="167" spans="1:18">
      <c r="A167" s="210">
        <f t="shared" si="35"/>
        <v>153</v>
      </c>
      <c r="B167" s="1058">
        <v>39901</v>
      </c>
      <c r="C167" s="234" t="s">
        <v>479</v>
      </c>
      <c r="D167" s="323">
        <v>0</v>
      </c>
      <c r="E167" s="619">
        <v>0</v>
      </c>
      <c r="F167" s="619">
        <f t="shared" si="39"/>
        <v>0</v>
      </c>
      <c r="G167" s="337">
        <f t="shared" si="40"/>
        <v>1</v>
      </c>
      <c r="H167" s="325">
        <f t="shared" si="41"/>
        <v>0.49440000000000001</v>
      </c>
      <c r="I167" s="619">
        <f t="shared" si="43"/>
        <v>0</v>
      </c>
      <c r="K167" s="323">
        <v>0</v>
      </c>
      <c r="L167" s="337">
        <f t="shared" si="44"/>
        <v>1</v>
      </c>
      <c r="M167" s="325">
        <f t="shared" si="45"/>
        <v>0.49440000000000001</v>
      </c>
      <c r="N167" s="619">
        <f t="shared" si="46"/>
        <v>0</v>
      </c>
      <c r="R167" s="425"/>
    </row>
    <row r="168" spans="1:18">
      <c r="A168" s="210">
        <f t="shared" ref="A168:A236" si="47">A167+1</f>
        <v>154</v>
      </c>
      <c r="B168" s="1058">
        <v>39902</v>
      </c>
      <c r="C168" s="234" t="s">
        <v>968</v>
      </c>
      <c r="D168" s="323">
        <v>0</v>
      </c>
      <c r="E168" s="619">
        <v>0</v>
      </c>
      <c r="F168" s="619">
        <f t="shared" si="39"/>
        <v>0</v>
      </c>
      <c r="G168" s="337">
        <f t="shared" si="40"/>
        <v>1</v>
      </c>
      <c r="H168" s="325">
        <f t="shared" si="41"/>
        <v>0.49440000000000001</v>
      </c>
      <c r="I168" s="619">
        <f t="shared" si="43"/>
        <v>0</v>
      </c>
      <c r="K168" s="323">
        <v>0</v>
      </c>
      <c r="L168" s="337">
        <f t="shared" si="44"/>
        <v>1</v>
      </c>
      <c r="M168" s="325">
        <f t="shared" si="45"/>
        <v>0.49440000000000001</v>
      </c>
      <c r="N168" s="619">
        <f t="shared" si="46"/>
        <v>0</v>
      </c>
      <c r="R168" s="425"/>
    </row>
    <row r="169" spans="1:18">
      <c r="A169" s="210">
        <f t="shared" si="47"/>
        <v>155</v>
      </c>
      <c r="B169" s="1058">
        <v>39903</v>
      </c>
      <c r="C169" s="234" t="s">
        <v>1011</v>
      </c>
      <c r="D169" s="323">
        <v>0</v>
      </c>
      <c r="E169" s="619">
        <v>0</v>
      </c>
      <c r="F169" s="619">
        <f t="shared" si="39"/>
        <v>0</v>
      </c>
      <c r="G169" s="337">
        <f t="shared" si="40"/>
        <v>1</v>
      </c>
      <c r="H169" s="325">
        <f t="shared" si="41"/>
        <v>0.49440000000000001</v>
      </c>
      <c r="I169" s="619">
        <f t="shared" si="43"/>
        <v>0</v>
      </c>
      <c r="K169" s="323">
        <v>0</v>
      </c>
      <c r="L169" s="337">
        <f t="shared" si="36"/>
        <v>1</v>
      </c>
      <c r="M169" s="325">
        <f t="shared" si="37"/>
        <v>0.49440000000000001</v>
      </c>
      <c r="N169" s="619">
        <f t="shared" si="38"/>
        <v>0</v>
      </c>
      <c r="R169" s="425"/>
    </row>
    <row r="170" spans="1:18">
      <c r="A170" s="210">
        <f t="shared" si="47"/>
        <v>156</v>
      </c>
      <c r="B170" s="1058">
        <v>39906</v>
      </c>
      <c r="C170" s="234" t="s">
        <v>456</v>
      </c>
      <c r="D170" s="323">
        <v>74189.619999999966</v>
      </c>
      <c r="E170" s="619">
        <v>0</v>
      </c>
      <c r="F170" s="619">
        <f t="shared" si="39"/>
        <v>74189.619999999966</v>
      </c>
      <c r="G170" s="337">
        <f t="shared" si="40"/>
        <v>1</v>
      </c>
      <c r="H170" s="325">
        <f t="shared" si="41"/>
        <v>0.49440000000000001</v>
      </c>
      <c r="I170" s="619">
        <f t="shared" si="43"/>
        <v>36679.348127999983</v>
      </c>
      <c r="K170" s="323">
        <v>74189.619999999981</v>
      </c>
      <c r="L170" s="337">
        <f t="shared" si="36"/>
        <v>1</v>
      </c>
      <c r="M170" s="325">
        <f t="shared" si="37"/>
        <v>0.49440000000000001</v>
      </c>
      <c r="N170" s="619">
        <f t="shared" si="38"/>
        <v>36679.348127999991</v>
      </c>
      <c r="R170" s="425"/>
    </row>
    <row r="171" spans="1:18">
      <c r="A171" s="210">
        <f t="shared" si="47"/>
        <v>157</v>
      </c>
      <c r="B171" s="1058">
        <v>39907</v>
      </c>
      <c r="C171" s="234" t="s">
        <v>510</v>
      </c>
      <c r="D171" s="323">
        <v>35063.769999999997</v>
      </c>
      <c r="E171" s="619">
        <v>0</v>
      </c>
      <c r="F171" s="619">
        <f t="shared" si="39"/>
        <v>35063.769999999997</v>
      </c>
      <c r="G171" s="337">
        <f t="shared" si="40"/>
        <v>1</v>
      </c>
      <c r="H171" s="325">
        <f t="shared" si="41"/>
        <v>0.49440000000000001</v>
      </c>
      <c r="I171" s="619">
        <f t="shared" si="43"/>
        <v>17335.527887999997</v>
      </c>
      <c r="K171" s="323">
        <v>35063.770000000004</v>
      </c>
      <c r="L171" s="337">
        <f t="shared" si="36"/>
        <v>1</v>
      </c>
      <c r="M171" s="325">
        <f t="shared" si="37"/>
        <v>0.49440000000000001</v>
      </c>
      <c r="N171" s="619">
        <f t="shared" si="38"/>
        <v>17335.527888000001</v>
      </c>
      <c r="R171" s="425"/>
    </row>
    <row r="172" spans="1:18">
      <c r="A172" s="210">
        <f t="shared" si="47"/>
        <v>158</v>
      </c>
      <c r="B172" s="1058">
        <v>39908</v>
      </c>
      <c r="C172" s="234" t="s">
        <v>180</v>
      </c>
      <c r="D172" s="323">
        <v>828509.36</v>
      </c>
      <c r="E172" s="1057">
        <v>0</v>
      </c>
      <c r="F172" s="1057">
        <f t="shared" si="39"/>
        <v>828509.36</v>
      </c>
      <c r="G172" s="337">
        <f t="shared" si="40"/>
        <v>1</v>
      </c>
      <c r="H172" s="325">
        <f t="shared" si="41"/>
        <v>0.49440000000000001</v>
      </c>
      <c r="I172" s="619">
        <f t="shared" si="43"/>
        <v>409615.02758400002</v>
      </c>
      <c r="K172" s="323">
        <v>828509.36</v>
      </c>
      <c r="L172" s="337">
        <f t="shared" si="36"/>
        <v>1</v>
      </c>
      <c r="M172" s="325">
        <f t="shared" si="37"/>
        <v>0.49440000000000001</v>
      </c>
      <c r="N172" s="1057">
        <f t="shared" si="38"/>
        <v>409615.02758400002</v>
      </c>
      <c r="R172" s="425"/>
    </row>
    <row r="173" spans="1:18">
      <c r="A173" s="210">
        <f t="shared" si="47"/>
        <v>159</v>
      </c>
      <c r="B173" s="1059"/>
      <c r="C173" s="234"/>
      <c r="D173" s="621"/>
      <c r="E173" s="621"/>
      <c r="F173" s="621"/>
      <c r="I173" s="621"/>
      <c r="K173" s="621"/>
      <c r="N173" s="621"/>
    </row>
    <row r="174" spans="1:18">
      <c r="A174" s="210">
        <f t="shared" si="47"/>
        <v>160</v>
      </c>
      <c r="B174" s="1059"/>
      <c r="C174" s="234" t="s">
        <v>4</v>
      </c>
      <c r="D174" s="361">
        <f>SUM(D152:D173)</f>
        <v>2288092.09</v>
      </c>
      <c r="E174" s="361">
        <f>SUM(E152:E173)</f>
        <v>0</v>
      </c>
      <c r="F174" s="361">
        <f>SUM(F152:F173)</f>
        <v>2288092.09</v>
      </c>
      <c r="I174" s="323">
        <f>SUM(I152:I173)</f>
        <v>1131232.7292960002</v>
      </c>
      <c r="K174" s="323">
        <f>SUM(K152:K173)</f>
        <v>2282124.3753846153</v>
      </c>
      <c r="N174" s="323">
        <f>SUM(N152:N173)</f>
        <v>1128282.2911901539</v>
      </c>
    </row>
    <row r="175" spans="1:18">
      <c r="A175" s="210">
        <f t="shared" si="47"/>
        <v>161</v>
      </c>
      <c r="B175" s="1059"/>
      <c r="C175" s="234"/>
    </row>
    <row r="176" spans="1:18" ht="15.75" thickBot="1">
      <c r="A176" s="210">
        <f t="shared" si="47"/>
        <v>162</v>
      </c>
      <c r="B176" s="1059"/>
      <c r="C176" s="234" t="s">
        <v>1338</v>
      </c>
      <c r="D176" s="1021">
        <f>D124+D149+D174</f>
        <v>3582953.04</v>
      </c>
      <c r="E176" s="1021">
        <f>E124+E149+E174</f>
        <v>0</v>
      </c>
      <c r="F176" s="1021">
        <f>F124+F149+F174</f>
        <v>3582953.04</v>
      </c>
      <c r="I176" s="1021">
        <f>I124+I149+I174</f>
        <v>1771411.9829760003</v>
      </c>
      <c r="K176" s="1021">
        <f>K124+K149+K174</f>
        <v>3576985.325384615</v>
      </c>
      <c r="N176" s="1021">
        <f>N124+N149+N174</f>
        <v>1768461.544870154</v>
      </c>
    </row>
    <row r="177" spans="1:18" ht="15.75" thickTop="1">
      <c r="A177" s="210">
        <f t="shared" si="47"/>
        <v>163</v>
      </c>
      <c r="B177" s="1059"/>
      <c r="C177" s="234"/>
      <c r="D177" s="323"/>
      <c r="E177" s="323"/>
      <c r="F177" s="323"/>
      <c r="I177" s="323"/>
    </row>
    <row r="178" spans="1:18">
      <c r="A178" s="210">
        <f t="shared" si="47"/>
        <v>164</v>
      </c>
      <c r="B178" s="1059"/>
      <c r="C178" s="196" t="s">
        <v>756</v>
      </c>
      <c r="D178" s="323">
        <v>-10502.07</v>
      </c>
      <c r="E178" s="323">
        <v>0</v>
      </c>
      <c r="F178" s="323">
        <f>D178+E178</f>
        <v>-10502.07</v>
      </c>
      <c r="G178" s="337">
        <f>$G$16</f>
        <v>1</v>
      </c>
      <c r="H178" s="325">
        <f>$H$121</f>
        <v>0.49440000000000001</v>
      </c>
      <c r="I178" s="323">
        <f>F178*G178*H178</f>
        <v>-5192.2234079999998</v>
      </c>
      <c r="K178" s="323">
        <v>-3344.0230769230757</v>
      </c>
      <c r="L178" s="337">
        <f>G178</f>
        <v>1</v>
      </c>
      <c r="M178" s="325">
        <f>H178</f>
        <v>0.49440000000000001</v>
      </c>
      <c r="N178" s="323">
        <f>K178*L178*M178</f>
        <v>-1653.2850092307685</v>
      </c>
    </row>
    <row r="179" spans="1:18">
      <c r="A179" s="210">
        <f t="shared" si="47"/>
        <v>165</v>
      </c>
      <c r="B179" s="1059"/>
    </row>
    <row r="180" spans="1:18" ht="15.75">
      <c r="A180" s="210">
        <f t="shared" si="47"/>
        <v>166</v>
      </c>
      <c r="B180" s="1055" t="s">
        <v>8</v>
      </c>
    </row>
    <row r="181" spans="1:18">
      <c r="A181" s="210">
        <f t="shared" si="47"/>
        <v>167</v>
      </c>
      <c r="B181" s="1059"/>
      <c r="H181" s="325"/>
    </row>
    <row r="182" spans="1:18">
      <c r="A182" s="210">
        <f t="shared" si="47"/>
        <v>168</v>
      </c>
      <c r="B182" s="1059"/>
      <c r="C182" s="622" t="s">
        <v>305</v>
      </c>
    </row>
    <row r="183" spans="1:18" ht="14.25" customHeight="1">
      <c r="A183" s="210">
        <f t="shared" si="47"/>
        <v>169</v>
      </c>
      <c r="B183" s="1058">
        <v>39000</v>
      </c>
      <c r="C183" s="234" t="s">
        <v>863</v>
      </c>
      <c r="D183" s="323">
        <v>1411420.9444197712</v>
      </c>
      <c r="E183" s="361">
        <v>0</v>
      </c>
      <c r="F183" s="361">
        <f>D183+E183</f>
        <v>1411420.9444197712</v>
      </c>
      <c r="G183" s="325">
        <f>Allocation!$G$14</f>
        <v>9.8900000000000002E-2</v>
      </c>
      <c r="H183" s="325">
        <f>Allocation!$H$14</f>
        <v>0.49440000000000001</v>
      </c>
      <c r="I183" s="361">
        <f>F183*G183*H183</f>
        <v>69013.064325700238</v>
      </c>
      <c r="K183" s="323">
        <v>1636435.493973881</v>
      </c>
      <c r="L183" s="325">
        <f>G183</f>
        <v>9.8900000000000002E-2</v>
      </c>
      <c r="M183" s="325">
        <f>H183</f>
        <v>0.49440000000000001</v>
      </c>
      <c r="N183" s="361">
        <f>K183*L183*M183</f>
        <v>80015.411743025921</v>
      </c>
      <c r="R183" s="425"/>
    </row>
    <row r="184" spans="1:18">
      <c r="A184" s="210">
        <f t="shared" si="47"/>
        <v>170</v>
      </c>
      <c r="B184" s="1058">
        <v>39005</v>
      </c>
      <c r="C184" s="234" t="s">
        <v>1206</v>
      </c>
      <c r="D184" s="323">
        <v>9133014.5899999999</v>
      </c>
      <c r="E184" s="623">
        <v>0</v>
      </c>
      <c r="F184" s="619">
        <f>D184+E184</f>
        <v>9133014.5899999999</v>
      </c>
      <c r="G184" s="468">
        <v>1</v>
      </c>
      <c r="H184" s="468">
        <f>Allocation!$I$20</f>
        <v>1.550753E-2</v>
      </c>
      <c r="I184" s="619">
        <f>F184*G184*H184</f>
        <v>141630.49774486269</v>
      </c>
      <c r="K184" s="323">
        <v>9133014.5900000017</v>
      </c>
      <c r="L184" s="325">
        <f>G184</f>
        <v>1</v>
      </c>
      <c r="M184" s="325">
        <f t="shared" ref="M184:M218" si="48">H184</f>
        <v>1.550753E-2</v>
      </c>
      <c r="N184" s="619">
        <f t="shared" ref="N184:N220" si="49">K184*L184*M184</f>
        <v>141630.49774486272</v>
      </c>
      <c r="R184" s="425"/>
    </row>
    <row r="185" spans="1:18">
      <c r="A185" s="210">
        <f t="shared" si="47"/>
        <v>171</v>
      </c>
      <c r="B185" s="1058">
        <v>39009</v>
      </c>
      <c r="C185" s="234" t="s">
        <v>1045</v>
      </c>
      <c r="D185" s="323">
        <v>9490592.8250148408</v>
      </c>
      <c r="E185" s="623">
        <v>0</v>
      </c>
      <c r="F185" s="619">
        <f t="shared" ref="F185:F220" si="50">D185+E185</f>
        <v>9490592.8250148408</v>
      </c>
      <c r="G185" s="325">
        <f>G183</f>
        <v>9.8900000000000002E-2</v>
      </c>
      <c r="H185" s="325">
        <f>H183</f>
        <v>0.49440000000000001</v>
      </c>
      <c r="I185" s="619">
        <f t="shared" ref="I185:I220" si="51">F185*G185*H185</f>
        <v>464053.54526677763</v>
      </c>
      <c r="K185" s="323">
        <v>9332933.2638449538</v>
      </c>
      <c r="L185" s="325">
        <f t="shared" ref="L185:L215" si="52">G185</f>
        <v>9.8900000000000002E-2</v>
      </c>
      <c r="M185" s="325">
        <f t="shared" si="48"/>
        <v>0.49440000000000001</v>
      </c>
      <c r="N185" s="619">
        <f t="shared" si="49"/>
        <v>456344.5981382851</v>
      </c>
      <c r="R185" s="425"/>
    </row>
    <row r="186" spans="1:18">
      <c r="A186" s="210">
        <f t="shared" si="47"/>
        <v>172</v>
      </c>
      <c r="B186" s="1058">
        <v>39020</v>
      </c>
      <c r="C186" s="234" t="s">
        <v>1539</v>
      </c>
      <c r="D186" s="323">
        <v>0</v>
      </c>
      <c r="E186" s="623">
        <v>0</v>
      </c>
      <c r="F186" s="619">
        <f t="shared" si="50"/>
        <v>0</v>
      </c>
      <c r="G186" s="325">
        <f t="shared" ref="G186" si="53">G184</f>
        <v>1</v>
      </c>
      <c r="H186" s="325">
        <f>Allocation!E22</f>
        <v>6.437198999999999E-2</v>
      </c>
      <c r="I186" s="619">
        <f t="shared" si="51"/>
        <v>0</v>
      </c>
      <c r="K186" s="323">
        <v>0</v>
      </c>
      <c r="L186" s="325">
        <f t="shared" ref="L186:L187" si="54">G186</f>
        <v>1</v>
      </c>
      <c r="M186" s="325">
        <f t="shared" si="48"/>
        <v>6.437198999999999E-2</v>
      </c>
      <c r="N186" s="619">
        <f t="shared" si="49"/>
        <v>0</v>
      </c>
      <c r="R186" s="425"/>
    </row>
    <row r="187" spans="1:18">
      <c r="A187" s="210">
        <f t="shared" si="47"/>
        <v>173</v>
      </c>
      <c r="B187" s="1058">
        <v>39029</v>
      </c>
      <c r="C187" s="234" t="s">
        <v>1540</v>
      </c>
      <c r="D187" s="323">
        <v>0</v>
      </c>
      <c r="E187" s="623">
        <v>0</v>
      </c>
      <c r="F187" s="619">
        <f t="shared" si="50"/>
        <v>0</v>
      </c>
      <c r="G187" s="325">
        <f t="shared" ref="G187" si="55">G185</f>
        <v>9.8900000000000002E-2</v>
      </c>
      <c r="H187" s="325">
        <f>H186</f>
        <v>6.437198999999999E-2</v>
      </c>
      <c r="I187" s="619">
        <f t="shared" si="51"/>
        <v>0</v>
      </c>
      <c r="K187" s="323">
        <v>0</v>
      </c>
      <c r="L187" s="325">
        <f t="shared" si="54"/>
        <v>9.8900000000000002E-2</v>
      </c>
      <c r="M187" s="325">
        <f t="shared" si="48"/>
        <v>6.437198999999999E-2</v>
      </c>
      <c r="N187" s="619">
        <f t="shared" si="49"/>
        <v>0</v>
      </c>
      <c r="R187" s="425"/>
    </row>
    <row r="188" spans="1:18">
      <c r="A188" s="210">
        <f t="shared" si="47"/>
        <v>174</v>
      </c>
      <c r="B188" s="1058">
        <v>39100</v>
      </c>
      <c r="C188" s="234" t="s">
        <v>786</v>
      </c>
      <c r="D188" s="323">
        <v>5092631.8061178466</v>
      </c>
      <c r="E188" s="623">
        <v>0</v>
      </c>
      <c r="F188" s="619">
        <f t="shared" si="50"/>
        <v>5092631.8061178466</v>
      </c>
      <c r="G188" s="325">
        <f>G185</f>
        <v>9.8900000000000002E-2</v>
      </c>
      <c r="H188" s="325">
        <f>H185</f>
        <v>0.49440000000000001</v>
      </c>
      <c r="I188" s="619">
        <f t="shared" si="51"/>
        <v>249010.13961302722</v>
      </c>
      <c r="K188" s="323">
        <v>6119580.5634966083</v>
      </c>
      <c r="L188" s="325">
        <f t="shared" si="52"/>
        <v>9.8900000000000002E-2</v>
      </c>
      <c r="M188" s="325">
        <f t="shared" si="48"/>
        <v>0.49440000000000001</v>
      </c>
      <c r="N188" s="619">
        <f t="shared" si="49"/>
        <v>299223.9903656203</v>
      </c>
      <c r="R188" s="425"/>
    </row>
    <row r="189" spans="1:18">
      <c r="A189" s="210">
        <f t="shared" si="47"/>
        <v>175</v>
      </c>
      <c r="B189" s="1058">
        <v>39102</v>
      </c>
      <c r="C189" s="234" t="s">
        <v>532</v>
      </c>
      <c r="D189" s="323">
        <v>0</v>
      </c>
      <c r="E189" s="623">
        <v>0</v>
      </c>
      <c r="F189" s="619">
        <f t="shared" si="50"/>
        <v>0</v>
      </c>
      <c r="G189" s="325">
        <f t="shared" ref="G189:G205" si="56">G188</f>
        <v>9.8900000000000002E-2</v>
      </c>
      <c r="H189" s="325">
        <f t="shared" ref="H189:H190" si="57">H188</f>
        <v>0.49440000000000001</v>
      </c>
      <c r="I189" s="619">
        <f t="shared" si="51"/>
        <v>0</v>
      </c>
      <c r="K189" s="323">
        <v>0</v>
      </c>
      <c r="L189" s="325">
        <f t="shared" si="52"/>
        <v>9.8900000000000002E-2</v>
      </c>
      <c r="M189" s="325">
        <f t="shared" si="48"/>
        <v>0.49440000000000001</v>
      </c>
      <c r="N189" s="619">
        <f t="shared" si="49"/>
        <v>0</v>
      </c>
      <c r="R189" s="425"/>
    </row>
    <row r="190" spans="1:18">
      <c r="A190" s="210">
        <f t="shared" si="47"/>
        <v>176</v>
      </c>
      <c r="B190" s="1058">
        <v>39103</v>
      </c>
      <c r="C190" s="234" t="s">
        <v>787</v>
      </c>
      <c r="D190" s="323">
        <v>0</v>
      </c>
      <c r="E190" s="623">
        <v>0</v>
      </c>
      <c r="F190" s="619">
        <f t="shared" si="50"/>
        <v>0</v>
      </c>
      <c r="G190" s="325">
        <f t="shared" si="56"/>
        <v>9.8900000000000002E-2</v>
      </c>
      <c r="H190" s="325">
        <f t="shared" si="57"/>
        <v>0.49440000000000001</v>
      </c>
      <c r="I190" s="619">
        <f t="shared" si="51"/>
        <v>0</v>
      </c>
      <c r="K190" s="323">
        <v>0</v>
      </c>
      <c r="L190" s="325">
        <f t="shared" si="52"/>
        <v>9.8900000000000002E-2</v>
      </c>
      <c r="M190" s="325">
        <f t="shared" si="48"/>
        <v>0.49440000000000001</v>
      </c>
      <c r="N190" s="619">
        <f t="shared" si="49"/>
        <v>0</v>
      </c>
      <c r="R190" s="425"/>
    </row>
    <row r="191" spans="1:18">
      <c r="A191" s="210">
        <f t="shared" si="47"/>
        <v>177</v>
      </c>
      <c r="B191" s="1058">
        <v>39104</v>
      </c>
      <c r="C191" s="234" t="s">
        <v>1207</v>
      </c>
      <c r="D191" s="323">
        <v>63740.85</v>
      </c>
      <c r="E191" s="623">
        <v>0</v>
      </c>
      <c r="F191" s="619">
        <f t="shared" si="50"/>
        <v>63740.85</v>
      </c>
      <c r="G191" s="468">
        <v>1</v>
      </c>
      <c r="H191" s="468">
        <f>$H$184</f>
        <v>1.550753E-2</v>
      </c>
      <c r="I191" s="619">
        <f t="shared" si="51"/>
        <v>988.46314360049996</v>
      </c>
      <c r="K191" s="323">
        <v>63740.849999999984</v>
      </c>
      <c r="L191" s="325">
        <f t="shared" ref="L191" si="58">G191</f>
        <v>1</v>
      </c>
      <c r="M191" s="325">
        <f t="shared" si="48"/>
        <v>1.550753E-2</v>
      </c>
      <c r="N191" s="619">
        <f t="shared" si="49"/>
        <v>988.46314360049973</v>
      </c>
      <c r="R191" s="425"/>
    </row>
    <row r="192" spans="1:18">
      <c r="A192" s="210">
        <f t="shared" si="47"/>
        <v>178</v>
      </c>
      <c r="B192" s="1058">
        <v>39120</v>
      </c>
      <c r="C192" s="234" t="s">
        <v>1541</v>
      </c>
      <c r="D192" s="323">
        <v>263337.89</v>
      </c>
      <c r="E192" s="623">
        <v>0</v>
      </c>
      <c r="F192" s="619">
        <f t="shared" si="50"/>
        <v>263337.89</v>
      </c>
      <c r="G192" s="468">
        <v>1</v>
      </c>
      <c r="H192" s="468">
        <f>Allocation!E22</f>
        <v>6.437198999999999E-2</v>
      </c>
      <c r="I192" s="619">
        <f t="shared" si="51"/>
        <v>16951.584021701099</v>
      </c>
      <c r="K192" s="323">
        <v>263337.89000000007</v>
      </c>
      <c r="L192" s="325">
        <v>1</v>
      </c>
      <c r="M192" s="325">
        <f t="shared" si="48"/>
        <v>6.437198999999999E-2</v>
      </c>
      <c r="N192" s="619">
        <f t="shared" si="49"/>
        <v>16951.584021701103</v>
      </c>
      <c r="R192" s="425"/>
    </row>
    <row r="193" spans="1:18">
      <c r="A193" s="210">
        <f t="shared" si="47"/>
        <v>179</v>
      </c>
      <c r="B193" s="1058">
        <v>39200</v>
      </c>
      <c r="C193" s="234" t="s">
        <v>1085</v>
      </c>
      <c r="D193" s="323">
        <v>7125.41</v>
      </c>
      <c r="E193" s="623">
        <v>0</v>
      </c>
      <c r="F193" s="619">
        <f t="shared" si="50"/>
        <v>7125.41</v>
      </c>
      <c r="G193" s="325">
        <f>G190</f>
        <v>9.8900000000000002E-2</v>
      </c>
      <c r="H193" s="325">
        <f>H190</f>
        <v>0.49440000000000001</v>
      </c>
      <c r="I193" s="619">
        <f t="shared" si="51"/>
        <v>348.40518742559999</v>
      </c>
      <c r="K193" s="323">
        <v>7125.4100000000026</v>
      </c>
      <c r="L193" s="325">
        <f t="shared" si="52"/>
        <v>9.8900000000000002E-2</v>
      </c>
      <c r="M193" s="325">
        <f t="shared" si="48"/>
        <v>0.49440000000000001</v>
      </c>
      <c r="N193" s="619">
        <f t="shared" si="49"/>
        <v>348.40518742560016</v>
      </c>
      <c r="R193" s="425"/>
    </row>
    <row r="194" spans="1:18">
      <c r="A194" s="210">
        <f t="shared" si="47"/>
        <v>180</v>
      </c>
      <c r="B194" s="1058">
        <v>39300</v>
      </c>
      <c r="C194" s="234" t="s">
        <v>655</v>
      </c>
      <c r="D194" s="323">
        <v>0</v>
      </c>
      <c r="E194" s="623">
        <v>0</v>
      </c>
      <c r="F194" s="619">
        <f t="shared" si="50"/>
        <v>0</v>
      </c>
      <c r="G194" s="325">
        <f t="shared" si="56"/>
        <v>9.8900000000000002E-2</v>
      </c>
      <c r="H194" s="325">
        <f t="shared" ref="H194:H210" si="59">H193</f>
        <v>0.49440000000000001</v>
      </c>
      <c r="I194" s="619">
        <f t="shared" si="51"/>
        <v>0</v>
      </c>
      <c r="K194" s="323">
        <v>0</v>
      </c>
      <c r="L194" s="325">
        <f t="shared" si="52"/>
        <v>9.8900000000000002E-2</v>
      </c>
      <c r="M194" s="325">
        <f t="shared" si="48"/>
        <v>0.49440000000000001</v>
      </c>
      <c r="N194" s="619">
        <f t="shared" si="49"/>
        <v>0</v>
      </c>
      <c r="R194" s="425"/>
    </row>
    <row r="195" spans="1:18">
      <c r="A195" s="210">
        <f t="shared" si="47"/>
        <v>181</v>
      </c>
      <c r="B195" s="1058">
        <v>39400</v>
      </c>
      <c r="C195" s="234" t="s">
        <v>1044</v>
      </c>
      <c r="D195" s="323">
        <v>96505.604240730449</v>
      </c>
      <c r="E195" s="623">
        <v>0</v>
      </c>
      <c r="F195" s="619">
        <f t="shared" si="50"/>
        <v>96505.604240730449</v>
      </c>
      <c r="G195" s="325">
        <f t="shared" si="56"/>
        <v>9.8900000000000002E-2</v>
      </c>
      <c r="H195" s="325">
        <f t="shared" si="59"/>
        <v>0.49440000000000001</v>
      </c>
      <c r="I195" s="619">
        <f t="shared" si="51"/>
        <v>4718.7534658514351</v>
      </c>
      <c r="K195" s="323">
        <v>121578.56679983175</v>
      </c>
      <c r="L195" s="325">
        <f t="shared" si="52"/>
        <v>9.8900000000000002E-2</v>
      </c>
      <c r="M195" s="325">
        <f t="shared" si="48"/>
        <v>0.49440000000000001</v>
      </c>
      <c r="N195" s="619">
        <f t="shared" si="49"/>
        <v>5944.7250548152615</v>
      </c>
      <c r="R195" s="425"/>
    </row>
    <row r="196" spans="1:18">
      <c r="A196" s="210">
        <f t="shared" si="47"/>
        <v>182</v>
      </c>
      <c r="B196" s="1058">
        <v>39420</v>
      </c>
      <c r="C196" s="234" t="s">
        <v>1542</v>
      </c>
      <c r="D196" s="323">
        <v>176760.13144960572</v>
      </c>
      <c r="E196" s="623">
        <v>0</v>
      </c>
      <c r="F196" s="619">
        <f t="shared" si="50"/>
        <v>176760.13144960572</v>
      </c>
      <c r="G196" s="325">
        <v>1</v>
      </c>
      <c r="H196" s="325">
        <f>H192</f>
        <v>6.437198999999999E-2</v>
      </c>
      <c r="I196" s="619">
        <f t="shared" si="51"/>
        <v>11378.401414072703</v>
      </c>
      <c r="K196" s="323">
        <v>76748.881889557291</v>
      </c>
      <c r="L196" s="325">
        <v>1</v>
      </c>
      <c r="M196" s="325">
        <f t="shared" si="48"/>
        <v>6.437198999999999E-2</v>
      </c>
      <c r="N196" s="619">
        <f t="shared" si="49"/>
        <v>4940.4782575057625</v>
      </c>
      <c r="R196" s="425"/>
    </row>
    <row r="197" spans="1:18">
      <c r="A197" s="210">
        <f t="shared" si="47"/>
        <v>183</v>
      </c>
      <c r="B197" s="1058">
        <v>39500</v>
      </c>
      <c r="C197" s="234" t="s">
        <v>1208</v>
      </c>
      <c r="D197" s="323">
        <v>0</v>
      </c>
      <c r="E197" s="623">
        <v>0</v>
      </c>
      <c r="F197" s="619">
        <f t="shared" si="50"/>
        <v>0</v>
      </c>
      <c r="G197" s="325">
        <f>G195</f>
        <v>9.8900000000000002E-2</v>
      </c>
      <c r="H197" s="325">
        <f>H195</f>
        <v>0.49440000000000001</v>
      </c>
      <c r="I197" s="619">
        <f t="shared" si="51"/>
        <v>0</v>
      </c>
      <c r="K197" s="323">
        <v>0</v>
      </c>
      <c r="L197" s="325">
        <f t="shared" si="52"/>
        <v>9.8900000000000002E-2</v>
      </c>
      <c r="M197" s="325">
        <f t="shared" si="48"/>
        <v>0.49440000000000001</v>
      </c>
      <c r="N197" s="619">
        <f t="shared" si="49"/>
        <v>0</v>
      </c>
      <c r="R197" s="425"/>
    </row>
    <row r="198" spans="1:18">
      <c r="A198" s="210">
        <f t="shared" si="47"/>
        <v>184</v>
      </c>
      <c r="B198" s="1058">
        <v>39700</v>
      </c>
      <c r="C198" s="234" t="s">
        <v>445</v>
      </c>
      <c r="D198" s="323">
        <v>1788308.12</v>
      </c>
      <c r="E198" s="623">
        <v>0</v>
      </c>
      <c r="F198" s="619">
        <f t="shared" si="50"/>
        <v>1788308.12</v>
      </c>
      <c r="G198" s="325">
        <f t="shared" si="56"/>
        <v>9.8900000000000002E-2</v>
      </c>
      <c r="H198" s="325">
        <f t="shared" si="59"/>
        <v>0.49440000000000001</v>
      </c>
      <c r="I198" s="619">
        <f t="shared" si="51"/>
        <v>87441.399964819197</v>
      </c>
      <c r="K198" s="323">
        <v>1788308.1200000008</v>
      </c>
      <c r="L198" s="325">
        <f t="shared" si="52"/>
        <v>9.8900000000000002E-2</v>
      </c>
      <c r="M198" s="325">
        <f t="shared" si="48"/>
        <v>0.49440000000000001</v>
      </c>
      <c r="N198" s="619">
        <f t="shared" si="49"/>
        <v>87441.39996481924</v>
      </c>
      <c r="R198" s="425"/>
    </row>
    <row r="199" spans="1:18">
      <c r="A199" s="210">
        <f t="shared" si="47"/>
        <v>185</v>
      </c>
      <c r="B199" s="1058">
        <v>39720</v>
      </c>
      <c r="C199" s="234" t="s">
        <v>1543</v>
      </c>
      <c r="D199" s="323">
        <v>8824.34</v>
      </c>
      <c r="E199" s="623">
        <v>0</v>
      </c>
      <c r="F199" s="619">
        <f t="shared" si="50"/>
        <v>8824.34</v>
      </c>
      <c r="G199" s="325">
        <v>1</v>
      </c>
      <c r="H199" s="325">
        <f>H192</f>
        <v>6.437198999999999E-2</v>
      </c>
      <c r="I199" s="619">
        <f t="shared" si="51"/>
        <v>568.04032623659987</v>
      </c>
      <c r="K199" s="323">
        <v>8824.3399999999983</v>
      </c>
      <c r="L199" s="325">
        <v>1</v>
      </c>
      <c r="M199" s="325">
        <f t="shared" si="48"/>
        <v>6.437198999999999E-2</v>
      </c>
      <c r="N199" s="619">
        <f t="shared" si="49"/>
        <v>568.04032623659975</v>
      </c>
      <c r="R199" s="425"/>
    </row>
    <row r="200" spans="1:18">
      <c r="A200" s="210">
        <f t="shared" si="47"/>
        <v>186</v>
      </c>
      <c r="B200" s="1058">
        <v>39800</v>
      </c>
      <c r="C200" s="234" t="s">
        <v>656</v>
      </c>
      <c r="D200" s="323">
        <v>136509.51999999999</v>
      </c>
      <c r="E200" s="623">
        <v>0</v>
      </c>
      <c r="F200" s="619">
        <f t="shared" si="50"/>
        <v>136509.51999999999</v>
      </c>
      <c r="G200" s="325">
        <f>G198</f>
        <v>9.8900000000000002E-2</v>
      </c>
      <c r="H200" s="325">
        <f>H198</f>
        <v>0.49440000000000001</v>
      </c>
      <c r="I200" s="619">
        <f t="shared" si="51"/>
        <v>6674.7913314431999</v>
      </c>
      <c r="K200" s="323">
        <v>136509.51999999999</v>
      </c>
      <c r="L200" s="325">
        <f t="shared" si="52"/>
        <v>9.8900000000000002E-2</v>
      </c>
      <c r="M200" s="325">
        <f t="shared" si="48"/>
        <v>0.49440000000000001</v>
      </c>
      <c r="N200" s="619">
        <f t="shared" si="49"/>
        <v>6674.7913314431999</v>
      </c>
      <c r="R200" s="425"/>
    </row>
    <row r="201" spans="1:18">
      <c r="A201" s="210">
        <f t="shared" si="47"/>
        <v>187</v>
      </c>
      <c r="B201" s="1058">
        <v>39820</v>
      </c>
      <c r="C201" s="234" t="s">
        <v>1544</v>
      </c>
      <c r="D201" s="323">
        <v>7388.39</v>
      </c>
      <c r="E201" s="623">
        <v>0</v>
      </c>
      <c r="F201" s="619">
        <f t="shared" si="50"/>
        <v>7388.39</v>
      </c>
      <c r="G201" s="325">
        <v>1</v>
      </c>
      <c r="H201" s="325">
        <f>H192</f>
        <v>6.437198999999999E-2</v>
      </c>
      <c r="I201" s="619">
        <f t="shared" si="51"/>
        <v>475.60536719609996</v>
      </c>
      <c r="K201" s="323">
        <v>7388.39</v>
      </c>
      <c r="L201" s="325">
        <v>1</v>
      </c>
      <c r="M201" s="325">
        <f t="shared" si="48"/>
        <v>6.437198999999999E-2</v>
      </c>
      <c r="N201" s="619">
        <f t="shared" si="49"/>
        <v>475.60536719609996</v>
      </c>
      <c r="R201" s="425"/>
    </row>
    <row r="202" spans="1:18">
      <c r="A202" s="210">
        <f t="shared" si="47"/>
        <v>188</v>
      </c>
      <c r="B202" s="1058">
        <v>39900</v>
      </c>
      <c r="C202" s="234" t="s">
        <v>1162</v>
      </c>
      <c r="D202" s="323">
        <v>162267.97</v>
      </c>
      <c r="E202" s="623">
        <v>0</v>
      </c>
      <c r="F202" s="619">
        <f t="shared" si="50"/>
        <v>162267.97</v>
      </c>
      <c r="G202" s="325">
        <f>G200</f>
        <v>9.8900000000000002E-2</v>
      </c>
      <c r="H202" s="325">
        <f>H200</f>
        <v>0.49440000000000001</v>
      </c>
      <c r="I202" s="619">
        <f t="shared" si="51"/>
        <v>7934.2806239952006</v>
      </c>
      <c r="K202" s="323">
        <v>162267.97</v>
      </c>
      <c r="L202" s="325">
        <f t="shared" si="52"/>
        <v>9.8900000000000002E-2</v>
      </c>
      <c r="M202" s="325">
        <f t="shared" si="48"/>
        <v>0.49440000000000001</v>
      </c>
      <c r="N202" s="619">
        <f t="shared" si="49"/>
        <v>7934.2806239952006</v>
      </c>
      <c r="R202" s="425"/>
    </row>
    <row r="203" spans="1:18">
      <c r="A203" s="210">
        <f t="shared" si="47"/>
        <v>189</v>
      </c>
      <c r="B203" s="1058">
        <v>39901</v>
      </c>
      <c r="C203" s="234" t="s">
        <v>479</v>
      </c>
      <c r="D203" s="323">
        <v>35071126.966007173</v>
      </c>
      <c r="E203" s="623">
        <v>0</v>
      </c>
      <c r="F203" s="619">
        <f t="shared" si="50"/>
        <v>35071126.966007173</v>
      </c>
      <c r="G203" s="325">
        <f t="shared" si="56"/>
        <v>9.8900000000000002E-2</v>
      </c>
      <c r="H203" s="325">
        <f t="shared" si="59"/>
        <v>0.49440000000000001</v>
      </c>
      <c r="I203" s="619">
        <f t="shared" si="51"/>
        <v>1714843.4355102014</v>
      </c>
      <c r="K203" s="323">
        <v>34681158.660527818</v>
      </c>
      <c r="L203" s="325">
        <f t="shared" si="52"/>
        <v>9.8900000000000002E-2</v>
      </c>
      <c r="M203" s="325">
        <f t="shared" si="48"/>
        <v>0.49440000000000001</v>
      </c>
      <c r="N203" s="619">
        <f t="shared" si="49"/>
        <v>1695775.4828505539</v>
      </c>
      <c r="R203" s="425"/>
    </row>
    <row r="204" spans="1:18">
      <c r="A204" s="210">
        <f t="shared" si="47"/>
        <v>190</v>
      </c>
      <c r="B204" s="1058">
        <v>39902</v>
      </c>
      <c r="C204" s="234" t="s">
        <v>968</v>
      </c>
      <c r="D204" s="323">
        <v>19005572.419999998</v>
      </c>
      <c r="E204" s="623">
        <v>0</v>
      </c>
      <c r="F204" s="619">
        <f t="shared" si="50"/>
        <v>19005572.419999998</v>
      </c>
      <c r="G204" s="325">
        <f t="shared" si="56"/>
        <v>9.8900000000000002E-2</v>
      </c>
      <c r="H204" s="325">
        <f t="shared" si="59"/>
        <v>0.49440000000000001</v>
      </c>
      <c r="I204" s="619">
        <f t="shared" si="51"/>
        <v>929299.50993990712</v>
      </c>
      <c r="K204" s="323">
        <v>19005572.419999994</v>
      </c>
      <c r="L204" s="325">
        <f t="shared" si="52"/>
        <v>9.8900000000000002E-2</v>
      </c>
      <c r="M204" s="325">
        <f t="shared" si="48"/>
        <v>0.49440000000000001</v>
      </c>
      <c r="N204" s="619">
        <f t="shared" si="49"/>
        <v>929299.509939907</v>
      </c>
      <c r="R204" s="425"/>
    </row>
    <row r="205" spans="1:18">
      <c r="A205" s="210">
        <f t="shared" si="47"/>
        <v>191</v>
      </c>
      <c r="B205" s="1058">
        <v>39903</v>
      </c>
      <c r="C205" s="234" t="s">
        <v>1011</v>
      </c>
      <c r="D205" s="323">
        <v>3548953.23</v>
      </c>
      <c r="E205" s="623">
        <v>0</v>
      </c>
      <c r="F205" s="619">
        <f t="shared" si="50"/>
        <v>3548953.23</v>
      </c>
      <c r="G205" s="325">
        <f t="shared" si="56"/>
        <v>9.8900000000000002E-2</v>
      </c>
      <c r="H205" s="325">
        <f t="shared" si="59"/>
        <v>0.49440000000000001</v>
      </c>
      <c r="I205" s="619">
        <f t="shared" si="51"/>
        <v>173530.1849665968</v>
      </c>
      <c r="K205" s="323">
        <v>3548953.2299999991</v>
      </c>
      <c r="L205" s="325">
        <f t="shared" si="52"/>
        <v>9.8900000000000002E-2</v>
      </c>
      <c r="M205" s="325">
        <f t="shared" si="48"/>
        <v>0.49440000000000001</v>
      </c>
      <c r="N205" s="619">
        <f t="shared" si="49"/>
        <v>173530.18496659675</v>
      </c>
      <c r="R205" s="425"/>
    </row>
    <row r="206" spans="1:18">
      <c r="A206" s="210">
        <f t="shared" si="47"/>
        <v>192</v>
      </c>
      <c r="B206" s="1058">
        <v>39904</v>
      </c>
      <c r="C206" s="234" t="s">
        <v>1187</v>
      </c>
      <c r="D206" s="323">
        <v>0</v>
      </c>
      <c r="E206" s="623">
        <v>0</v>
      </c>
      <c r="F206" s="619">
        <f t="shared" si="50"/>
        <v>0</v>
      </c>
      <c r="G206" s="325">
        <f t="shared" ref="G206:G210" si="60">G205</f>
        <v>9.8900000000000002E-2</v>
      </c>
      <c r="H206" s="325">
        <f t="shared" si="59"/>
        <v>0.49440000000000001</v>
      </c>
      <c r="I206" s="619">
        <f t="shared" si="51"/>
        <v>0</v>
      </c>
      <c r="K206" s="323">
        <v>0</v>
      </c>
      <c r="L206" s="325">
        <f t="shared" si="52"/>
        <v>9.8900000000000002E-2</v>
      </c>
      <c r="M206" s="325">
        <f t="shared" si="48"/>
        <v>0.49440000000000001</v>
      </c>
      <c r="N206" s="619">
        <f t="shared" si="49"/>
        <v>0</v>
      </c>
      <c r="R206" s="425"/>
    </row>
    <row r="207" spans="1:18">
      <c r="A207" s="210">
        <f t="shared" si="47"/>
        <v>193</v>
      </c>
      <c r="B207" s="1058">
        <v>39905</v>
      </c>
      <c r="C207" s="234" t="s">
        <v>502</v>
      </c>
      <c r="D207" s="323">
        <v>0</v>
      </c>
      <c r="E207" s="623">
        <v>0</v>
      </c>
      <c r="F207" s="619">
        <f t="shared" si="50"/>
        <v>0</v>
      </c>
      <c r="G207" s="325">
        <f t="shared" si="60"/>
        <v>9.8900000000000002E-2</v>
      </c>
      <c r="H207" s="325">
        <f t="shared" si="59"/>
        <v>0.49440000000000001</v>
      </c>
      <c r="I207" s="619">
        <f t="shared" si="51"/>
        <v>0</v>
      </c>
      <c r="K207" s="323">
        <v>0</v>
      </c>
      <c r="L207" s="325">
        <f t="shared" si="52"/>
        <v>9.8900000000000002E-2</v>
      </c>
      <c r="M207" s="325">
        <f t="shared" si="48"/>
        <v>0.49440000000000001</v>
      </c>
      <c r="N207" s="619">
        <f t="shared" si="49"/>
        <v>0</v>
      </c>
      <c r="R207" s="425"/>
    </row>
    <row r="208" spans="1:18">
      <c r="A208" s="210">
        <f t="shared" si="47"/>
        <v>194</v>
      </c>
      <c r="B208" s="1058">
        <v>39906</v>
      </c>
      <c r="C208" s="234" t="s">
        <v>456</v>
      </c>
      <c r="D208" s="323">
        <v>1832419.679885576</v>
      </c>
      <c r="E208" s="623">
        <v>0</v>
      </c>
      <c r="F208" s="619">
        <f t="shared" si="50"/>
        <v>1832419.679885576</v>
      </c>
      <c r="G208" s="325">
        <f t="shared" si="60"/>
        <v>9.8900000000000002E-2</v>
      </c>
      <c r="H208" s="325">
        <f t="shared" si="59"/>
        <v>0.49440000000000001</v>
      </c>
      <c r="I208" s="619">
        <f t="shared" si="51"/>
        <v>89598.285854833914</v>
      </c>
      <c r="K208" s="323">
        <v>1812255.4885791345</v>
      </c>
      <c r="L208" s="325">
        <f t="shared" si="52"/>
        <v>9.8900000000000002E-2</v>
      </c>
      <c r="M208" s="325">
        <f t="shared" si="48"/>
        <v>0.49440000000000001</v>
      </c>
      <c r="N208" s="619">
        <f t="shared" si="49"/>
        <v>88612.334330443526</v>
      </c>
      <c r="R208" s="425"/>
    </row>
    <row r="209" spans="1:18">
      <c r="A209" s="210">
        <f t="shared" si="47"/>
        <v>195</v>
      </c>
      <c r="B209" s="1058">
        <v>39907</v>
      </c>
      <c r="C209" s="234" t="s">
        <v>510</v>
      </c>
      <c r="D209" s="323">
        <v>1472508.4687512559</v>
      </c>
      <c r="E209" s="623">
        <v>0</v>
      </c>
      <c r="F209" s="619">
        <f t="shared" si="50"/>
        <v>1472508.4687512559</v>
      </c>
      <c r="G209" s="325">
        <f t="shared" si="60"/>
        <v>9.8900000000000002E-2</v>
      </c>
      <c r="H209" s="325">
        <f t="shared" si="59"/>
        <v>0.49440000000000001</v>
      </c>
      <c r="I209" s="619">
        <f t="shared" si="51"/>
        <v>72000.009689416402</v>
      </c>
      <c r="K209" s="323">
        <v>1473097.1146971728</v>
      </c>
      <c r="L209" s="325">
        <f t="shared" si="52"/>
        <v>9.8900000000000002E-2</v>
      </c>
      <c r="M209" s="325">
        <f t="shared" si="48"/>
        <v>0.49440000000000001</v>
      </c>
      <c r="N209" s="619">
        <f t="shared" si="49"/>
        <v>72028.792215771318</v>
      </c>
      <c r="R209" s="425"/>
    </row>
    <row r="210" spans="1:18">
      <c r="A210" s="210">
        <f t="shared" si="47"/>
        <v>196</v>
      </c>
      <c r="B210" s="1058">
        <v>39908</v>
      </c>
      <c r="C210" s="234" t="s">
        <v>180</v>
      </c>
      <c r="D210" s="323">
        <v>66470184.967220388</v>
      </c>
      <c r="E210" s="623">
        <v>0</v>
      </c>
      <c r="F210" s="619">
        <f t="shared" si="50"/>
        <v>66470184.967220388</v>
      </c>
      <c r="G210" s="325">
        <f t="shared" si="60"/>
        <v>9.8900000000000002E-2</v>
      </c>
      <c r="H210" s="325">
        <f t="shared" si="59"/>
        <v>0.49440000000000001</v>
      </c>
      <c r="I210" s="619">
        <f t="shared" si="51"/>
        <v>3250136.7993868026</v>
      </c>
      <c r="K210" s="323">
        <v>63125893.091210872</v>
      </c>
      <c r="L210" s="325">
        <f t="shared" si="52"/>
        <v>9.8900000000000002E-2</v>
      </c>
      <c r="M210" s="325">
        <f t="shared" si="48"/>
        <v>0.49440000000000001</v>
      </c>
      <c r="N210" s="619">
        <f t="shared" si="49"/>
        <v>3086613.7687307415</v>
      </c>
      <c r="R210" s="425"/>
    </row>
    <row r="211" spans="1:18">
      <c r="A211" s="210">
        <f t="shared" si="47"/>
        <v>197</v>
      </c>
      <c r="B211" s="1058">
        <v>39909</v>
      </c>
      <c r="C211" s="234" t="s">
        <v>346</v>
      </c>
      <c r="D211" s="323">
        <v>39251.620000000003</v>
      </c>
      <c r="E211" s="623">
        <v>0</v>
      </c>
      <c r="F211" s="619">
        <f t="shared" si="50"/>
        <v>39251.620000000003</v>
      </c>
      <c r="G211" s="325">
        <f>G209</f>
        <v>9.8900000000000002E-2</v>
      </c>
      <c r="H211" s="325">
        <f>H209</f>
        <v>0.49440000000000001</v>
      </c>
      <c r="I211" s="619">
        <f t="shared" si="51"/>
        <v>1919.2534917792002</v>
      </c>
      <c r="K211" s="323">
        <v>39251.620000000003</v>
      </c>
      <c r="L211" s="325">
        <f t="shared" ref="L211" si="61">G211</f>
        <v>9.8900000000000002E-2</v>
      </c>
      <c r="M211" s="325">
        <f>H211</f>
        <v>0.49440000000000001</v>
      </c>
      <c r="N211" s="619">
        <f t="shared" si="49"/>
        <v>1919.2534917792002</v>
      </c>
      <c r="R211" s="425"/>
    </row>
    <row r="212" spans="1:18">
      <c r="A212" s="210">
        <f t="shared" si="47"/>
        <v>198</v>
      </c>
      <c r="B212" s="1058">
        <v>39921</v>
      </c>
      <c r="C212" s="234" t="s">
        <v>1545</v>
      </c>
      <c r="D212" s="323">
        <v>1628899.91</v>
      </c>
      <c r="E212" s="623">
        <v>0</v>
      </c>
      <c r="F212" s="619">
        <f t="shared" si="50"/>
        <v>1628899.91</v>
      </c>
      <c r="G212" s="325">
        <v>1</v>
      </c>
      <c r="H212" s="325">
        <f>$H$192</f>
        <v>6.437198999999999E-2</v>
      </c>
      <c r="I212" s="619">
        <f t="shared" si="51"/>
        <v>104855.52871752088</v>
      </c>
      <c r="K212" s="323">
        <v>1628899.91</v>
      </c>
      <c r="L212" s="325">
        <v>1</v>
      </c>
      <c r="M212" s="325">
        <f t="shared" si="48"/>
        <v>6.437198999999999E-2</v>
      </c>
      <c r="N212" s="619">
        <f t="shared" si="49"/>
        <v>104855.52871752088</v>
      </c>
      <c r="R212" s="425"/>
    </row>
    <row r="213" spans="1:18">
      <c r="A213" s="210">
        <f t="shared" si="47"/>
        <v>199</v>
      </c>
      <c r="B213" s="1058">
        <v>39922</v>
      </c>
      <c r="C213" s="234" t="s">
        <v>1546</v>
      </c>
      <c r="D213" s="323">
        <v>961255.64</v>
      </c>
      <c r="E213" s="623">
        <v>0</v>
      </c>
      <c r="F213" s="619">
        <f t="shared" si="50"/>
        <v>961255.64</v>
      </c>
      <c r="G213" s="325">
        <v>1</v>
      </c>
      <c r="H213" s="325">
        <f t="shared" ref="H213:H214" si="62">$H$192</f>
        <v>6.437198999999999E-2</v>
      </c>
      <c r="I213" s="619">
        <f t="shared" si="51"/>
        <v>61877.938445523592</v>
      </c>
      <c r="K213" s="323">
        <v>961255.64000000013</v>
      </c>
      <c r="L213" s="325">
        <v>1</v>
      </c>
      <c r="M213" s="325">
        <f t="shared" si="48"/>
        <v>6.437198999999999E-2</v>
      </c>
      <c r="N213" s="619">
        <f t="shared" si="49"/>
        <v>61877.9384455236</v>
      </c>
      <c r="R213" s="425"/>
    </row>
    <row r="214" spans="1:18">
      <c r="A214" s="210">
        <f t="shared" si="47"/>
        <v>200</v>
      </c>
      <c r="B214" s="1058">
        <v>39923</v>
      </c>
      <c r="C214" s="234" t="s">
        <v>1547</v>
      </c>
      <c r="D214" s="323">
        <v>60170.36</v>
      </c>
      <c r="E214" s="623">
        <v>0</v>
      </c>
      <c r="F214" s="619">
        <f t="shared" si="50"/>
        <v>60170.36</v>
      </c>
      <c r="G214" s="325">
        <v>1</v>
      </c>
      <c r="H214" s="325">
        <f t="shared" si="62"/>
        <v>6.437198999999999E-2</v>
      </c>
      <c r="I214" s="619">
        <f t="shared" si="51"/>
        <v>3873.2858122163993</v>
      </c>
      <c r="K214" s="323">
        <v>60170.359999999993</v>
      </c>
      <c r="L214" s="325">
        <v>1</v>
      </c>
      <c r="M214" s="325">
        <f t="shared" si="48"/>
        <v>6.437198999999999E-2</v>
      </c>
      <c r="N214" s="619">
        <f t="shared" si="49"/>
        <v>3873.2858122163989</v>
      </c>
      <c r="R214" s="425"/>
    </row>
    <row r="215" spans="1:18">
      <c r="A215" s="210">
        <f t="shared" si="47"/>
        <v>201</v>
      </c>
      <c r="B215" s="1058">
        <v>39924</v>
      </c>
      <c r="C215" s="234" t="s">
        <v>1413</v>
      </c>
      <c r="D215" s="323">
        <v>0</v>
      </c>
      <c r="E215" s="623">
        <v>0</v>
      </c>
      <c r="F215" s="619">
        <f t="shared" si="50"/>
        <v>0</v>
      </c>
      <c r="G215" s="325">
        <f>G210</f>
        <v>9.8900000000000002E-2</v>
      </c>
      <c r="H215" s="325">
        <f>H210</f>
        <v>0.49440000000000001</v>
      </c>
      <c r="I215" s="619">
        <f t="shared" si="51"/>
        <v>0</v>
      </c>
      <c r="K215" s="323">
        <v>0</v>
      </c>
      <c r="L215" s="325">
        <f t="shared" si="52"/>
        <v>9.8900000000000002E-2</v>
      </c>
      <c r="M215" s="325">
        <f t="shared" si="48"/>
        <v>0.49440000000000001</v>
      </c>
      <c r="N215" s="619">
        <f t="shared" si="49"/>
        <v>0</v>
      </c>
      <c r="R215" s="425"/>
    </row>
    <row r="216" spans="1:18">
      <c r="A216" s="210">
        <f t="shared" si="47"/>
        <v>202</v>
      </c>
      <c r="B216" s="1058">
        <v>39926</v>
      </c>
      <c r="C216" s="234" t="s">
        <v>1556</v>
      </c>
      <c r="D216" s="323">
        <v>351204.64984342962</v>
      </c>
      <c r="E216" s="623">
        <v>0</v>
      </c>
      <c r="F216" s="619">
        <f t="shared" si="50"/>
        <v>351204.64984342962</v>
      </c>
      <c r="G216" s="325">
        <v>1</v>
      </c>
      <c r="H216" s="325">
        <f>$H$214</f>
        <v>6.437198999999999E-2</v>
      </c>
      <c r="I216" s="619">
        <f t="shared" si="51"/>
        <v>22607.74220767475</v>
      </c>
      <c r="K216" s="323">
        <v>326577.04995390249</v>
      </c>
      <c r="L216" s="325">
        <v>1</v>
      </c>
      <c r="M216" s="325">
        <f t="shared" si="48"/>
        <v>6.437198999999999E-2</v>
      </c>
      <c r="N216" s="619">
        <f t="shared" si="49"/>
        <v>21022.414593862108</v>
      </c>
      <c r="R216" s="425"/>
    </row>
    <row r="217" spans="1:18">
      <c r="A217" s="210">
        <f t="shared" si="47"/>
        <v>203</v>
      </c>
      <c r="B217" s="1058">
        <v>39928</v>
      </c>
      <c r="C217" s="234" t="s">
        <v>1557</v>
      </c>
      <c r="D217" s="323">
        <v>19396382.179999996</v>
      </c>
      <c r="E217" s="623">
        <v>0</v>
      </c>
      <c r="F217" s="619">
        <f t="shared" si="50"/>
        <v>19396382.179999996</v>
      </c>
      <c r="G217" s="325">
        <v>1</v>
      </c>
      <c r="H217" s="325">
        <f t="shared" ref="H217" si="63">$H$214</f>
        <v>6.437198999999999E-2</v>
      </c>
      <c r="I217" s="619">
        <f t="shared" si="51"/>
        <v>1248583.7197271378</v>
      </c>
      <c r="K217" s="323">
        <v>19325874.901538465</v>
      </c>
      <c r="L217" s="325">
        <v>1</v>
      </c>
      <c r="M217" s="325">
        <f t="shared" si="48"/>
        <v>6.437198999999999E-2</v>
      </c>
      <c r="N217" s="619">
        <f t="shared" si="49"/>
        <v>1244045.0259030848</v>
      </c>
      <c r="R217" s="425"/>
    </row>
    <row r="218" spans="1:18">
      <c r="A218" s="210">
        <f t="shared" si="47"/>
        <v>204</v>
      </c>
      <c r="B218" s="1058">
        <v>39931</v>
      </c>
      <c r="C218" s="234" t="s">
        <v>1558</v>
      </c>
      <c r="D218" s="323">
        <v>299424.38376368739</v>
      </c>
      <c r="E218" s="623">
        <v>0</v>
      </c>
      <c r="F218" s="619">
        <f t="shared" si="50"/>
        <v>299424.38376368739</v>
      </c>
      <c r="G218" s="325">
        <v>1</v>
      </c>
      <c r="H218" s="325">
        <f>Allocation!$E$23</f>
        <v>0</v>
      </c>
      <c r="I218" s="619">
        <f t="shared" si="51"/>
        <v>0</v>
      </c>
      <c r="K218" s="323">
        <v>297703.32704114646</v>
      </c>
      <c r="L218" s="325">
        <v>1</v>
      </c>
      <c r="M218" s="325">
        <f t="shared" si="48"/>
        <v>0</v>
      </c>
      <c r="N218" s="619">
        <f t="shared" si="49"/>
        <v>0</v>
      </c>
      <c r="R218" s="425"/>
    </row>
    <row r="219" spans="1:18">
      <c r="A219" s="210">
        <f t="shared" si="47"/>
        <v>205</v>
      </c>
      <c r="B219" s="1058">
        <v>39932</v>
      </c>
      <c r="C219" s="234" t="s">
        <v>1559</v>
      </c>
      <c r="D219" s="323">
        <v>348448.79839658114</v>
      </c>
      <c r="E219" s="623">
        <v>0</v>
      </c>
      <c r="F219" s="619">
        <f t="shared" si="50"/>
        <v>348448.79839658114</v>
      </c>
      <c r="G219" s="325">
        <v>1</v>
      </c>
      <c r="H219" s="325">
        <f>Allocation!$E$23</f>
        <v>0</v>
      </c>
      <c r="I219" s="619">
        <f t="shared" si="51"/>
        <v>0</v>
      </c>
      <c r="K219" s="323">
        <v>346279.97708579502</v>
      </c>
      <c r="L219" s="325">
        <v>1</v>
      </c>
      <c r="M219" s="325">
        <f t="shared" ref="M219:M220" si="64">H219</f>
        <v>0</v>
      </c>
      <c r="N219" s="619">
        <f t="shared" si="49"/>
        <v>0</v>
      </c>
      <c r="R219" s="425"/>
    </row>
    <row r="220" spans="1:18">
      <c r="A220" s="210">
        <f t="shared" si="47"/>
        <v>206</v>
      </c>
      <c r="B220" s="1058">
        <v>39938</v>
      </c>
      <c r="C220" s="234" t="s">
        <v>1560</v>
      </c>
      <c r="D220" s="323">
        <v>17687656.864889119</v>
      </c>
      <c r="E220" s="623">
        <v>0</v>
      </c>
      <c r="F220" s="619">
        <f t="shared" si="50"/>
        <v>17687656.864889119</v>
      </c>
      <c r="G220" s="325">
        <v>1</v>
      </c>
      <c r="H220" s="325">
        <f>Allocation!$E$23</f>
        <v>0</v>
      </c>
      <c r="I220" s="619">
        <f t="shared" si="51"/>
        <v>0</v>
      </c>
      <c r="K220" s="323">
        <v>17551622.810899321</v>
      </c>
      <c r="L220" s="325">
        <v>1</v>
      </c>
      <c r="M220" s="325">
        <f t="shared" si="64"/>
        <v>0</v>
      </c>
      <c r="N220" s="619">
        <f t="shared" si="49"/>
        <v>0</v>
      </c>
      <c r="R220" s="425"/>
    </row>
    <row r="221" spans="1:18">
      <c r="A221" s="210">
        <f t="shared" si="47"/>
        <v>207</v>
      </c>
      <c r="B221" s="1059"/>
      <c r="C221" s="234"/>
      <c r="D221" s="621"/>
      <c r="E221" s="621"/>
      <c r="F221" s="621"/>
      <c r="H221" s="325"/>
      <c r="K221" s="621"/>
      <c r="N221" s="621"/>
    </row>
    <row r="222" spans="1:18" ht="15.75" thickBot="1">
      <c r="A222" s="210">
        <f t="shared" si="47"/>
        <v>208</v>
      </c>
      <c r="B222" s="1059"/>
      <c r="C222" s="234" t="s">
        <v>1340</v>
      </c>
      <c r="D222" s="513">
        <f>SUM(D183:D220)</f>
        <v>196011888.53000003</v>
      </c>
      <c r="E222" s="513">
        <f>SUM(E183:E220)</f>
        <v>0</v>
      </c>
      <c r="F222" s="513">
        <f>SUM(F183:F220)</f>
        <v>196011888.53000003</v>
      </c>
      <c r="G222" s="1037"/>
      <c r="H222" s="1037"/>
      <c r="I222" s="513">
        <f>SUM(I183:I220)</f>
        <v>8734312.6655463185</v>
      </c>
      <c r="J222" s="812"/>
      <c r="K222" s="513">
        <f>SUM(K183:K220)</f>
        <v>193042359.45153844</v>
      </c>
      <c r="L222" s="1037"/>
      <c r="M222" s="1037"/>
      <c r="N222" s="513">
        <f>SUM(N183:N220)</f>
        <v>8592935.7912685331</v>
      </c>
    </row>
    <row r="223" spans="1:18" ht="15.75" thickTop="1">
      <c r="A223" s="210">
        <f t="shared" si="47"/>
        <v>209</v>
      </c>
      <c r="B223" s="1059"/>
      <c r="C223" s="234"/>
      <c r="D223" s="323"/>
      <c r="E223" s="323"/>
      <c r="F223" s="323"/>
      <c r="I223" s="323"/>
    </row>
    <row r="224" spans="1:18">
      <c r="A224" s="210">
        <f t="shared" si="47"/>
        <v>210</v>
      </c>
      <c r="B224" s="1059"/>
      <c r="C224" s="196" t="s">
        <v>756</v>
      </c>
      <c r="D224" s="323">
        <v>8866626.7499999981</v>
      </c>
      <c r="E224" s="323">
        <v>0</v>
      </c>
      <c r="F224" s="323">
        <f>D224+E224</f>
        <v>8866626.7499999981</v>
      </c>
      <c r="G224" s="325">
        <f>G215</f>
        <v>9.8900000000000002E-2</v>
      </c>
      <c r="H224" s="325">
        <f>H215</f>
        <v>0.49440000000000001</v>
      </c>
      <c r="I224" s="323">
        <f>F224*G224*H224</f>
        <v>433544.00022827991</v>
      </c>
      <c r="K224" s="323">
        <v>7920492.2315384597</v>
      </c>
      <c r="L224" s="325">
        <f>G224</f>
        <v>9.8900000000000002E-2</v>
      </c>
      <c r="M224" s="325">
        <f>H224</f>
        <v>0.49440000000000001</v>
      </c>
      <c r="N224" s="323">
        <f>K224*L224*M224</f>
        <v>387281.65543206153</v>
      </c>
    </row>
    <row r="225" spans="1:18">
      <c r="A225" s="210">
        <f t="shared" si="47"/>
        <v>211</v>
      </c>
      <c r="B225" s="1059"/>
    </row>
    <row r="226" spans="1:18" ht="15.75">
      <c r="A226" s="210">
        <f t="shared" si="47"/>
        <v>212</v>
      </c>
      <c r="B226" s="1055" t="s">
        <v>9</v>
      </c>
    </row>
    <row r="227" spans="1:18">
      <c r="A227" s="210">
        <f t="shared" si="47"/>
        <v>213</v>
      </c>
      <c r="B227" s="1059"/>
    </row>
    <row r="228" spans="1:18">
      <c r="A228" s="210">
        <f t="shared" si="47"/>
        <v>214</v>
      </c>
      <c r="B228" s="1059"/>
      <c r="C228" s="622" t="s">
        <v>305</v>
      </c>
    </row>
    <row r="229" spans="1:18">
      <c r="A229" s="210">
        <f t="shared" si="47"/>
        <v>215</v>
      </c>
      <c r="B229" s="1058">
        <v>38900</v>
      </c>
      <c r="C229" s="234" t="s">
        <v>296</v>
      </c>
      <c r="D229" s="323">
        <v>2874239.86</v>
      </c>
      <c r="E229" s="361">
        <v>0</v>
      </c>
      <c r="F229" s="361">
        <f>D229+E229</f>
        <v>2874239.86</v>
      </c>
      <c r="G229" s="325">
        <f>Allocation!$G$15</f>
        <v>0.10929999999999999</v>
      </c>
      <c r="H229" s="325">
        <f>Allocation!$H$15</f>
        <v>0.51883860656465508</v>
      </c>
      <c r="I229" s="361">
        <f>F229*G229*H229</f>
        <v>162995.43980572233</v>
      </c>
      <c r="K229" s="323">
        <v>2874239.86</v>
      </c>
      <c r="L229" s="325">
        <f>G229</f>
        <v>0.10929999999999999</v>
      </c>
      <c r="M229" s="325">
        <f>H229</f>
        <v>0.51883860656465508</v>
      </c>
      <c r="N229" s="361">
        <f>K229*L229*M229</f>
        <v>162995.43980572233</v>
      </c>
      <c r="P229" s="1058"/>
      <c r="R229" s="425"/>
    </row>
    <row r="230" spans="1:18">
      <c r="A230" s="210">
        <f t="shared" si="47"/>
        <v>216</v>
      </c>
      <c r="B230" s="1058">
        <v>38910</v>
      </c>
      <c r="C230" s="234" t="s">
        <v>1209</v>
      </c>
      <c r="D230" s="323">
        <v>1887122.88</v>
      </c>
      <c r="E230" s="619">
        <v>0</v>
      </c>
      <c r="F230" s="620">
        <f>D230+E230</f>
        <v>1887122.88</v>
      </c>
      <c r="G230" s="468">
        <v>1</v>
      </c>
      <c r="H230" s="468">
        <f>Allocation!$I$21</f>
        <v>2.3324339999999999E-2</v>
      </c>
      <c r="I230" s="619">
        <f>F230*G230*H230</f>
        <v>44015.895674899199</v>
      </c>
      <c r="K230" s="323">
        <v>1887122.8799999992</v>
      </c>
      <c r="L230" s="325">
        <f>G230</f>
        <v>1</v>
      </c>
      <c r="M230" s="325">
        <f>H230</f>
        <v>2.3324339999999999E-2</v>
      </c>
      <c r="N230" s="619">
        <f>K230*L230*M230</f>
        <v>44015.895674899177</v>
      </c>
      <c r="P230" s="1058"/>
      <c r="R230" s="425"/>
    </row>
    <row r="231" spans="1:18">
      <c r="A231" s="210">
        <f t="shared" si="47"/>
        <v>217</v>
      </c>
      <c r="B231" s="1058">
        <v>39000</v>
      </c>
      <c r="C231" s="234" t="s">
        <v>863</v>
      </c>
      <c r="D231" s="323">
        <v>12620665.26</v>
      </c>
      <c r="E231" s="619">
        <v>0</v>
      </c>
      <c r="F231" s="620">
        <f t="shared" ref="F231:F252" si="65">D231+E231</f>
        <v>12620665.26</v>
      </c>
      <c r="G231" s="325">
        <f>$G$229</f>
        <v>0.10929999999999999</v>
      </c>
      <c r="H231" s="325">
        <f>$H$229</f>
        <v>0.51883860656465508</v>
      </c>
      <c r="I231" s="619">
        <f t="shared" ref="I231:I257" si="66">F231*G231*H231</f>
        <v>715706.05965171626</v>
      </c>
      <c r="K231" s="323">
        <v>12620665.26</v>
      </c>
      <c r="L231" s="325">
        <f t="shared" ref="L231:L252" si="67">G231</f>
        <v>0.10929999999999999</v>
      </c>
      <c r="M231" s="325">
        <f t="shared" ref="M231:M252" si="68">H231</f>
        <v>0.51883860656465508</v>
      </c>
      <c r="N231" s="619">
        <f t="shared" ref="N231:N257" si="69">K231*L231*M231</f>
        <v>715706.05965171626</v>
      </c>
      <c r="P231" s="1058"/>
      <c r="R231" s="425"/>
    </row>
    <row r="232" spans="1:18">
      <c r="A232" s="210">
        <f t="shared" si="47"/>
        <v>218</v>
      </c>
      <c r="B232" s="1058">
        <v>39009</v>
      </c>
      <c r="C232" s="234" t="s">
        <v>1045</v>
      </c>
      <c r="D232" s="323">
        <v>2820613.55</v>
      </c>
      <c r="E232" s="619">
        <v>0</v>
      </c>
      <c r="F232" s="620">
        <f t="shared" si="65"/>
        <v>2820613.55</v>
      </c>
      <c r="G232" s="325">
        <f>$G$229</f>
        <v>0.10929999999999999</v>
      </c>
      <c r="H232" s="325">
        <f>$H$229</f>
        <v>0.51883860656465508</v>
      </c>
      <c r="I232" s="619">
        <f t="shared" si="66"/>
        <v>159954.34219057477</v>
      </c>
      <c r="K232" s="323">
        <v>2820613.55</v>
      </c>
      <c r="L232" s="325">
        <f t="shared" si="67"/>
        <v>0.10929999999999999</v>
      </c>
      <c r="M232" s="325">
        <f t="shared" si="68"/>
        <v>0.51883860656465508</v>
      </c>
      <c r="N232" s="619">
        <f t="shared" si="69"/>
        <v>159954.34219057477</v>
      </c>
      <c r="P232" s="1058"/>
      <c r="R232" s="425"/>
    </row>
    <row r="233" spans="1:18">
      <c r="A233" s="210">
        <f t="shared" si="47"/>
        <v>219</v>
      </c>
      <c r="B233" s="1058">
        <v>39010</v>
      </c>
      <c r="C233" s="234" t="s">
        <v>1210</v>
      </c>
      <c r="D233" s="323">
        <v>15226913.214719897</v>
      </c>
      <c r="E233" s="619">
        <v>0</v>
      </c>
      <c r="F233" s="620">
        <f t="shared" ref="F233" si="70">D233+E233</f>
        <v>15226913.214719897</v>
      </c>
      <c r="G233" s="468">
        <v>1</v>
      </c>
      <c r="H233" s="468">
        <f>$H$230</f>
        <v>2.3324339999999999E-2</v>
      </c>
      <c r="I233" s="619">
        <f t="shared" si="66"/>
        <v>355157.70097061986</v>
      </c>
      <c r="K233" s="323">
        <v>12646969.404175978</v>
      </c>
      <c r="L233" s="325">
        <f t="shared" ref="L233" si="71">G233</f>
        <v>1</v>
      </c>
      <c r="M233" s="325">
        <f t="shared" ref="M233" si="72">H233</f>
        <v>2.3324339999999999E-2</v>
      </c>
      <c r="N233" s="619">
        <f t="shared" si="69"/>
        <v>294982.21435259795</v>
      </c>
      <c r="P233" s="1058"/>
      <c r="R233" s="425"/>
    </row>
    <row r="234" spans="1:18">
      <c r="A234" s="210">
        <f t="shared" si="47"/>
        <v>220</v>
      </c>
      <c r="B234" s="1058">
        <v>39100</v>
      </c>
      <c r="C234" s="234" t="s">
        <v>786</v>
      </c>
      <c r="D234" s="323">
        <v>2393125.4633110939</v>
      </c>
      <c r="E234" s="619">
        <v>0</v>
      </c>
      <c r="F234" s="620">
        <f t="shared" si="65"/>
        <v>2393125.4633110939</v>
      </c>
      <c r="G234" s="325">
        <f>$G$229</f>
        <v>0.10929999999999999</v>
      </c>
      <c r="H234" s="325">
        <f>$H$229</f>
        <v>0.51883860656465508</v>
      </c>
      <c r="I234" s="619">
        <f t="shared" si="66"/>
        <v>135711.89476255636</v>
      </c>
      <c r="K234" s="323">
        <v>2374128.36787776</v>
      </c>
      <c r="L234" s="325">
        <f t="shared" si="67"/>
        <v>0.10929999999999999</v>
      </c>
      <c r="M234" s="325">
        <f t="shared" si="68"/>
        <v>0.51883860656465508</v>
      </c>
      <c r="N234" s="619">
        <f t="shared" si="69"/>
        <v>134634.58734354802</v>
      </c>
      <c r="P234" s="1058"/>
      <c r="R234" s="425"/>
    </row>
    <row r="235" spans="1:18">
      <c r="A235" s="210">
        <f t="shared" si="47"/>
        <v>221</v>
      </c>
      <c r="B235" s="1058">
        <v>39101</v>
      </c>
      <c r="C235" s="234" t="s">
        <v>1538</v>
      </c>
      <c r="D235" s="323">
        <v>0</v>
      </c>
      <c r="E235" s="619">
        <v>0</v>
      </c>
      <c r="F235" s="620">
        <f t="shared" si="65"/>
        <v>0</v>
      </c>
      <c r="G235" s="325">
        <f t="shared" ref="G235:G236" si="73">$G$229</f>
        <v>0.10929999999999999</v>
      </c>
      <c r="H235" s="325">
        <f t="shared" ref="H235:H236" si="74">$H$229</f>
        <v>0.51883860656465508</v>
      </c>
      <c r="I235" s="619">
        <f t="shared" si="66"/>
        <v>0</v>
      </c>
      <c r="K235" s="323">
        <v>0</v>
      </c>
      <c r="L235" s="325">
        <f t="shared" ref="L235:L236" si="75">G235</f>
        <v>0.10929999999999999</v>
      </c>
      <c r="M235" s="325">
        <f t="shared" ref="M235:M236" si="76">H235</f>
        <v>0.51883860656465508</v>
      </c>
      <c r="N235" s="619">
        <f t="shared" si="69"/>
        <v>0</v>
      </c>
      <c r="P235" s="1058"/>
      <c r="R235" s="425"/>
    </row>
    <row r="236" spans="1:18">
      <c r="A236" s="210">
        <f t="shared" si="47"/>
        <v>222</v>
      </c>
      <c r="B236" s="1058">
        <v>39102</v>
      </c>
      <c r="C236" s="234" t="s">
        <v>1548</v>
      </c>
      <c r="D236" s="323">
        <v>0</v>
      </c>
      <c r="E236" s="619">
        <v>0</v>
      </c>
      <c r="F236" s="620">
        <f t="shared" si="65"/>
        <v>0</v>
      </c>
      <c r="G236" s="325">
        <f t="shared" si="73"/>
        <v>0.10929999999999999</v>
      </c>
      <c r="H236" s="325">
        <f t="shared" si="74"/>
        <v>0.51883860656465508</v>
      </c>
      <c r="I236" s="619">
        <f t="shared" si="66"/>
        <v>0</v>
      </c>
      <c r="K236" s="323">
        <v>0</v>
      </c>
      <c r="L236" s="325">
        <f t="shared" si="75"/>
        <v>0.10929999999999999</v>
      </c>
      <c r="M236" s="325">
        <f t="shared" si="76"/>
        <v>0.51883860656465508</v>
      </c>
      <c r="N236" s="619">
        <f t="shared" si="69"/>
        <v>0</v>
      </c>
      <c r="P236" s="1058"/>
      <c r="R236" s="425"/>
    </row>
    <row r="237" spans="1:18">
      <c r="A237" s="210">
        <f t="shared" ref="A237:A247" si="77">A236+1</f>
        <v>223</v>
      </c>
      <c r="B237" s="1058">
        <v>39103</v>
      </c>
      <c r="C237" s="234" t="s">
        <v>1342</v>
      </c>
      <c r="D237" s="323">
        <v>0</v>
      </c>
      <c r="E237" s="619">
        <v>0</v>
      </c>
      <c r="F237" s="620">
        <f t="shared" ref="F237:F241" si="78">D237+E237</f>
        <v>0</v>
      </c>
      <c r="G237" s="325">
        <f>$G$229</f>
        <v>0.10929999999999999</v>
      </c>
      <c r="H237" s="325">
        <f>$H$229</f>
        <v>0.51883860656465508</v>
      </c>
      <c r="I237" s="619">
        <f t="shared" si="66"/>
        <v>0</v>
      </c>
      <c r="K237" s="323">
        <v>0</v>
      </c>
      <c r="L237" s="325">
        <f t="shared" ref="L237:L238" si="79">G237</f>
        <v>0.10929999999999999</v>
      </c>
      <c r="M237" s="325">
        <f t="shared" ref="M237:M238" si="80">H237</f>
        <v>0.51883860656465508</v>
      </c>
      <c r="N237" s="619">
        <f t="shared" si="69"/>
        <v>0</v>
      </c>
      <c r="P237" s="1058"/>
      <c r="R237" s="425"/>
    </row>
    <row r="238" spans="1:18">
      <c r="A238" s="210">
        <f t="shared" si="77"/>
        <v>224</v>
      </c>
      <c r="B238" s="1058">
        <v>39110</v>
      </c>
      <c r="C238" s="234" t="s">
        <v>1549</v>
      </c>
      <c r="D238" s="323">
        <v>895316.76979955123</v>
      </c>
      <c r="E238" s="619">
        <v>0</v>
      </c>
      <c r="F238" s="620">
        <f t="shared" si="78"/>
        <v>895316.76979955123</v>
      </c>
      <c r="G238" s="468">
        <v>1</v>
      </c>
      <c r="H238" s="468">
        <f>$H$230</f>
        <v>2.3324339999999999E-2</v>
      </c>
      <c r="I238" s="619">
        <f t="shared" si="66"/>
        <v>20882.672746506465</v>
      </c>
      <c r="K238" s="323">
        <v>443356.88050766505</v>
      </c>
      <c r="L238" s="325">
        <f t="shared" si="79"/>
        <v>1</v>
      </c>
      <c r="M238" s="325">
        <f t="shared" si="80"/>
        <v>2.3324339999999999E-2</v>
      </c>
      <c r="N238" s="619">
        <f t="shared" si="69"/>
        <v>10341.006622300152</v>
      </c>
      <c r="P238" s="1058"/>
      <c r="R238" s="425"/>
    </row>
    <row r="239" spans="1:18">
      <c r="A239" s="210">
        <f t="shared" si="77"/>
        <v>225</v>
      </c>
      <c r="B239" s="1058">
        <v>39210</v>
      </c>
      <c r="C239" s="234" t="s">
        <v>1550</v>
      </c>
      <c r="D239" s="323">
        <v>96290.22</v>
      </c>
      <c r="E239" s="619">
        <v>0</v>
      </c>
      <c r="F239" s="620">
        <f t="shared" si="78"/>
        <v>96290.22</v>
      </c>
      <c r="G239" s="468">
        <v>1</v>
      </c>
      <c r="H239" s="468">
        <f t="shared" ref="H239:H241" si="81">$H$230</f>
        <v>2.3324339999999999E-2</v>
      </c>
      <c r="I239" s="619">
        <f t="shared" si="66"/>
        <v>2245.9058299548001</v>
      </c>
      <c r="K239" s="323">
        <v>96290.219999999987</v>
      </c>
      <c r="L239" s="325">
        <f t="shared" ref="L239:L241" si="82">G239</f>
        <v>1</v>
      </c>
      <c r="M239" s="325">
        <f t="shared" ref="M239:M241" si="83">H239</f>
        <v>2.3324339999999999E-2</v>
      </c>
      <c r="N239" s="619">
        <f t="shared" si="69"/>
        <v>2245.9058299547996</v>
      </c>
      <c r="P239" s="1058"/>
      <c r="R239" s="425"/>
    </row>
    <row r="240" spans="1:18">
      <c r="A240" s="210">
        <f t="shared" si="77"/>
        <v>226</v>
      </c>
      <c r="B240" s="1058">
        <v>39410</v>
      </c>
      <c r="C240" s="234" t="s">
        <v>1551</v>
      </c>
      <c r="D240" s="323">
        <v>347774.5</v>
      </c>
      <c r="E240" s="619">
        <v>0</v>
      </c>
      <c r="F240" s="620">
        <f t="shared" si="78"/>
        <v>347774.5</v>
      </c>
      <c r="G240" s="468">
        <v>1</v>
      </c>
      <c r="H240" s="468">
        <f t="shared" si="81"/>
        <v>2.3324339999999999E-2</v>
      </c>
      <c r="I240" s="619">
        <f t="shared" si="66"/>
        <v>8111.6106813299994</v>
      </c>
      <c r="K240" s="323">
        <v>347774.5</v>
      </c>
      <c r="L240" s="325">
        <f t="shared" si="82"/>
        <v>1</v>
      </c>
      <c r="M240" s="325">
        <f t="shared" si="83"/>
        <v>2.3324339999999999E-2</v>
      </c>
      <c r="N240" s="619">
        <f t="shared" si="69"/>
        <v>8111.6106813299994</v>
      </c>
      <c r="P240" s="1058"/>
      <c r="R240" s="425"/>
    </row>
    <row r="241" spans="1:18">
      <c r="A241" s="210">
        <f t="shared" si="77"/>
        <v>227</v>
      </c>
      <c r="B241" s="1058">
        <v>39510</v>
      </c>
      <c r="C241" s="234" t="s">
        <v>1552</v>
      </c>
      <c r="D241" s="323">
        <v>23632.07</v>
      </c>
      <c r="E241" s="619">
        <v>0</v>
      </c>
      <c r="F241" s="620">
        <f t="shared" si="78"/>
        <v>23632.07</v>
      </c>
      <c r="G241" s="468">
        <v>1</v>
      </c>
      <c r="H241" s="468">
        <f t="shared" si="81"/>
        <v>2.3324339999999999E-2</v>
      </c>
      <c r="I241" s="619">
        <f t="shared" si="66"/>
        <v>551.20243558380002</v>
      </c>
      <c r="K241" s="323">
        <v>23632.070000000003</v>
      </c>
      <c r="L241" s="325">
        <f t="shared" si="82"/>
        <v>1</v>
      </c>
      <c r="M241" s="325">
        <f t="shared" si="83"/>
        <v>2.3324339999999999E-2</v>
      </c>
      <c r="N241" s="619">
        <f t="shared" si="69"/>
        <v>551.20243558380002</v>
      </c>
      <c r="P241" s="1058"/>
      <c r="R241" s="425"/>
    </row>
    <row r="242" spans="1:18">
      <c r="A242" s="210">
        <f t="shared" si="77"/>
        <v>228</v>
      </c>
      <c r="B242" s="1058">
        <v>39700</v>
      </c>
      <c r="C242" s="234" t="s">
        <v>445</v>
      </c>
      <c r="D242" s="323">
        <v>1913117.11</v>
      </c>
      <c r="E242" s="619">
        <v>0</v>
      </c>
      <c r="F242" s="620">
        <f t="shared" si="65"/>
        <v>1913117.11</v>
      </c>
      <c r="G242" s="325">
        <f>$G$229</f>
        <v>0.10929999999999999</v>
      </c>
      <c r="H242" s="325">
        <f>$H$229</f>
        <v>0.51883860656465508</v>
      </c>
      <c r="I242" s="619">
        <f t="shared" si="66"/>
        <v>108491.07239933081</v>
      </c>
      <c r="K242" s="323">
        <v>1913117.1099999996</v>
      </c>
      <c r="L242" s="325">
        <f t="shared" si="67"/>
        <v>0.10929999999999999</v>
      </c>
      <c r="M242" s="325">
        <f t="shared" si="68"/>
        <v>0.51883860656465508</v>
      </c>
      <c r="N242" s="619">
        <f t="shared" si="69"/>
        <v>108491.07239933079</v>
      </c>
      <c r="P242" s="1058"/>
      <c r="R242" s="425"/>
    </row>
    <row r="243" spans="1:18">
      <c r="A243" s="210">
        <f t="shared" si="77"/>
        <v>229</v>
      </c>
      <c r="B243" s="1058">
        <v>39710</v>
      </c>
      <c r="C243" s="234" t="s">
        <v>1211</v>
      </c>
      <c r="D243" s="323">
        <v>294319.45</v>
      </c>
      <c r="E243" s="619">
        <v>0</v>
      </c>
      <c r="F243" s="620">
        <f>D243+E243</f>
        <v>294319.45</v>
      </c>
      <c r="G243" s="468">
        <v>1</v>
      </c>
      <c r="H243" s="468">
        <f>$H$230</f>
        <v>2.3324339999999999E-2</v>
      </c>
      <c r="I243" s="619">
        <f t="shared" si="66"/>
        <v>6864.8069204129997</v>
      </c>
      <c r="K243" s="323">
        <v>294319.45000000007</v>
      </c>
      <c r="L243" s="325">
        <f>G243</f>
        <v>1</v>
      </c>
      <c r="M243" s="325">
        <f>H243</f>
        <v>2.3324339999999999E-2</v>
      </c>
      <c r="N243" s="619">
        <f t="shared" si="69"/>
        <v>6864.8069204130015</v>
      </c>
      <c r="P243" s="1058"/>
      <c r="R243" s="425"/>
    </row>
    <row r="244" spans="1:18">
      <c r="A244" s="210">
        <f t="shared" si="77"/>
        <v>230</v>
      </c>
      <c r="B244" s="1058">
        <v>39800</v>
      </c>
      <c r="C244" s="234" t="s">
        <v>656</v>
      </c>
      <c r="D244" s="323">
        <v>70015.66</v>
      </c>
      <c r="E244" s="619">
        <v>0</v>
      </c>
      <c r="F244" s="620">
        <f t="shared" si="65"/>
        <v>70015.66</v>
      </c>
      <c r="G244" s="325">
        <f t="shared" ref="G244:G252" si="84">$G$229</f>
        <v>0.10929999999999999</v>
      </c>
      <c r="H244" s="325">
        <f t="shared" ref="H244:H252" si="85">$H$229</f>
        <v>0.51883860656465508</v>
      </c>
      <c r="I244" s="619">
        <f t="shared" si="66"/>
        <v>3970.522242701039</v>
      </c>
      <c r="K244" s="323">
        <v>70015.660000000018</v>
      </c>
      <c r="L244" s="325">
        <f t="shared" si="67"/>
        <v>0.10929999999999999</v>
      </c>
      <c r="M244" s="325">
        <f t="shared" si="68"/>
        <v>0.51883860656465508</v>
      </c>
      <c r="N244" s="619">
        <f t="shared" si="69"/>
        <v>3970.5222427010399</v>
      </c>
      <c r="P244" s="1058"/>
      <c r="R244" s="425"/>
    </row>
    <row r="245" spans="1:18">
      <c r="A245" s="210">
        <f t="shared" si="77"/>
        <v>231</v>
      </c>
      <c r="B245" s="1058">
        <v>39810</v>
      </c>
      <c r="C245" s="234" t="s">
        <v>1553</v>
      </c>
      <c r="D245" s="323">
        <v>509282.85</v>
      </c>
      <c r="E245" s="619">
        <v>0</v>
      </c>
      <c r="F245" s="620">
        <f t="shared" si="65"/>
        <v>509282.85</v>
      </c>
      <c r="G245" s="325">
        <v>1</v>
      </c>
      <c r="H245" s="468">
        <f t="shared" ref="H245" si="86">$H$230</f>
        <v>2.3324339999999999E-2</v>
      </c>
      <c r="I245" s="619">
        <f t="shared" si="66"/>
        <v>11878.686349569</v>
      </c>
      <c r="K245" s="323">
        <v>509282.84999999992</v>
      </c>
      <c r="L245" s="325">
        <f t="shared" si="67"/>
        <v>1</v>
      </c>
      <c r="M245" s="325">
        <f t="shared" si="68"/>
        <v>2.3324339999999999E-2</v>
      </c>
      <c r="N245" s="619">
        <f t="shared" si="69"/>
        <v>11878.686349568998</v>
      </c>
      <c r="P245" s="1058"/>
      <c r="R245" s="425"/>
    </row>
    <row r="246" spans="1:18">
      <c r="A246" s="210">
        <f t="shared" si="77"/>
        <v>232</v>
      </c>
      <c r="B246" s="1058">
        <v>39900</v>
      </c>
      <c r="C246" s="234" t="s">
        <v>1162</v>
      </c>
      <c r="D246" s="323">
        <v>629166.46</v>
      </c>
      <c r="E246" s="619">
        <v>0</v>
      </c>
      <c r="F246" s="620">
        <f t="shared" si="65"/>
        <v>629166.46</v>
      </c>
      <c r="G246" s="325">
        <f t="shared" si="84"/>
        <v>0.10929999999999999</v>
      </c>
      <c r="H246" s="325">
        <f t="shared" si="85"/>
        <v>0.51883860656465508</v>
      </c>
      <c r="I246" s="619">
        <f t="shared" si="66"/>
        <v>35679.438339815315</v>
      </c>
      <c r="K246" s="323">
        <v>629166.46</v>
      </c>
      <c r="L246" s="325">
        <f t="shared" si="67"/>
        <v>0.10929999999999999</v>
      </c>
      <c r="M246" s="325">
        <f t="shared" si="68"/>
        <v>0.51883860656465508</v>
      </c>
      <c r="N246" s="619">
        <f t="shared" si="69"/>
        <v>35679.438339815315</v>
      </c>
      <c r="P246" s="1058"/>
      <c r="R246" s="425"/>
    </row>
    <row r="247" spans="1:18">
      <c r="A247" s="210">
        <f t="shared" si="77"/>
        <v>233</v>
      </c>
      <c r="B247" s="1058">
        <v>39901</v>
      </c>
      <c r="C247" s="234" t="s">
        <v>479</v>
      </c>
      <c r="D247" s="323">
        <v>9311156.1556295324</v>
      </c>
      <c r="E247" s="619">
        <v>0</v>
      </c>
      <c r="F247" s="620">
        <f t="shared" si="65"/>
        <v>9311156.1556295324</v>
      </c>
      <c r="G247" s="325">
        <f t="shared" si="84"/>
        <v>0.10929999999999999</v>
      </c>
      <c r="H247" s="325">
        <f t="shared" si="85"/>
        <v>0.51883860656465508</v>
      </c>
      <c r="I247" s="619">
        <f t="shared" si="66"/>
        <v>528026.91028249613</v>
      </c>
      <c r="K247" s="323">
        <v>9310809.4759418741</v>
      </c>
      <c r="L247" s="325">
        <f t="shared" si="67"/>
        <v>0.10929999999999999</v>
      </c>
      <c r="M247" s="325">
        <f t="shared" si="68"/>
        <v>0.51883860656465508</v>
      </c>
      <c r="N247" s="619">
        <f t="shared" si="69"/>
        <v>528007.25040339283</v>
      </c>
      <c r="P247" s="1058"/>
      <c r="R247" s="425"/>
    </row>
    <row r="248" spans="1:18">
      <c r="A248" s="210">
        <f t="shared" ref="A248:A265" si="87">A247+1</f>
        <v>234</v>
      </c>
      <c r="B248" s="1058">
        <v>39902</v>
      </c>
      <c r="C248" s="234" t="s">
        <v>968</v>
      </c>
      <c r="D248" s="323">
        <v>1891144.7000000002</v>
      </c>
      <c r="E248" s="619">
        <v>0</v>
      </c>
      <c r="F248" s="620">
        <f t="shared" si="65"/>
        <v>1891144.7000000002</v>
      </c>
      <c r="G248" s="325">
        <f t="shared" si="84"/>
        <v>0.10929999999999999</v>
      </c>
      <c r="H248" s="325">
        <f t="shared" si="85"/>
        <v>0.51883860656465508</v>
      </c>
      <c r="I248" s="619">
        <f t="shared" si="66"/>
        <v>107245.03768894251</v>
      </c>
      <c r="K248" s="323">
        <v>1891144.6999999995</v>
      </c>
      <c r="L248" s="325">
        <f t="shared" si="67"/>
        <v>0.10929999999999999</v>
      </c>
      <c r="M248" s="325">
        <f t="shared" si="68"/>
        <v>0.51883860656465508</v>
      </c>
      <c r="N248" s="619">
        <f t="shared" si="69"/>
        <v>107245.03768894247</v>
      </c>
      <c r="P248" s="1058"/>
      <c r="R248" s="425"/>
    </row>
    <row r="249" spans="1:18">
      <c r="A249" s="210">
        <f t="shared" si="87"/>
        <v>235</v>
      </c>
      <c r="B249" s="1058">
        <v>39903</v>
      </c>
      <c r="C249" s="234" t="s">
        <v>1011</v>
      </c>
      <c r="D249" s="323">
        <v>629225.62</v>
      </c>
      <c r="E249" s="619">
        <v>0</v>
      </c>
      <c r="F249" s="620">
        <f t="shared" si="65"/>
        <v>629225.62</v>
      </c>
      <c r="G249" s="325">
        <f t="shared" si="84"/>
        <v>0.10929999999999999</v>
      </c>
      <c r="H249" s="325">
        <f t="shared" si="85"/>
        <v>0.51883860656465508</v>
      </c>
      <c r="I249" s="619">
        <f>F249*G249*H249</f>
        <v>35682.793247787013</v>
      </c>
      <c r="K249" s="323">
        <v>629225.62</v>
      </c>
      <c r="L249" s="325">
        <f t="shared" si="67"/>
        <v>0.10929999999999999</v>
      </c>
      <c r="M249" s="325">
        <f t="shared" si="68"/>
        <v>0.51883860656465508</v>
      </c>
      <c r="N249" s="619">
        <f t="shared" si="69"/>
        <v>35682.793247787013</v>
      </c>
      <c r="P249" s="1058"/>
      <c r="R249" s="425"/>
    </row>
    <row r="250" spans="1:18">
      <c r="A250" s="210">
        <f t="shared" si="87"/>
        <v>236</v>
      </c>
      <c r="B250" s="1058">
        <v>39906</v>
      </c>
      <c r="C250" s="234" t="s">
        <v>456</v>
      </c>
      <c r="D250" s="323">
        <v>883541.41595145303</v>
      </c>
      <c r="E250" s="619">
        <v>0</v>
      </c>
      <c r="F250" s="620">
        <f t="shared" si="65"/>
        <v>883541.41595145303</v>
      </c>
      <c r="G250" s="325">
        <f t="shared" si="84"/>
        <v>0.10929999999999999</v>
      </c>
      <c r="H250" s="325">
        <f t="shared" si="85"/>
        <v>0.51883860656465508</v>
      </c>
      <c r="I250" s="619">
        <f t="shared" si="66"/>
        <v>50104.802902419469</v>
      </c>
      <c r="K250" s="323">
        <v>866038.23867797712</v>
      </c>
      <c r="L250" s="325">
        <f t="shared" si="67"/>
        <v>0.10929999999999999</v>
      </c>
      <c r="M250" s="325">
        <f t="shared" si="68"/>
        <v>0.51883860656465508</v>
      </c>
      <c r="N250" s="619">
        <f t="shared" si="69"/>
        <v>49112.214177521702</v>
      </c>
      <c r="P250" s="1058"/>
      <c r="R250" s="425"/>
    </row>
    <row r="251" spans="1:18">
      <c r="A251" s="210">
        <f t="shared" si="87"/>
        <v>237</v>
      </c>
      <c r="B251" s="1058">
        <v>39907</v>
      </c>
      <c r="C251" s="234" t="s">
        <v>510</v>
      </c>
      <c r="D251" s="323">
        <v>190246.97</v>
      </c>
      <c r="E251" s="619">
        <v>0</v>
      </c>
      <c r="F251" s="620">
        <f t="shared" si="65"/>
        <v>190246.97</v>
      </c>
      <c r="G251" s="325">
        <f t="shared" si="84"/>
        <v>0.10929999999999999</v>
      </c>
      <c r="H251" s="325">
        <f t="shared" si="85"/>
        <v>0.51883860656465508</v>
      </c>
      <c r="I251" s="619">
        <f t="shared" si="66"/>
        <v>10788.726779001689</v>
      </c>
      <c r="K251" s="323">
        <v>190246.97000000003</v>
      </c>
      <c r="L251" s="325">
        <f t="shared" si="67"/>
        <v>0.10929999999999999</v>
      </c>
      <c r="M251" s="325">
        <f t="shared" si="68"/>
        <v>0.51883860656465508</v>
      </c>
      <c r="N251" s="619">
        <f t="shared" si="69"/>
        <v>10788.72677900169</v>
      </c>
      <c r="P251" s="1058"/>
      <c r="R251" s="425"/>
    </row>
    <row r="252" spans="1:18">
      <c r="A252" s="210">
        <f t="shared" si="87"/>
        <v>238</v>
      </c>
      <c r="B252" s="1058">
        <v>39908</v>
      </c>
      <c r="C252" s="234" t="s">
        <v>180</v>
      </c>
      <c r="D252" s="323">
        <v>88964074.633340657</v>
      </c>
      <c r="E252" s="619">
        <v>0</v>
      </c>
      <c r="F252" s="620">
        <f t="shared" si="65"/>
        <v>88964074.633340657</v>
      </c>
      <c r="G252" s="325">
        <f t="shared" si="84"/>
        <v>0.10929999999999999</v>
      </c>
      <c r="H252" s="325">
        <f t="shared" si="85"/>
        <v>0.51883860656465508</v>
      </c>
      <c r="I252" s="619">
        <f t="shared" si="66"/>
        <v>5045069.0193164544</v>
      </c>
      <c r="K252" s="323">
        <v>88560536.282342181</v>
      </c>
      <c r="L252" s="325">
        <f t="shared" si="67"/>
        <v>0.10929999999999999</v>
      </c>
      <c r="M252" s="325">
        <f t="shared" si="68"/>
        <v>0.51883860656465508</v>
      </c>
      <c r="N252" s="619">
        <f t="shared" si="69"/>
        <v>5022184.738879445</v>
      </c>
      <c r="P252" s="1058"/>
      <c r="R252" s="425"/>
    </row>
    <row r="253" spans="1:18">
      <c r="A253" s="210">
        <f t="shared" si="87"/>
        <v>239</v>
      </c>
      <c r="B253" s="1058">
        <v>39910</v>
      </c>
      <c r="C253" s="234" t="s">
        <v>1212</v>
      </c>
      <c r="D253" s="323">
        <v>169959.94333239601</v>
      </c>
      <c r="E253" s="619">
        <v>0</v>
      </c>
      <c r="F253" s="620">
        <f>D253+E253</f>
        <v>169959.94333239601</v>
      </c>
      <c r="G253" s="468">
        <v>1</v>
      </c>
      <c r="H253" s="468">
        <f>$H$230</f>
        <v>2.3324339999999999E-2</v>
      </c>
      <c r="I253" s="619">
        <f t="shared" si="66"/>
        <v>3964.2035046655374</v>
      </c>
      <c r="K253" s="323">
        <v>130348.40180374039</v>
      </c>
      <c r="L253" s="325">
        <f>G253</f>
        <v>1</v>
      </c>
      <c r="M253" s="325">
        <f>H253</f>
        <v>2.3324339999999999E-2</v>
      </c>
      <c r="N253" s="619">
        <f t="shared" si="69"/>
        <v>3040.2904421270541</v>
      </c>
      <c r="P253" s="1058"/>
      <c r="R253" s="425"/>
    </row>
    <row r="254" spans="1:18">
      <c r="A254" s="210">
        <f t="shared" si="87"/>
        <v>240</v>
      </c>
      <c r="B254" s="1058">
        <v>39916</v>
      </c>
      <c r="C254" s="80" t="s">
        <v>1213</v>
      </c>
      <c r="D254" s="323">
        <v>258414.52118249593</v>
      </c>
      <c r="E254" s="619">
        <v>0</v>
      </c>
      <c r="F254" s="620">
        <f t="shared" ref="F254:F257" si="88">D254+E254</f>
        <v>258414.52118249593</v>
      </c>
      <c r="G254" s="468">
        <v>1</v>
      </c>
      <c r="H254" s="468">
        <f>$H$230</f>
        <v>2.3324339999999999E-2</v>
      </c>
      <c r="I254" s="619">
        <f t="shared" si="66"/>
        <v>6027.3481529977371</v>
      </c>
      <c r="K254" s="323">
        <v>239791.19029017878</v>
      </c>
      <c r="L254" s="325">
        <f t="shared" ref="L254:L255" si="89">G254</f>
        <v>1</v>
      </c>
      <c r="M254" s="325">
        <f t="shared" ref="M254:M255" si="90">H254</f>
        <v>2.3324339999999999E-2</v>
      </c>
      <c r="N254" s="619">
        <f t="shared" si="69"/>
        <v>5592.9712513328286</v>
      </c>
      <c r="P254" s="1058"/>
      <c r="R254" s="425"/>
    </row>
    <row r="255" spans="1:18">
      <c r="A255" s="210">
        <f t="shared" si="87"/>
        <v>241</v>
      </c>
      <c r="B255" s="1058">
        <v>39917</v>
      </c>
      <c r="C255" s="80" t="s">
        <v>1214</v>
      </c>
      <c r="D255" s="323">
        <v>110226.79273292156</v>
      </c>
      <c r="E255" s="619">
        <v>0</v>
      </c>
      <c r="F255" s="620">
        <f t="shared" si="88"/>
        <v>110226.79273292156</v>
      </c>
      <c r="G255" s="468">
        <v>1</v>
      </c>
      <c r="H255" s="468">
        <f>$H$230</f>
        <v>2.3324339999999999E-2</v>
      </c>
      <c r="I255" s="619">
        <f t="shared" si="66"/>
        <v>2570.9671908121913</v>
      </c>
      <c r="K255" s="323">
        <v>104927.82915188149</v>
      </c>
      <c r="L255" s="325">
        <f t="shared" si="89"/>
        <v>1</v>
      </c>
      <c r="M255" s="325">
        <f t="shared" si="90"/>
        <v>2.3324339999999999E-2</v>
      </c>
      <c r="N255" s="619">
        <f t="shared" si="69"/>
        <v>2447.3723626003957</v>
      </c>
      <c r="P255" s="1058"/>
      <c r="R255" s="425"/>
    </row>
    <row r="256" spans="1:18">
      <c r="A256" s="210">
        <f t="shared" si="87"/>
        <v>242</v>
      </c>
      <c r="B256" s="1058">
        <v>39918</v>
      </c>
      <c r="C256" s="80" t="s">
        <v>1554</v>
      </c>
      <c r="D256" s="323">
        <v>20560.16</v>
      </c>
      <c r="E256" s="619">
        <v>0</v>
      </c>
      <c r="F256" s="620">
        <f t="shared" si="88"/>
        <v>20560.16</v>
      </c>
      <c r="G256" s="468">
        <v>1</v>
      </c>
      <c r="H256" s="468">
        <f>$H$230</f>
        <v>2.3324339999999999E-2</v>
      </c>
      <c r="I256" s="619">
        <f t="shared" si="66"/>
        <v>479.55216229439998</v>
      </c>
      <c r="K256" s="323">
        <v>20560.16</v>
      </c>
      <c r="L256" s="325">
        <f t="shared" ref="L256:L257" si="91">G256</f>
        <v>1</v>
      </c>
      <c r="M256" s="325">
        <f t="shared" ref="M256:M257" si="92">H256</f>
        <v>2.3324339999999999E-2</v>
      </c>
      <c r="N256" s="619">
        <f t="shared" si="69"/>
        <v>479.55216229439998</v>
      </c>
      <c r="P256" s="1058"/>
      <c r="R256" s="425"/>
    </row>
    <row r="257" spans="1:18">
      <c r="A257" s="210">
        <f t="shared" si="87"/>
        <v>243</v>
      </c>
      <c r="B257" s="1058">
        <v>39924</v>
      </c>
      <c r="C257" s="80" t="s">
        <v>1555</v>
      </c>
      <c r="D257" s="323">
        <v>0</v>
      </c>
      <c r="E257" s="619">
        <v>0</v>
      </c>
      <c r="F257" s="620">
        <f t="shared" si="88"/>
        <v>0</v>
      </c>
      <c r="G257" s="325">
        <f t="shared" ref="G257" si="93">$G$229</f>
        <v>0.10929999999999999</v>
      </c>
      <c r="H257" s="325">
        <f t="shared" ref="H257" si="94">$H$229</f>
        <v>0.51883860656465508</v>
      </c>
      <c r="I257" s="619">
        <f t="shared" si="66"/>
        <v>0</v>
      </c>
      <c r="K257" s="323">
        <v>0</v>
      </c>
      <c r="L257" s="325">
        <f t="shared" si="91"/>
        <v>0.10929999999999999</v>
      </c>
      <c r="M257" s="325">
        <f t="shared" si="92"/>
        <v>0.51883860656465508</v>
      </c>
      <c r="N257" s="619">
        <f t="shared" si="69"/>
        <v>0</v>
      </c>
      <c r="P257" s="1058"/>
      <c r="R257" s="425"/>
    </row>
    <row r="258" spans="1:18">
      <c r="A258" s="210">
        <f t="shared" si="87"/>
        <v>244</v>
      </c>
      <c r="B258" s="196"/>
      <c r="C258" s="234"/>
      <c r="D258" s="621"/>
      <c r="E258" s="621"/>
      <c r="F258" s="621"/>
      <c r="I258" s="621"/>
      <c r="K258" s="621"/>
      <c r="N258" s="621"/>
    </row>
    <row r="259" spans="1:18" ht="15.75" thickBot="1">
      <c r="A259" s="210">
        <f t="shared" si="87"/>
        <v>245</v>
      </c>
      <c r="B259" s="196"/>
      <c r="C259" s="234" t="s">
        <v>1341</v>
      </c>
      <c r="D259" s="513">
        <f>SUM(D229:D257)</f>
        <v>145030146.23000002</v>
      </c>
      <c r="E259" s="513">
        <f>SUM(E229:E257)</f>
        <v>0</v>
      </c>
      <c r="F259" s="513">
        <f>SUM(F229:F257)</f>
        <v>145030146.23000002</v>
      </c>
      <c r="G259" s="1037"/>
      <c r="H259" s="1037"/>
      <c r="I259" s="513">
        <f>SUM(I229:I257)</f>
        <v>7562176.6122291647</v>
      </c>
      <c r="J259" s="812"/>
      <c r="K259" s="513">
        <f>SUM(K229:K257)</f>
        <v>141494323.39076921</v>
      </c>
      <c r="L259" s="1037"/>
      <c r="M259" s="1037"/>
      <c r="N259" s="513">
        <f>SUM(N229:N257)</f>
        <v>7465003.7382345023</v>
      </c>
      <c r="P259" s="619"/>
      <c r="Q259" s="619"/>
    </row>
    <row r="260" spans="1:18" ht="15.75" thickTop="1">
      <c r="A260" s="210">
        <f t="shared" si="87"/>
        <v>246</v>
      </c>
      <c r="B260" s="196"/>
      <c r="C260" s="234"/>
      <c r="D260" s="323"/>
      <c r="E260" s="323"/>
      <c r="F260" s="323"/>
      <c r="I260" s="323"/>
      <c r="K260" s="323"/>
      <c r="N260" s="323"/>
    </row>
    <row r="261" spans="1:18">
      <c r="A261" s="210">
        <f t="shared" si="87"/>
        <v>247</v>
      </c>
      <c r="B261" s="196"/>
      <c r="C261" s="196" t="s">
        <v>756</v>
      </c>
      <c r="D261" s="323">
        <v>3382555.21</v>
      </c>
      <c r="E261" s="323">
        <v>0</v>
      </c>
      <c r="F261" s="323">
        <f>D261+E261</f>
        <v>3382555.21</v>
      </c>
      <c r="G261" s="325">
        <f>$G$229</f>
        <v>0.10929999999999999</v>
      </c>
      <c r="H261" s="325">
        <f>$H$229</f>
        <v>0.51883860656465508</v>
      </c>
      <c r="I261" s="323">
        <f>F261*G261*H261</f>
        <v>191821.52533403647</v>
      </c>
      <c r="K261" s="323">
        <v>2948970.1623076922</v>
      </c>
      <c r="L261" s="325">
        <f>G261</f>
        <v>0.10929999999999999</v>
      </c>
      <c r="M261" s="325">
        <f>H261</f>
        <v>0.51883860656465508</v>
      </c>
      <c r="N261" s="323">
        <f>K261*L261*M261</f>
        <v>167233.32498050272</v>
      </c>
    </row>
    <row r="262" spans="1:18">
      <c r="A262" s="210">
        <f t="shared" si="87"/>
        <v>248</v>
      </c>
    </row>
    <row r="263" spans="1:18" ht="15.75" thickBot="1">
      <c r="A263" s="210">
        <f t="shared" si="87"/>
        <v>249</v>
      </c>
      <c r="C263" s="234" t="s">
        <v>755</v>
      </c>
      <c r="D263" s="513">
        <f>D259+D222+D176+D114</f>
        <v>935678480.24722469</v>
      </c>
      <c r="E263" s="513">
        <f>E259+E222+E176+E114</f>
        <v>0</v>
      </c>
      <c r="F263" s="513">
        <f>F259+F222+F176+F114</f>
        <v>935678480.24722469</v>
      </c>
      <c r="I263" s="513">
        <f>I259+I222+I176+I114</f>
        <v>609121393.7079761</v>
      </c>
      <c r="K263" s="513">
        <f>K259+K222+K176+K114</f>
        <v>900302661.96288681</v>
      </c>
      <c r="N263" s="513">
        <f>N259+N222+N176+N114</f>
        <v>580015394.86956775</v>
      </c>
    </row>
    <row r="264" spans="1:18" ht="15.75" thickTop="1">
      <c r="A264" s="210">
        <f t="shared" si="87"/>
        <v>250</v>
      </c>
    </row>
    <row r="265" spans="1:18" ht="30.75" thickBot="1">
      <c r="A265" s="210">
        <f t="shared" si="87"/>
        <v>251</v>
      </c>
      <c r="C265" s="616" t="s">
        <v>5</v>
      </c>
      <c r="D265" s="513">
        <f>D261+D224+D178+D116</f>
        <v>39084184.399999991</v>
      </c>
      <c r="E265" s="1060"/>
      <c r="F265" s="513">
        <f>F261+F224+F178+F116</f>
        <v>39084184.399999991</v>
      </c>
      <c r="I265" s="513">
        <f>I261+I224+I178+I116</f>
        <v>27465677.812154312</v>
      </c>
      <c r="K265" s="513">
        <f>K261+K224+K178+K116</f>
        <v>32454835.916923072</v>
      </c>
      <c r="N265" s="513">
        <f>N261+N224+N178+N116</f>
        <v>22141579.241557177</v>
      </c>
    </row>
    <row r="266" spans="1:18" ht="15.75" thickTop="1"/>
    <row r="269" spans="1:18">
      <c r="C269" s="80" t="s">
        <v>523</v>
      </c>
    </row>
    <row r="270" spans="1:18">
      <c r="C270" s="80" t="s">
        <v>1607</v>
      </c>
    </row>
  </sheetData>
  <mergeCells count="4">
    <mergeCell ref="A1:N1"/>
    <mergeCell ref="A2:N2"/>
    <mergeCell ref="A3:N3"/>
    <mergeCell ref="A4:N4"/>
  </mergeCells>
  <phoneticPr fontId="22" type="noConversion"/>
  <pageMargins left="0.72" right="0.57999999999999996" top="1" bottom="1" header="0.5" footer="0.5"/>
  <pageSetup scale="55" orientation="landscape" r:id="rId1"/>
  <headerFooter alignWithMargins="0">
    <oddFooter>&amp;RSchedule &amp;A
Page &amp;P of &amp;N</oddFooter>
  </headerFooter>
  <rowBreaks count="6" manualBreakCount="6">
    <brk id="47" max="13" man="1"/>
    <brk id="83" max="13" man="1"/>
    <brk id="116" max="13" man="1"/>
    <brk id="149" max="13" man="1"/>
    <brk id="178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79</vt:i4>
      </vt:variant>
      <vt:variant>
        <vt:lpstr>Named Ranges</vt:lpstr>
      </vt:variant>
      <vt:variant>
        <vt:i4>109</vt:i4>
      </vt:variant>
    </vt:vector>
  </HeadingPairs>
  <TitlesOfParts>
    <vt:vector size="188" baseType="lpstr">
      <vt:lpstr>Table of Contents</vt:lpstr>
      <vt:lpstr>Allocation</vt:lpstr>
      <vt:lpstr>Cover A</vt:lpstr>
      <vt:lpstr>A.1</vt:lpstr>
      <vt:lpstr>Cover B</vt:lpstr>
      <vt:lpstr>B.1 B</vt:lpstr>
      <vt:lpstr>B.1 F </vt:lpstr>
      <vt:lpstr>B.2 F</vt:lpstr>
      <vt:lpstr>B.2 B</vt:lpstr>
      <vt:lpstr>B.3 B</vt:lpstr>
      <vt:lpstr>B.3 F</vt:lpstr>
      <vt:lpstr>B.3.1 F</vt:lpstr>
      <vt:lpstr>B.4 B</vt:lpstr>
      <vt:lpstr>B.4 F</vt:lpstr>
      <vt:lpstr>B.4.1 B</vt:lpstr>
      <vt:lpstr>B.4.1 F</vt:lpstr>
      <vt:lpstr>B.4.2 B</vt:lpstr>
      <vt:lpstr>B.4.2 F</vt:lpstr>
      <vt:lpstr>B.5 B</vt:lpstr>
      <vt:lpstr>B.5 F</vt:lpstr>
      <vt:lpstr>B.6 B</vt:lpstr>
      <vt:lpstr>B.6 F</vt:lpstr>
      <vt:lpstr>WP B.4.1F</vt:lpstr>
      <vt:lpstr>WP B.4.1B</vt:lpstr>
      <vt:lpstr>WP B.5 B</vt:lpstr>
      <vt:lpstr>WP B.5 F</vt:lpstr>
      <vt:lpstr>WP B.6 B</vt:lpstr>
      <vt:lpstr>WP B.6 F</vt:lpstr>
      <vt:lpstr>Cover C</vt:lpstr>
      <vt:lpstr>C.1</vt:lpstr>
      <vt:lpstr>C.2</vt:lpstr>
      <vt:lpstr>C.2.1 B</vt:lpstr>
      <vt:lpstr>C.2.1 F</vt:lpstr>
      <vt:lpstr>C.2.2 B 09</vt:lpstr>
      <vt:lpstr>C.2.2 B 02</vt:lpstr>
      <vt:lpstr>C.2.2 B 12</vt:lpstr>
      <vt:lpstr>C.2.2 B 91</vt:lpstr>
      <vt:lpstr>C.2.2-F 09</vt:lpstr>
      <vt:lpstr>C.2.2-F 02</vt:lpstr>
      <vt:lpstr>C.2.2-F 12</vt:lpstr>
      <vt:lpstr>C.2.2-F 91</vt:lpstr>
      <vt:lpstr>C.2.3 B</vt:lpstr>
      <vt:lpstr>C.2.3 F</vt:lpstr>
      <vt:lpstr>Cover D</vt:lpstr>
      <vt:lpstr>D.1</vt:lpstr>
      <vt:lpstr>D.2.1</vt:lpstr>
      <vt:lpstr>D.2.2</vt:lpstr>
      <vt:lpstr>D.2.3</vt:lpstr>
      <vt:lpstr>Cover E</vt:lpstr>
      <vt:lpstr>E</vt:lpstr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G.1</vt:lpstr>
      <vt:lpstr>G.2</vt:lpstr>
      <vt:lpstr>G.3</vt:lpstr>
      <vt:lpstr>H.1</vt:lpstr>
      <vt:lpstr>I.1</vt:lpstr>
      <vt:lpstr>I.2</vt:lpstr>
      <vt:lpstr>I.3</vt:lpstr>
      <vt:lpstr>J-1 Base</vt:lpstr>
      <vt:lpstr>J-2 B</vt:lpstr>
      <vt:lpstr>J-3 B</vt:lpstr>
      <vt:lpstr>J-4</vt:lpstr>
      <vt:lpstr>J.1</vt:lpstr>
      <vt:lpstr>J-1 F</vt:lpstr>
      <vt:lpstr>J-2 F</vt:lpstr>
      <vt:lpstr>J-3 F</vt:lpstr>
      <vt:lpstr>K</vt:lpstr>
      <vt:lpstr>\p</vt:lpstr>
      <vt:lpstr>A.1!Print_Area</vt:lpstr>
      <vt:lpstr>Allocation!Print_Area</vt:lpstr>
      <vt:lpstr>'B.1 B'!Print_Area</vt:lpstr>
      <vt:lpstr>'B.1 F '!Print_Area</vt:lpstr>
      <vt:lpstr>'B.2 B'!Print_Area</vt:lpstr>
      <vt:lpstr>'B.2 F'!Print_Area</vt:lpstr>
      <vt:lpstr>'B.3 B'!Print_Area</vt:lpstr>
      <vt:lpstr>'B.3 F'!Print_Area</vt:lpstr>
      <vt:lpstr>'B.3.1 F'!Print_Area</vt:lpstr>
      <vt:lpstr>'B.4 B'!Print_Area</vt:lpstr>
      <vt:lpstr>'B.4 F'!Print_Area</vt:lpstr>
      <vt:lpstr>'B.4.1 B'!Print_Area</vt:lpstr>
      <vt:lpstr>'B.4.1 F'!Print_Area</vt:lpstr>
      <vt:lpstr>'B.4.2 B'!Print_Area</vt:lpstr>
      <vt:lpstr>'B.4.2 F'!Print_Area</vt:lpstr>
      <vt:lpstr>'B.5 B'!Print_Area</vt:lpstr>
      <vt:lpstr>'B.5 F'!Print_Area</vt:lpstr>
      <vt:lpstr>'B.6 B'!Print_Area</vt:lpstr>
      <vt:lpstr>'B.6 F'!Print_Area</vt:lpstr>
      <vt:lpstr>C.1!Print_Area</vt:lpstr>
      <vt:lpstr>C.2!Print_Area</vt:lpstr>
      <vt:lpstr>'C.2.1 B'!Print_Area</vt:lpstr>
      <vt:lpstr>'C.2.1 F'!Print_Area</vt:lpstr>
      <vt:lpstr>'C.2.2 B 02'!Print_Area</vt:lpstr>
      <vt:lpstr>'C.2.2 B 09'!Print_Area</vt:lpstr>
      <vt:lpstr>'C.2.2 B 12'!Print_Area</vt:lpstr>
      <vt:lpstr>'C.2.2 B 91'!Print_Area</vt:lpstr>
      <vt:lpstr>'C.2.2-F 02'!Print_Area</vt:lpstr>
      <vt:lpstr>'C.2.2-F 09'!Print_Area</vt:lpstr>
      <vt:lpstr>'C.2.2-F 12'!Print_Area</vt:lpstr>
      <vt:lpstr>'C.2.2-F 91'!Print_Area</vt:lpstr>
      <vt:lpstr>'C.2.3 B'!Print_Area</vt:lpstr>
      <vt:lpstr>'C.2.3 F'!Print_Area</vt:lpstr>
      <vt:lpstr>'Cover B'!Print_Area</vt:lpstr>
      <vt:lpstr>'Cover C'!Print_Area</vt:lpstr>
      <vt:lpstr>'Cover D'!Print_Area</vt:lpstr>
      <vt:lpstr>'Cover E'!Print_Area</vt:lpstr>
      <vt:lpstr>'Cover F'!Print_Area</vt:lpstr>
      <vt:lpstr>D.1!Print_Area</vt:lpstr>
      <vt:lpstr>D.2.1!Print_Area</vt:lpstr>
      <vt:lpstr>D.2.2!Print_Area</vt:lpstr>
      <vt:lpstr>D.2.3!Print_Area</vt:lpstr>
      <vt:lpstr>E!Print_Area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G.1!Print_Area</vt:lpstr>
      <vt:lpstr>G.2!Print_Area</vt:lpstr>
      <vt:lpstr>G.3!Print_Area</vt:lpstr>
      <vt:lpstr>H.1!Print_Area</vt:lpstr>
      <vt:lpstr>I.1!Print_Area</vt:lpstr>
      <vt:lpstr>I.2!Print_Area</vt:lpstr>
      <vt:lpstr>I.3!Print_Area</vt:lpstr>
      <vt:lpstr>J.1!Print_Area</vt:lpstr>
      <vt:lpstr>'J-1 Base'!Print_Area</vt:lpstr>
      <vt:lpstr>'J-1 F'!Print_Area</vt:lpstr>
      <vt:lpstr>'J-2 B'!Print_Area</vt:lpstr>
      <vt:lpstr>'J-2 F'!Print_Area</vt:lpstr>
      <vt:lpstr>'J-3 B'!Print_Area</vt:lpstr>
      <vt:lpstr>'J-3 F'!Print_Area</vt:lpstr>
      <vt:lpstr>'J-4'!Print_Area</vt:lpstr>
      <vt:lpstr>K!Print_Area</vt:lpstr>
      <vt:lpstr>'WP B.4.1B'!Print_Area</vt:lpstr>
      <vt:lpstr>'WP B.4.1F'!Print_Area</vt:lpstr>
      <vt:lpstr>'WP B.5 B'!Print_Area</vt:lpstr>
      <vt:lpstr>'WP B.5 F'!Print_Area</vt:lpstr>
      <vt:lpstr>'WP B.6 B'!Print_Area</vt:lpstr>
      <vt:lpstr>'WP B.6 F'!Print_Area</vt:lpstr>
      <vt:lpstr>Print_Area_MI</vt:lpstr>
      <vt:lpstr>'B.1 B'!Print_Titles</vt:lpstr>
      <vt:lpstr>'B.2 B'!Print_Titles</vt:lpstr>
      <vt:lpstr>'B.2 F'!Print_Titles</vt:lpstr>
      <vt:lpstr>'B.3 B'!Print_Titles</vt:lpstr>
      <vt:lpstr>'B.3 F'!Print_Titles</vt:lpstr>
      <vt:lpstr>'B.3.1 F'!Print_Titles</vt:lpstr>
      <vt:lpstr>'B.5 B'!Print_Titles</vt:lpstr>
      <vt:lpstr>'B.5 F'!Print_Titles</vt:lpstr>
      <vt:lpstr>'B.6 B'!Print_Titles</vt:lpstr>
      <vt:lpstr>'B.6 F'!Print_Titles</vt:lpstr>
      <vt:lpstr>'C.2.1 B'!Print_Titles</vt:lpstr>
      <vt:lpstr>'C.2.1 F'!Print_Titles</vt:lpstr>
      <vt:lpstr>'C.2.2 B 02'!Print_Titles</vt:lpstr>
      <vt:lpstr>'C.2.2 B 09'!Print_Titles</vt:lpstr>
      <vt:lpstr>'C.2.2 B 12'!Print_Titles</vt:lpstr>
      <vt:lpstr>'C.2.2 B 91'!Print_Titles</vt:lpstr>
      <vt:lpstr>'C.2.2-F 02'!Print_Titles</vt:lpstr>
      <vt:lpstr>'C.2.2-F 09'!Print_Titles</vt:lpstr>
      <vt:lpstr>'C.2.2-F 12'!Print_Titles</vt:lpstr>
      <vt:lpstr>'C.2.2-F 91'!Print_Titles</vt:lpstr>
      <vt:lpstr>'C.2.3 B'!Print_Titles</vt:lpstr>
      <vt:lpstr>'C.2.3 F'!Print_Titles</vt:lpstr>
      <vt:lpstr>D.1!Print_Titles</vt:lpstr>
      <vt:lpstr>F.1!Print_Titles</vt:lpstr>
      <vt:lpstr>K!Print_Titles</vt:lpstr>
      <vt:lpstr>'WP B.5 B'!Print_Titles</vt:lpstr>
      <vt:lpstr>'WP B.5 F'!Print_Titles</vt:lpstr>
      <vt:lpstr>'WP B.6 B'!Print_Titles</vt:lpstr>
      <vt:lpstr>'WP B.6 F'!Print_Titles</vt:lpstr>
      <vt:lpstr>SCHEDA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Cagle</dc:creator>
  <cp:lastModifiedBy>Randy1</cp:lastModifiedBy>
  <cp:lastPrinted>2018-01-10T16:13:48Z</cp:lastPrinted>
  <dcterms:created xsi:type="dcterms:W3CDTF">1998-03-09T18:47:56Z</dcterms:created>
  <dcterms:modified xsi:type="dcterms:W3CDTF">2018-01-10T18:38:03Z</dcterms:modified>
</cp:coreProperties>
</file>