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Staff Attachments\Staff_1-64 - Workpapers\"/>
    </mc:Choice>
  </mc:AlternateContent>
  <bookViews>
    <workbookView xWindow="0" yWindow="0" windowWidth="28800" windowHeight="12135"/>
  </bookViews>
  <sheets>
    <sheet name="factors" sheetId="2" r:id="rId1"/>
    <sheet name="peakday" sheetId="3" r:id="rId2"/>
    <sheet name="Other Taxes" sheetId="4" r:id="rId3"/>
  </sheets>
  <definedNames>
    <definedName name="_xlnm.Print_Area" localSheetId="0">factors!$A$1:$H$44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14" i="4"/>
  <c r="C28" i="4"/>
  <c r="C29" i="4"/>
  <c r="C30" i="4"/>
  <c r="C44" i="4"/>
  <c r="C43" i="4"/>
  <c r="C57" i="4"/>
  <c r="C56" i="4"/>
  <c r="C58" i="4"/>
  <c r="C45" i="4"/>
  <c r="C15" i="4"/>
  <c r="C17" i="4"/>
  <c r="C18" i="4"/>
  <c r="G7" i="2"/>
  <c r="G9" i="3"/>
  <c r="B9" i="3"/>
  <c r="G10" i="2"/>
  <c r="G5" i="3"/>
  <c r="G9" i="2"/>
  <c r="G4" i="3"/>
  <c r="G3" i="3"/>
  <c r="G7" i="3"/>
  <c r="G10" i="3"/>
  <c r="B10" i="3"/>
  <c r="B12" i="3"/>
  <c r="B7" i="3"/>
  <c r="B8" i="3"/>
  <c r="B14" i="3"/>
  <c r="B16" i="3"/>
  <c r="B20" i="3"/>
  <c r="H2" i="2"/>
  <c r="K34" i="2"/>
  <c r="H3" i="2"/>
  <c r="B4" i="3"/>
  <c r="I10" i="2"/>
  <c r="I9" i="2"/>
  <c r="H10" i="2"/>
  <c r="B10" i="2"/>
  <c r="H9" i="2"/>
  <c r="F10" i="2"/>
  <c r="F9" i="2"/>
  <c r="E10" i="2"/>
  <c r="E9" i="2"/>
  <c r="D10" i="2"/>
  <c r="D9" i="2"/>
  <c r="D4" i="3"/>
  <c r="D32" i="2"/>
  <c r="D33" i="2"/>
  <c r="D37" i="2"/>
  <c r="C32" i="2"/>
  <c r="C33" i="2"/>
  <c r="C37" i="2"/>
  <c r="C24" i="2"/>
  <c r="D27" i="2"/>
  <c r="C27" i="2"/>
  <c r="D24" i="2"/>
  <c r="F5" i="3"/>
  <c r="E5" i="3"/>
  <c r="D5" i="3"/>
  <c r="H4" i="3"/>
  <c r="F4" i="3"/>
  <c r="E4" i="3"/>
  <c r="C5" i="3"/>
  <c r="C4" i="3"/>
  <c r="C3" i="3"/>
  <c r="C10" i="2"/>
  <c r="C9" i="2"/>
  <c r="H9" i="3"/>
  <c r="H6" i="3"/>
  <c r="E6" i="3"/>
  <c r="D6" i="3"/>
  <c r="E3" i="3"/>
  <c r="D13" i="3"/>
  <c r="E13" i="3"/>
  <c r="F13" i="3"/>
  <c r="I8" i="2"/>
  <c r="H8" i="2"/>
  <c r="G8" i="2"/>
  <c r="F8" i="2"/>
  <c r="B8" i="2"/>
  <c r="E8" i="2"/>
  <c r="D8" i="2"/>
  <c r="C8" i="2"/>
  <c r="I7" i="2"/>
  <c r="H7" i="2"/>
  <c r="F7" i="2"/>
  <c r="F9" i="3"/>
  <c r="E7" i="2"/>
  <c r="E9" i="3"/>
  <c r="D7" i="2"/>
  <c r="D9" i="3"/>
  <c r="C7" i="2"/>
  <c r="B7" i="2"/>
  <c r="I5" i="2"/>
  <c r="I6" i="2"/>
  <c r="H6" i="2"/>
  <c r="G6" i="2"/>
  <c r="E6" i="2"/>
  <c r="D6" i="2"/>
  <c r="C6" i="2"/>
  <c r="C6" i="3"/>
  <c r="B12" i="2"/>
  <c r="I4" i="2"/>
  <c r="H4" i="2"/>
  <c r="G4" i="2"/>
  <c r="E4" i="2"/>
  <c r="D4" i="2"/>
  <c r="C4" i="2"/>
  <c r="I3" i="2"/>
  <c r="G3" i="2"/>
  <c r="E3" i="2"/>
  <c r="D3" i="2"/>
  <c r="C3" i="2"/>
  <c r="J32" i="2"/>
  <c r="F4" i="2"/>
  <c r="I32" i="2"/>
  <c r="F3" i="2"/>
  <c r="H32" i="2"/>
  <c r="F6" i="2"/>
  <c r="G32" i="2"/>
  <c r="F32" i="2"/>
  <c r="H33" i="2"/>
  <c r="E33" i="2"/>
  <c r="G33" i="2"/>
  <c r="F33" i="2"/>
  <c r="J33" i="2"/>
  <c r="L34" i="2"/>
  <c r="K26" i="2"/>
  <c r="E32" i="2"/>
  <c r="F5" i="2"/>
  <c r="B37" i="2"/>
  <c r="G27" i="2"/>
  <c r="G24" i="2"/>
  <c r="G37" i="2"/>
  <c r="K21" i="2"/>
  <c r="L21" i="2"/>
  <c r="K28" i="2"/>
  <c r="L28" i="2"/>
  <c r="H5" i="3"/>
  <c r="B5" i="3"/>
  <c r="B3" i="3"/>
  <c r="B9" i="2"/>
  <c r="D3" i="3"/>
  <c r="D7" i="3"/>
  <c r="D8" i="3"/>
  <c r="H3" i="3"/>
  <c r="H7" i="3"/>
  <c r="H8" i="3"/>
  <c r="F6" i="3"/>
  <c r="B6" i="3"/>
  <c r="F3" i="3"/>
  <c r="F7" i="3"/>
  <c r="I33" i="2"/>
  <c r="C2" i="2"/>
  <c r="C9" i="3"/>
  <c r="G6" i="3"/>
  <c r="E7" i="3"/>
  <c r="C7" i="3"/>
  <c r="G13" i="3"/>
  <c r="H13" i="3"/>
  <c r="C8" i="3"/>
  <c r="G8" i="3"/>
  <c r="H10" i="3"/>
  <c r="H12" i="3"/>
  <c r="H14" i="3"/>
  <c r="H16" i="3"/>
  <c r="C10" i="3"/>
  <c r="F8" i="3"/>
  <c r="F10" i="3"/>
  <c r="F12" i="3"/>
  <c r="F14" i="3"/>
  <c r="F16" i="3"/>
  <c r="F11" i="2"/>
  <c r="E8" i="3"/>
  <c r="E10" i="3"/>
  <c r="E12" i="3"/>
  <c r="D10" i="3"/>
  <c r="D12" i="3"/>
  <c r="D14" i="3"/>
  <c r="D16" i="3"/>
  <c r="D11" i="2"/>
  <c r="G12" i="3"/>
  <c r="G14" i="3"/>
  <c r="G16" i="3"/>
  <c r="G11" i="2"/>
  <c r="C12" i="3"/>
  <c r="C14" i="3"/>
  <c r="C16" i="3"/>
  <c r="C11" i="2"/>
  <c r="E14" i="3"/>
  <c r="E16" i="3"/>
  <c r="E11" i="2"/>
  <c r="B19" i="3"/>
  <c r="B11" i="2"/>
  <c r="B4" i="2"/>
  <c r="K35" i="2"/>
  <c r="E34" i="2"/>
  <c r="H5" i="2"/>
  <c r="K31" i="2"/>
  <c r="E31" i="2"/>
  <c r="K30" i="2"/>
  <c r="E30" i="2"/>
  <c r="E29" i="2"/>
  <c r="G5" i="2"/>
  <c r="K29" i="2"/>
  <c r="G2" i="2"/>
  <c r="J27" i="2"/>
  <c r="I27" i="2"/>
  <c r="H27" i="2"/>
  <c r="E27" i="2"/>
  <c r="F27" i="2"/>
  <c r="J24" i="2"/>
  <c r="I24" i="2"/>
  <c r="H24" i="2"/>
  <c r="F24" i="2"/>
  <c r="F37" i="2"/>
  <c r="E28" i="2"/>
  <c r="K25" i="2"/>
  <c r="K27" i="2"/>
  <c r="L27" i="2"/>
  <c r="K23" i="2"/>
  <c r="E2" i="2"/>
  <c r="K22" i="2"/>
  <c r="E26" i="2"/>
  <c r="E25" i="2"/>
  <c r="E23" i="2"/>
  <c r="E5" i="2"/>
  <c r="E22" i="2"/>
  <c r="D5" i="2"/>
  <c r="E21" i="2"/>
  <c r="C5" i="2"/>
  <c r="B5" i="2"/>
  <c r="H37" i="2"/>
  <c r="I37" i="2"/>
  <c r="J37" i="2"/>
  <c r="K32" i="2"/>
  <c r="F2" i="2"/>
  <c r="D2" i="2"/>
  <c r="I2" i="2"/>
  <c r="L35" i="2"/>
  <c r="E24" i="2"/>
  <c r="E37" i="2"/>
  <c r="K24" i="2"/>
  <c r="L24" i="2"/>
  <c r="K33" i="2"/>
  <c r="L33" i="2"/>
  <c r="M33" i="2"/>
  <c r="J2" i="2"/>
  <c r="K37" i="2"/>
  <c r="L37" i="2"/>
  <c r="J3" i="2"/>
  <c r="B3" i="2"/>
  <c r="B2" i="2"/>
  <c r="B6" i="2"/>
</calcChain>
</file>

<file path=xl/comments1.xml><?xml version="1.0" encoding="utf-8"?>
<comments xmlns="http://schemas.openxmlformats.org/spreadsheetml/2006/main">
  <authors>
    <author>Paul</author>
  </authors>
  <commentList>
    <comment ref="B20" authorId="0" shapeId="0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These are the values in the RR Model
</t>
        </r>
      </text>
    </comment>
  </commentList>
</comments>
</file>

<file path=xl/sharedStrings.xml><?xml version="1.0" encoding="utf-8"?>
<sst xmlns="http://schemas.openxmlformats.org/spreadsheetml/2006/main" count="93" uniqueCount="63">
  <si>
    <t>Residential</t>
  </si>
  <si>
    <t>Revenue</t>
  </si>
  <si>
    <t>Volumes</t>
  </si>
  <si>
    <t>Value</t>
  </si>
  <si>
    <t>Customers</t>
  </si>
  <si>
    <t>Bills</t>
  </si>
  <si>
    <t>Meters</t>
  </si>
  <si>
    <t>Non-Res Firm</t>
  </si>
  <si>
    <t>Non-Res Int</t>
  </si>
  <si>
    <t>Transport - Firm</t>
  </si>
  <si>
    <t>Transport - Int</t>
  </si>
  <si>
    <t>Current Rev</t>
  </si>
  <si>
    <t>Mcf</t>
  </si>
  <si>
    <t>Com Firm</t>
  </si>
  <si>
    <t>Com Int</t>
  </si>
  <si>
    <t>Com Total</t>
  </si>
  <si>
    <t>Ind Firm</t>
  </si>
  <si>
    <t>Ind Int</t>
  </si>
  <si>
    <t>Ind Total</t>
  </si>
  <si>
    <t>PA</t>
  </si>
  <si>
    <t>Special Contracts</t>
  </si>
  <si>
    <t>Transp.</t>
  </si>
  <si>
    <t>Other</t>
  </si>
  <si>
    <t>Total</t>
  </si>
  <si>
    <t>Winter Volumes</t>
  </si>
  <si>
    <t>Peak Day</t>
  </si>
  <si>
    <t>Base Rate Revenue</t>
  </si>
  <si>
    <t>Gas Costs</t>
  </si>
  <si>
    <t>Total Revenues</t>
  </si>
  <si>
    <t>Transp. T-4</t>
  </si>
  <si>
    <t>Transp. Firm</t>
  </si>
  <si>
    <t>Transp. EDR</t>
  </si>
  <si>
    <t>Transp. T-3 (Int.)</t>
  </si>
  <si>
    <t>Transp. Sp. Cont.</t>
  </si>
  <si>
    <t>Delta</t>
  </si>
  <si>
    <t>From KY Revenue Billing Unit Forecast TYE 3.31.2019.xlsx (Test Year Monthly - (Pres) tab)</t>
  </si>
  <si>
    <t>NTB</t>
  </si>
  <si>
    <t>Base Load per Customer (Jul &amp; Aug)</t>
  </si>
  <si>
    <t>Total Base Load per year</t>
  </si>
  <si>
    <t>Average Daily Base Load per Customer</t>
  </si>
  <si>
    <t>Heating Load Per Year</t>
  </si>
  <si>
    <t>Annual HDDs</t>
  </si>
  <si>
    <t>Heating Load per Customer per HDD</t>
  </si>
  <si>
    <t>Peak Design Day HDD</t>
  </si>
  <si>
    <t>Peak Day per Average Customer</t>
  </si>
  <si>
    <t>Total Class Peak Day, Mcf</t>
  </si>
  <si>
    <t>Base Load (Jul &amp; Aug)</t>
  </si>
  <si>
    <t>Customers (Jul &amp; Aug)</t>
  </si>
  <si>
    <t>Annual Bills</t>
  </si>
  <si>
    <t>Base Load                  (Jul &amp; Aug)</t>
  </si>
  <si>
    <t>Customers                (Jul &amp; Aug)</t>
  </si>
  <si>
    <t>Energy</t>
  </si>
  <si>
    <t>Demand</t>
  </si>
  <si>
    <t>Customer</t>
  </si>
  <si>
    <t>FR 16(8)(c)2.3</t>
  </si>
  <si>
    <t>Schedule C-2.3 F</t>
  </si>
  <si>
    <t>Witness: Waller</t>
  </si>
  <si>
    <t>Payroll Related</t>
  </si>
  <si>
    <t>Property Related</t>
  </si>
  <si>
    <t>DOT transmission User Tax</t>
  </si>
  <si>
    <t>Public Service Commission Assessment</t>
  </si>
  <si>
    <t>Forecasted</t>
  </si>
  <si>
    <t>From C.2.3 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</si>
</sst>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Helvetica-Narrow"/>
      <family val="2"/>
    </font>
    <font>
      <sz val="12"/>
      <color rgb="FF0000FF"/>
      <name val="Helvetica-Narrow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" applyFont="1" applyAlignment="1">
      <alignment horizontal="right" wrapText="1"/>
    </xf>
    <xf numFmtId="43" fontId="0" fillId="0" borderId="0" xfId="1" applyFont="1" applyAlignment="1">
      <alignment horizontal="right" wrapText="1"/>
    </xf>
    <xf numFmtId="43" fontId="0" fillId="0" borderId="0" xfId="1" applyFont="1" applyAlignment="1">
      <alignment horizontal="center" wrapText="1"/>
    </xf>
    <xf numFmtId="43" fontId="0" fillId="0" borderId="0" xfId="0" applyNumberFormat="1"/>
    <xf numFmtId="44" fontId="0" fillId="0" borderId="0" xfId="2" applyFont="1"/>
    <xf numFmtId="43" fontId="0" fillId="0" borderId="0" xfId="0" applyNumberFormat="1" applyAlignment="1">
      <alignment horizontal="center" wrapText="1"/>
    </xf>
    <xf numFmtId="43" fontId="0" fillId="0" borderId="0" xfId="1" applyFont="1"/>
    <xf numFmtId="43" fontId="0" fillId="2" borderId="0" xfId="1" applyFont="1" applyFill="1" applyAlignment="1">
      <alignment horizontal="center" wrapText="1"/>
    </xf>
    <xf numFmtId="43" fontId="0" fillId="2" borderId="0" xfId="1" applyFont="1" applyFill="1"/>
    <xf numFmtId="164" fontId="0" fillId="2" borderId="0" xfId="1" applyNumberFormat="1" applyFont="1" applyFill="1"/>
    <xf numFmtId="43" fontId="0" fillId="0" borderId="0" xfId="1" applyFont="1" applyFill="1"/>
    <xf numFmtId="164" fontId="0" fillId="0" borderId="0" xfId="1" applyNumberFormat="1" applyFont="1" applyFill="1"/>
    <xf numFmtId="44" fontId="0" fillId="0" borderId="0" xfId="0" applyNumberFormat="1"/>
    <xf numFmtId="43" fontId="0" fillId="0" borderId="0" xfId="1" applyFont="1" applyFill="1" applyAlignment="1">
      <alignment horizontal="right" wrapText="1"/>
    </xf>
    <xf numFmtId="43" fontId="0" fillId="0" borderId="0" xfId="1" applyFont="1" applyFill="1" applyAlignment="1">
      <alignment horizontal="center" wrapText="1"/>
    </xf>
    <xf numFmtId="43" fontId="2" fillId="2" borderId="0" xfId="1" applyFont="1" applyFill="1"/>
    <xf numFmtId="0" fontId="0" fillId="2" borderId="0" xfId="0" applyFill="1"/>
    <xf numFmtId="43" fontId="2" fillId="2" borderId="0" xfId="1" applyFont="1" applyFill="1" applyAlignment="1">
      <alignment horizontal="center" wrapText="1"/>
    </xf>
    <xf numFmtId="43" fontId="2" fillId="0" borderId="0" xfId="1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0" borderId="0" xfId="0" applyFill="1"/>
    <xf numFmtId="0" fontId="0" fillId="0" borderId="0" xfId="0" applyFont="1" applyAlignment="1">
      <alignment horizontal="center" wrapText="1"/>
    </xf>
    <xf numFmtId="0" fontId="0" fillId="0" borderId="0" xfId="0" applyFont="1"/>
    <xf numFmtId="0" fontId="2" fillId="0" borderId="0" xfId="0" applyFont="1" applyFill="1"/>
    <xf numFmtId="4" fontId="2" fillId="0" borderId="0" xfId="0" applyNumberFormat="1" applyFont="1" applyFill="1"/>
    <xf numFmtId="3" fontId="2" fillId="0" borderId="0" xfId="0" applyNumberFormat="1" applyFont="1" applyFill="1"/>
    <xf numFmtId="165" fontId="2" fillId="0" borderId="0" xfId="0" applyNumberFormat="1" applyFont="1" applyFill="1"/>
    <xf numFmtId="0" fontId="0" fillId="0" borderId="0" xfId="0" applyFont="1" applyFill="1"/>
    <xf numFmtId="44" fontId="2" fillId="0" borderId="0" xfId="2" applyFont="1" applyAlignment="1">
      <alignment horizontal="right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0" fillId="7" borderId="0" xfId="0" applyFill="1" applyAlignment="1">
      <alignment horizontal="center" wrapText="1"/>
    </xf>
    <xf numFmtId="43" fontId="2" fillId="2" borderId="0" xfId="1" applyFont="1" applyFill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0" fillId="9" borderId="0" xfId="0" applyFill="1" applyAlignment="1">
      <alignment horizontal="center" wrapText="1"/>
    </xf>
    <xf numFmtId="0" fontId="5" fillId="0" borderId="0" xfId="0" applyFont="1"/>
    <xf numFmtId="0" fontId="6" fillId="0" borderId="0" xfId="0" applyFont="1"/>
    <xf numFmtId="164" fontId="6" fillId="0" borderId="0" xfId="1" applyNumberFormat="1" applyFont="1" applyFill="1"/>
    <xf numFmtId="9" fontId="6" fillId="0" borderId="0" xfId="3" applyFont="1"/>
    <xf numFmtId="0" fontId="5" fillId="10" borderId="0" xfId="0" applyFont="1" applyFill="1"/>
    <xf numFmtId="44" fontId="5" fillId="0" borderId="0" xfId="2" applyFont="1"/>
    <xf numFmtId="44" fontId="6" fillId="0" borderId="0" xfId="2" applyFont="1"/>
    <xf numFmtId="44" fontId="5" fillId="0" borderId="0" xfId="2" applyNumberFormat="1" applyFont="1"/>
    <xf numFmtId="44" fontId="6" fillId="0" borderId="0" xfId="2" applyNumberFormat="1" applyFont="1"/>
    <xf numFmtId="44" fontId="5" fillId="0" borderId="0" xfId="2" applyNumberFormat="1" applyFont="1" applyBorder="1" applyAlignment="1">
      <alignment horizontal="center"/>
    </xf>
    <xf numFmtId="44" fontId="6" fillId="0" borderId="0" xfId="2" applyNumberFormat="1" applyFont="1" applyFill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defaultRowHeight="15"/>
  <cols>
    <col min="1" max="1" width="25.7109375" customWidth="1"/>
    <col min="2" max="6" width="18.7109375" style="2" customWidth="1"/>
    <col min="7" max="7" width="14.28515625" bestFit="1" customWidth="1"/>
    <col min="8" max="8" width="16.28515625" bestFit="1" customWidth="1"/>
    <col min="9" max="9" width="15.28515625" bestFit="1" customWidth="1"/>
    <col min="10" max="10" width="15" bestFit="1" customWidth="1"/>
    <col min="11" max="11" width="14.7109375" bestFit="1" customWidth="1"/>
    <col min="12" max="12" width="11.5703125" bestFit="1" customWidth="1"/>
    <col min="13" max="13" width="10.5703125" bestFit="1" customWidth="1"/>
  </cols>
  <sheetData>
    <row r="1" spans="1:10">
      <c r="A1" s="1" t="s">
        <v>3</v>
      </c>
      <c r="B1" s="2" t="s">
        <v>23</v>
      </c>
      <c r="C1" s="2" t="s">
        <v>0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20</v>
      </c>
      <c r="I1" s="2" t="s">
        <v>22</v>
      </c>
      <c r="J1" s="2" t="s">
        <v>36</v>
      </c>
    </row>
    <row r="2" spans="1:10">
      <c r="A2" t="s">
        <v>1</v>
      </c>
      <c r="B2" s="15">
        <f>SUM(C2:J2)</f>
        <v>170729275.91142058</v>
      </c>
      <c r="C2" s="3">
        <f>+K21</f>
        <v>98377919.415192276</v>
      </c>
      <c r="D2" s="3">
        <f>+K22+K25+K28</f>
        <v>50911821.310915865</v>
      </c>
      <c r="E2" s="3">
        <f>+K23+K26</f>
        <v>1859356.7160709677</v>
      </c>
      <c r="F2" s="3">
        <f>+K32</f>
        <v>7938799.7588450694</v>
      </c>
      <c r="G2" s="3">
        <f>+K29</f>
        <v>7263288.7124904357</v>
      </c>
      <c r="H2" s="31">
        <f>+K34</f>
        <v>2274059.6602829532</v>
      </c>
      <c r="I2" s="7">
        <f>+K35</f>
        <v>2104018.1796976668</v>
      </c>
      <c r="J2" s="6">
        <f>+M33</f>
        <v>12.15792537946254</v>
      </c>
    </row>
    <row r="3" spans="1:10">
      <c r="A3" t="s">
        <v>26</v>
      </c>
      <c r="B3" s="15">
        <f>SUM(C3:J3)</f>
        <v>92020158.668611586</v>
      </c>
      <c r="C3" s="3">
        <f>+I21</f>
        <v>51334630.411812663</v>
      </c>
      <c r="D3" s="3">
        <f>+I22+I25+I28</f>
        <v>20685196.55497038</v>
      </c>
      <c r="E3" s="3">
        <f>+I23+I26</f>
        <v>420153.23258701997</v>
      </c>
      <c r="F3" s="3">
        <f>+I32</f>
        <v>7938799.7588450694</v>
      </c>
      <c r="G3" s="3">
        <f>+I29</f>
        <v>7263288.7124904357</v>
      </c>
      <c r="H3" s="31">
        <f>+I34</f>
        <v>2274059.6602829532</v>
      </c>
      <c r="I3" s="6">
        <f>+I35</f>
        <v>2104018.1796976668</v>
      </c>
      <c r="J3" s="6">
        <f>+J2</f>
        <v>12.15792537946254</v>
      </c>
    </row>
    <row r="4" spans="1:10">
      <c r="A4" s="23" t="s">
        <v>27</v>
      </c>
      <c r="B4" s="15">
        <f>SUM(C4:I4)</f>
        <v>78709117.242809027</v>
      </c>
      <c r="C4" s="3">
        <f>+J21</f>
        <v>47043289.003379613</v>
      </c>
      <c r="D4" s="3">
        <f>+J22+J25+J28</f>
        <v>30226624.755945481</v>
      </c>
      <c r="E4" s="3">
        <f>+J23+J26</f>
        <v>1439203.4834839478</v>
      </c>
      <c r="F4" s="3">
        <f>+J32</f>
        <v>0</v>
      </c>
      <c r="G4" s="3">
        <f>+J29</f>
        <v>0</v>
      </c>
      <c r="H4" s="3">
        <f>+J34</f>
        <v>0</v>
      </c>
      <c r="I4" s="3">
        <f>+J35</f>
        <v>0</v>
      </c>
    </row>
    <row r="5" spans="1:10">
      <c r="A5" s="23" t="s">
        <v>4</v>
      </c>
      <c r="B5" s="9">
        <f t="shared" ref="B5:B12" si="0">SUM(C5:J5)</f>
        <v>176585.55</v>
      </c>
      <c r="C5" s="4">
        <f>+E21</f>
        <v>157197.25</v>
      </c>
      <c r="D5" s="4">
        <f>+E22+E25+E28</f>
        <v>19166.916666666668</v>
      </c>
      <c r="E5" s="4">
        <f>+E23+E26</f>
        <v>11.833333333333332</v>
      </c>
      <c r="F5" s="4">
        <f>+E32</f>
        <v>124.66666666666667</v>
      </c>
      <c r="G5" s="4">
        <f>+E29</f>
        <v>71</v>
      </c>
      <c r="H5" s="3">
        <f>+E34</f>
        <v>13.883333333333338</v>
      </c>
      <c r="I5" s="3">
        <f>+E35</f>
        <v>0</v>
      </c>
    </row>
    <row r="6" spans="1:10">
      <c r="A6" s="23" t="s">
        <v>5</v>
      </c>
      <c r="B6" s="9">
        <f t="shared" si="0"/>
        <v>2119026.6</v>
      </c>
      <c r="C6" s="16">
        <f>+H21</f>
        <v>1886367</v>
      </c>
      <c r="D6" s="4">
        <f>+H22+H25+H28</f>
        <v>230003</v>
      </c>
      <c r="E6" s="4">
        <f>+H23+H26</f>
        <v>142</v>
      </c>
      <c r="F6" s="4">
        <f>+H32</f>
        <v>1496</v>
      </c>
      <c r="G6" s="4">
        <f>+H29</f>
        <v>852</v>
      </c>
      <c r="H6" s="3">
        <f>+H34</f>
        <v>166.60000000000005</v>
      </c>
      <c r="I6" s="3">
        <f>+H35</f>
        <v>0</v>
      </c>
    </row>
    <row r="7" spans="1:10">
      <c r="A7" t="s">
        <v>2</v>
      </c>
      <c r="B7" s="9">
        <f t="shared" si="0"/>
        <v>46199926.514094047</v>
      </c>
      <c r="C7" s="17">
        <f>+F21</f>
        <v>10026385.522694048</v>
      </c>
      <c r="D7" s="5">
        <f>+F22+F25+F28</f>
        <v>6416580.2100000009</v>
      </c>
      <c r="E7" s="5">
        <f>+F23+F26</f>
        <v>415032.19779999997</v>
      </c>
      <c r="F7" s="5">
        <f>+F32</f>
        <v>7240217</v>
      </c>
      <c r="G7" s="5">
        <f>+F29</f>
        <v>8278698.5835999995</v>
      </c>
      <c r="H7" s="3">
        <f>+F34</f>
        <v>13823013</v>
      </c>
      <c r="I7" s="3">
        <f>+F35</f>
        <v>0</v>
      </c>
    </row>
    <row r="8" spans="1:10">
      <c r="A8" t="s">
        <v>24</v>
      </c>
      <c r="B8" s="9">
        <f t="shared" si="0"/>
        <v>25958087.581257325</v>
      </c>
      <c r="C8" s="5">
        <f>+G21</f>
        <v>7740869.295525657</v>
      </c>
      <c r="D8" s="5">
        <f>+G22+G25+G28</f>
        <v>4379776.1399999997</v>
      </c>
      <c r="E8" s="5">
        <f>+G23+G26</f>
        <v>229696.32000000004</v>
      </c>
      <c r="F8" s="5">
        <f>+G32</f>
        <v>3595233.3232974363</v>
      </c>
      <c r="G8" s="5">
        <f>+G29</f>
        <v>3759831.6317454008</v>
      </c>
      <c r="H8" s="3">
        <f>+G34</f>
        <v>6252680.8706888296</v>
      </c>
      <c r="I8" s="3">
        <f>+G35</f>
        <v>0</v>
      </c>
    </row>
    <row r="9" spans="1:10">
      <c r="A9" s="26" t="s">
        <v>46</v>
      </c>
      <c r="B9" s="9">
        <f t="shared" si="0"/>
        <v>5308185.6199422488</v>
      </c>
      <c r="C9" s="5">
        <f>+C21</f>
        <v>311658.1719540396</v>
      </c>
      <c r="D9" s="5">
        <f>+C22+C25+C28</f>
        <v>420094.80999999994</v>
      </c>
      <c r="E9" s="5">
        <f>+C23+C26</f>
        <v>61353.01</v>
      </c>
      <c r="F9" s="5">
        <f>+C32</f>
        <v>1026700.0083434519</v>
      </c>
      <c r="G9" s="5">
        <f>+C29</f>
        <v>1256190.1024198914</v>
      </c>
      <c r="H9" s="3">
        <f>+C34</f>
        <v>2232189.517224866</v>
      </c>
      <c r="I9" s="3">
        <f>+C35</f>
        <v>0</v>
      </c>
    </row>
    <row r="10" spans="1:10">
      <c r="A10" s="26" t="s">
        <v>47</v>
      </c>
      <c r="B10" s="9">
        <f t="shared" si="0"/>
        <v>347399.11111111107</v>
      </c>
      <c r="C10" s="5">
        <f>+D21</f>
        <v>309422</v>
      </c>
      <c r="D10" s="5">
        <f>+D22+D25+D28</f>
        <v>37539.244444444441</v>
      </c>
      <c r="E10" s="5">
        <f>+D23+D26</f>
        <v>20</v>
      </c>
      <c r="F10" s="5">
        <f>+D32</f>
        <v>248</v>
      </c>
      <c r="G10" s="5">
        <f>+D29</f>
        <v>142</v>
      </c>
      <c r="H10" s="3">
        <f>+D34</f>
        <v>27.866666666666667</v>
      </c>
      <c r="I10" s="3">
        <f>+D35</f>
        <v>0</v>
      </c>
    </row>
    <row r="11" spans="1:10">
      <c r="A11" t="s">
        <v>25</v>
      </c>
      <c r="B11" s="9">
        <f t="shared" si="0"/>
        <v>259256.27434171591</v>
      </c>
      <c r="C11" s="5">
        <f>+peakday!C16</f>
        <v>128363.63774961254</v>
      </c>
      <c r="D11" s="5">
        <f>+peakday!D16</f>
        <v>65288.648247649377</v>
      </c>
      <c r="E11" s="5">
        <f>+peakday!E16</f>
        <v>881.63347580439131</v>
      </c>
      <c r="F11" s="5">
        <f>+peakday!F16</f>
        <v>32834.089729225103</v>
      </c>
      <c r="G11" s="5">
        <f>+peakday!G16</f>
        <v>31888.26513942454</v>
      </c>
      <c r="H11" s="3">
        <v>0</v>
      </c>
      <c r="I11" s="3">
        <v>0</v>
      </c>
    </row>
    <row r="12" spans="1:10">
      <c r="A12" t="s">
        <v>6</v>
      </c>
      <c r="B12" s="9">
        <f t="shared" si="0"/>
        <v>42431129.609475128</v>
      </c>
      <c r="C12" s="3">
        <v>27283140.698125124</v>
      </c>
      <c r="D12" s="3">
        <v>14025284.783221994</v>
      </c>
      <c r="E12" s="3">
        <v>60010.53459089691</v>
      </c>
      <c r="F12" s="3">
        <v>632223.66019705485</v>
      </c>
      <c r="G12" s="3">
        <v>360063.20754538151</v>
      </c>
      <c r="H12" s="3">
        <v>70406.725794672049</v>
      </c>
      <c r="I12" s="3">
        <v>0</v>
      </c>
    </row>
    <row r="13" spans="1:10">
      <c r="B13" s="9"/>
      <c r="G13" s="2"/>
      <c r="H13" s="2"/>
    </row>
    <row r="14" spans="1:10">
      <c r="B14"/>
      <c r="G14" s="2"/>
      <c r="H14" s="2"/>
    </row>
    <row r="15" spans="1:10">
      <c r="A15" s="7"/>
      <c r="B15"/>
      <c r="C15" s="8"/>
      <c r="D15" s="8"/>
      <c r="E15" s="8"/>
      <c r="F15" s="8"/>
      <c r="G15" s="8"/>
      <c r="H15" s="8"/>
    </row>
    <row r="16" spans="1:10">
      <c r="B16"/>
      <c r="C16" s="8"/>
      <c r="D16" s="8"/>
      <c r="E16" s="8"/>
      <c r="F16" s="8"/>
      <c r="G16" s="8"/>
      <c r="H16" s="8"/>
    </row>
    <row r="17" spans="1:12">
      <c r="A17" s="6"/>
      <c r="B17" s="6"/>
      <c r="G17" s="2"/>
    </row>
    <row r="19" spans="1:12">
      <c r="C19" s="51" t="s">
        <v>35</v>
      </c>
      <c r="D19" s="51"/>
      <c r="E19" s="51"/>
      <c r="F19" s="51"/>
      <c r="G19" s="51"/>
      <c r="H19" s="51"/>
      <c r="I19" s="51"/>
    </row>
    <row r="20" spans="1:12" ht="30">
      <c r="A20" s="2"/>
      <c r="B20" s="2" t="s">
        <v>11</v>
      </c>
      <c r="C20" s="39" t="s">
        <v>49</v>
      </c>
      <c r="D20" s="38" t="s">
        <v>50</v>
      </c>
      <c r="E20" s="33" t="s">
        <v>4</v>
      </c>
      <c r="F20" s="32" t="s">
        <v>12</v>
      </c>
      <c r="G20" s="34" t="s">
        <v>24</v>
      </c>
      <c r="H20" s="33" t="s">
        <v>5</v>
      </c>
      <c r="I20" s="36" t="s">
        <v>26</v>
      </c>
      <c r="J20" s="35" t="s">
        <v>27</v>
      </c>
      <c r="K20" s="1" t="s">
        <v>28</v>
      </c>
      <c r="L20" s="1" t="s">
        <v>34</v>
      </c>
    </row>
    <row r="21" spans="1:12">
      <c r="A21" s="22" t="s">
        <v>0</v>
      </c>
      <c r="B21" s="20">
        <v>98377919.415192276</v>
      </c>
      <c r="C21" s="20">
        <v>311658.1719540396</v>
      </c>
      <c r="D21" s="20">
        <v>309422</v>
      </c>
      <c r="E21" s="11">
        <f>+H21/12</f>
        <v>157197.25</v>
      </c>
      <c r="F21" s="11">
        <v>10026385.522694048</v>
      </c>
      <c r="G21" s="11">
        <v>7740869.295525657</v>
      </c>
      <c r="H21" s="12">
        <v>1886367</v>
      </c>
      <c r="I21" s="11">
        <v>51334630.411812663</v>
      </c>
      <c r="J21" s="11">
        <v>47043289.003379613</v>
      </c>
      <c r="K21" s="11">
        <f>+I21+J21</f>
        <v>98377919.415192276</v>
      </c>
      <c r="L21" s="6">
        <f>+B21-K21</f>
        <v>0</v>
      </c>
    </row>
    <row r="22" spans="1:12">
      <c r="A22" s="2" t="s">
        <v>13</v>
      </c>
      <c r="B22" s="21"/>
      <c r="C22" s="21">
        <v>317829.33999999997</v>
      </c>
      <c r="D22" s="21">
        <v>34021</v>
      </c>
      <c r="E22" s="9">
        <f t="shared" ref="E22:E34" si="1">+H22/12</f>
        <v>17415.916666666668</v>
      </c>
      <c r="F22" s="13">
        <v>4885453.3400000008</v>
      </c>
      <c r="G22" s="13">
        <v>3332827.8499999996</v>
      </c>
      <c r="H22" s="14">
        <v>208991</v>
      </c>
      <c r="I22" s="13">
        <v>17567627.037610527</v>
      </c>
      <c r="J22" s="13">
        <v>23012114.9070508</v>
      </c>
      <c r="K22" s="9">
        <f t="shared" ref="K22:K35" si="2">+I22+J22</f>
        <v>40579741.944661327</v>
      </c>
      <c r="L22" s="6"/>
    </row>
    <row r="23" spans="1:12">
      <c r="A23" s="2" t="s">
        <v>14</v>
      </c>
      <c r="B23" s="21"/>
      <c r="C23" s="21">
        <v>115.57</v>
      </c>
      <c r="D23" s="21">
        <v>4</v>
      </c>
      <c r="E23" s="9">
        <f t="shared" si="1"/>
        <v>2.6666666666666665</v>
      </c>
      <c r="F23" s="13">
        <v>10380.3439</v>
      </c>
      <c r="G23" s="13">
        <v>8043.28</v>
      </c>
      <c r="H23" s="14">
        <v>32</v>
      </c>
      <c r="I23" s="13">
        <v>22022.77911901</v>
      </c>
      <c r="J23" s="13">
        <v>35300.308792705342</v>
      </c>
      <c r="K23" s="9">
        <f t="shared" si="2"/>
        <v>57323.087911715338</v>
      </c>
      <c r="L23" s="6"/>
    </row>
    <row r="24" spans="1:12">
      <c r="A24" s="22" t="s">
        <v>15</v>
      </c>
      <c r="B24" s="20">
        <v>40637063.737204</v>
      </c>
      <c r="C24" s="11">
        <f t="shared" ref="C24:D24" si="3">+C22+C23</f>
        <v>317944.90999999997</v>
      </c>
      <c r="D24" s="11">
        <f t="shared" si="3"/>
        <v>34025</v>
      </c>
      <c r="E24" s="11">
        <f t="shared" si="1"/>
        <v>17418.583333333332</v>
      </c>
      <c r="F24" s="11">
        <f>+F22+F23</f>
        <v>4895833.6839000005</v>
      </c>
      <c r="G24" s="11">
        <f>+G22+G23</f>
        <v>3340871.1299999994</v>
      </c>
      <c r="H24" s="12">
        <f t="shared" ref="H24:J24" si="4">+H22+H23</f>
        <v>209023</v>
      </c>
      <c r="I24" s="11">
        <f t="shared" si="4"/>
        <v>17589649.816729538</v>
      </c>
      <c r="J24" s="11">
        <f t="shared" si="4"/>
        <v>23047415.215843506</v>
      </c>
      <c r="K24" s="11">
        <f t="shared" si="2"/>
        <v>40637065.032573044</v>
      </c>
      <c r="L24" s="6">
        <f>+B24-K24</f>
        <v>-1.2953690439462662</v>
      </c>
    </row>
    <row r="25" spans="1:12">
      <c r="A25" s="2" t="s">
        <v>16</v>
      </c>
      <c r="B25" s="21"/>
      <c r="C25" s="21">
        <v>48700.09</v>
      </c>
      <c r="D25" s="21">
        <v>401.24444444444441</v>
      </c>
      <c r="E25" s="9">
        <f t="shared" si="1"/>
        <v>202.41666666666666</v>
      </c>
      <c r="F25" s="13">
        <v>568020.19999999995</v>
      </c>
      <c r="G25" s="13">
        <v>363245.5</v>
      </c>
      <c r="H25" s="14">
        <v>2429</v>
      </c>
      <c r="I25" s="13">
        <v>801847.59687999997</v>
      </c>
      <c r="J25" s="13">
        <v>2682859.382349499</v>
      </c>
      <c r="K25" s="9">
        <f t="shared" si="2"/>
        <v>3484706.9792294991</v>
      </c>
      <c r="L25" s="6"/>
    </row>
    <row r="26" spans="1:12">
      <c r="A26" s="2" t="s">
        <v>17</v>
      </c>
      <c r="B26" s="21"/>
      <c r="C26" s="21">
        <v>61237.440000000002</v>
      </c>
      <c r="D26" s="21">
        <v>16</v>
      </c>
      <c r="E26" s="9">
        <f t="shared" si="1"/>
        <v>9.1666666666666661</v>
      </c>
      <c r="F26" s="13">
        <v>404651.85389999999</v>
      </c>
      <c r="G26" s="13">
        <v>221653.04000000004</v>
      </c>
      <c r="H26" s="14">
        <v>110</v>
      </c>
      <c r="I26" s="13">
        <v>398130.45346800995</v>
      </c>
      <c r="J26" s="13">
        <v>1403903.1746912424</v>
      </c>
      <c r="K26" s="9">
        <f t="shared" si="2"/>
        <v>1802033.6281592525</v>
      </c>
      <c r="L26" s="6"/>
    </row>
    <row r="27" spans="1:12">
      <c r="A27" s="22" t="s">
        <v>18</v>
      </c>
      <c r="B27" s="20">
        <v>5286755.3393530799</v>
      </c>
      <c r="C27" s="11">
        <f t="shared" ref="C27:D27" si="5">+C25+C26</f>
        <v>109937.53</v>
      </c>
      <c r="D27" s="11">
        <f t="shared" si="5"/>
        <v>417.24444444444441</v>
      </c>
      <c r="E27" s="11">
        <f t="shared" si="1"/>
        <v>211.58333333333334</v>
      </c>
      <c r="F27" s="11">
        <f>+F25+F26</f>
        <v>972672.05389999994</v>
      </c>
      <c r="G27" s="11">
        <f>+G25+G26</f>
        <v>584898.54</v>
      </c>
      <c r="H27" s="12">
        <f t="shared" ref="H27" si="6">+H25+H26</f>
        <v>2539</v>
      </c>
      <c r="I27" s="11">
        <f t="shared" ref="I27" si="7">+I25+I26</f>
        <v>1199978.0503480099</v>
      </c>
      <c r="J27" s="11">
        <f t="shared" ref="J27:K27" si="8">+J25+J26</f>
        <v>4086762.5570407417</v>
      </c>
      <c r="K27" s="11">
        <f t="shared" si="8"/>
        <v>5286740.6073887516</v>
      </c>
      <c r="L27" s="6">
        <f>+B27-K27</f>
        <v>14.731964328326285</v>
      </c>
    </row>
    <row r="28" spans="1:12">
      <c r="A28" s="22" t="s">
        <v>19</v>
      </c>
      <c r="B28" s="20">
        <v>6847372.3870250396</v>
      </c>
      <c r="C28" s="20">
        <v>53565.380000000005</v>
      </c>
      <c r="D28" s="20">
        <v>3117</v>
      </c>
      <c r="E28" s="11">
        <f t="shared" si="1"/>
        <v>1548.5833333333333</v>
      </c>
      <c r="F28" s="11">
        <v>963106.66999999993</v>
      </c>
      <c r="G28" s="11">
        <v>683702.79</v>
      </c>
      <c r="H28" s="12">
        <v>18583</v>
      </c>
      <c r="I28" s="11">
        <v>2315721.9204798536</v>
      </c>
      <c r="J28" s="11">
        <v>4531650.4665451851</v>
      </c>
      <c r="K28" s="18">
        <f>+I28+J28</f>
        <v>6847372.3870250387</v>
      </c>
      <c r="L28" s="6">
        <f>+B28-K28</f>
        <v>0</v>
      </c>
    </row>
    <row r="29" spans="1:12">
      <c r="A29" s="2" t="s">
        <v>32</v>
      </c>
      <c r="B29" s="21"/>
      <c r="C29" s="21">
        <v>1256190.1024198914</v>
      </c>
      <c r="D29" s="21">
        <v>142</v>
      </c>
      <c r="E29" s="9">
        <f t="shared" si="1"/>
        <v>71</v>
      </c>
      <c r="F29" s="13">
        <v>8278698.5835999995</v>
      </c>
      <c r="G29" s="13">
        <v>3759831.6317454008</v>
      </c>
      <c r="H29" s="14">
        <v>852</v>
      </c>
      <c r="I29" s="13">
        <v>7263288.7124904357</v>
      </c>
      <c r="J29" s="13">
        <v>0</v>
      </c>
      <c r="K29" s="9">
        <f t="shared" si="2"/>
        <v>7263288.7124904357</v>
      </c>
      <c r="L29" s="6"/>
    </row>
    <row r="30" spans="1:12">
      <c r="A30" s="2" t="s">
        <v>29</v>
      </c>
      <c r="B30" s="21"/>
      <c r="C30" s="21">
        <v>995129.00834345189</v>
      </c>
      <c r="D30" s="21">
        <v>248</v>
      </c>
      <c r="E30" s="9">
        <f t="shared" si="1"/>
        <v>124.66666666666667</v>
      </c>
      <c r="F30" s="13">
        <v>7027602</v>
      </c>
      <c r="G30" s="13">
        <v>3496499.3232974363</v>
      </c>
      <c r="H30" s="14">
        <v>1496</v>
      </c>
      <c r="I30" s="13">
        <v>7820798.4338450693</v>
      </c>
      <c r="J30" s="13">
        <v>0</v>
      </c>
      <c r="K30" s="9">
        <f t="shared" si="2"/>
        <v>7820798.4338450693</v>
      </c>
      <c r="L30" s="6"/>
    </row>
    <row r="31" spans="1:12">
      <c r="A31" s="2" t="s">
        <v>31</v>
      </c>
      <c r="B31" s="21"/>
      <c r="C31" s="21">
        <v>31571</v>
      </c>
      <c r="D31" s="21">
        <v>0</v>
      </c>
      <c r="E31" s="9">
        <f t="shared" si="1"/>
        <v>0</v>
      </c>
      <c r="F31" s="13">
        <v>212615</v>
      </c>
      <c r="G31" s="13">
        <v>98734</v>
      </c>
      <c r="H31" s="14">
        <v>0</v>
      </c>
      <c r="I31" s="14">
        <v>118001.32499999998</v>
      </c>
      <c r="J31" s="13">
        <v>0</v>
      </c>
      <c r="K31" s="9">
        <f t="shared" si="2"/>
        <v>118001.32499999998</v>
      </c>
      <c r="L31" s="6"/>
    </row>
    <row r="32" spans="1:12">
      <c r="A32" s="2" t="s">
        <v>30</v>
      </c>
      <c r="B32" s="21"/>
      <c r="C32" s="13">
        <f t="shared" ref="C32:D32" si="9">+C30+C31</f>
        <v>1026700.0083434519</v>
      </c>
      <c r="D32" s="13">
        <f t="shared" si="9"/>
        <v>248</v>
      </c>
      <c r="E32" s="9">
        <f>+H32/12</f>
        <v>124.66666666666667</v>
      </c>
      <c r="F32" s="13">
        <f>+F30+F31</f>
        <v>7240217</v>
      </c>
      <c r="G32" s="13">
        <f>+G30+G31</f>
        <v>3595233.3232974363</v>
      </c>
      <c r="H32" s="13">
        <f t="shared" ref="H32:K32" si="10">+H30+H31</f>
        <v>1496</v>
      </c>
      <c r="I32" s="13">
        <f t="shared" si="10"/>
        <v>7938799.7588450694</v>
      </c>
      <c r="J32" s="13">
        <f t="shared" si="10"/>
        <v>0</v>
      </c>
      <c r="K32" s="13">
        <f t="shared" si="10"/>
        <v>7938799.7588450694</v>
      </c>
      <c r="L32" s="6"/>
    </row>
    <row r="33" spans="1:13">
      <c r="A33" s="22" t="s">
        <v>21</v>
      </c>
      <c r="B33" s="37">
        <v>15202087.192665599</v>
      </c>
      <c r="C33" s="11">
        <f t="shared" ref="C33:D33" si="11">+C29+C32</f>
        <v>2282890.1107633431</v>
      </c>
      <c r="D33" s="11">
        <f t="shared" si="11"/>
        <v>390</v>
      </c>
      <c r="E33" s="11">
        <f>+H33/12</f>
        <v>195.66666666666666</v>
      </c>
      <c r="F33" s="11">
        <f t="shared" ref="F33:K33" si="12">+F29+F32</f>
        <v>15518915.5836</v>
      </c>
      <c r="G33" s="11">
        <f t="shared" si="12"/>
        <v>7355064.9550428372</v>
      </c>
      <c r="H33" s="11">
        <f t="shared" si="12"/>
        <v>2348</v>
      </c>
      <c r="I33" s="11">
        <f t="shared" si="12"/>
        <v>15202088.471335504</v>
      </c>
      <c r="J33" s="11">
        <f t="shared" si="12"/>
        <v>0</v>
      </c>
      <c r="K33" s="11">
        <f t="shared" si="12"/>
        <v>15202088.471335504</v>
      </c>
      <c r="L33" s="6">
        <f>+B33-K33</f>
        <v>-1.2786699049174786</v>
      </c>
      <c r="M33" s="6">
        <f>SUM(L21:L33)</f>
        <v>12.15792537946254</v>
      </c>
    </row>
    <row r="34" spans="1:13">
      <c r="A34" s="22" t="s">
        <v>33</v>
      </c>
      <c r="B34" s="37">
        <v>2274059.6602829499</v>
      </c>
      <c r="C34" s="20">
        <v>2232189.517224866</v>
      </c>
      <c r="D34" s="20">
        <v>27.866666666666667</v>
      </c>
      <c r="E34" s="11">
        <f t="shared" si="1"/>
        <v>13.883333333333338</v>
      </c>
      <c r="F34" s="11">
        <v>13823013</v>
      </c>
      <c r="G34" s="11">
        <v>6252680.8706888296</v>
      </c>
      <c r="H34" s="11">
        <v>166.60000000000005</v>
      </c>
      <c r="I34" s="11">
        <v>2274059.6602829532</v>
      </c>
      <c r="J34" s="11">
        <v>0</v>
      </c>
      <c r="K34" s="18">
        <f t="shared" si="2"/>
        <v>2274059.6602829532</v>
      </c>
      <c r="L34" s="6">
        <f>+B34-K34</f>
        <v>0</v>
      </c>
    </row>
    <row r="35" spans="1:13">
      <c r="A35" s="22" t="s">
        <v>22</v>
      </c>
      <c r="B35" s="20">
        <v>2104018.1796976668</v>
      </c>
      <c r="C35" s="20">
        <v>0</v>
      </c>
      <c r="D35" s="20">
        <v>0</v>
      </c>
      <c r="E35" s="11">
        <v>0</v>
      </c>
      <c r="F35" s="11">
        <v>0</v>
      </c>
      <c r="G35" s="11">
        <v>0</v>
      </c>
      <c r="H35" s="19">
        <v>0</v>
      </c>
      <c r="I35" s="10">
        <v>2104018.1796976668</v>
      </c>
      <c r="J35" s="11">
        <v>0</v>
      </c>
      <c r="K35" s="18">
        <f t="shared" si="2"/>
        <v>2104018.1796976668</v>
      </c>
      <c r="L35" s="6">
        <f>+B35-K35</f>
        <v>0</v>
      </c>
    </row>
    <row r="36" spans="1:13">
      <c r="A36" s="2"/>
      <c r="B36" s="21"/>
      <c r="C36" s="21"/>
      <c r="D36" s="21"/>
      <c r="E36" s="9"/>
      <c r="F36" s="9"/>
      <c r="G36" s="9"/>
      <c r="I36" s="9"/>
      <c r="J36" s="9"/>
      <c r="K36" s="9"/>
    </row>
    <row r="37" spans="1:13">
      <c r="A37" s="2" t="s">
        <v>23</v>
      </c>
      <c r="B37" s="21">
        <f>B21+B24+B27+B28+B33+B34+B35</f>
        <v>170729275.91142058</v>
      </c>
      <c r="C37" s="21">
        <f t="shared" ref="C37:D37" si="13">C21+C24+C27+C28+C33+C34+C35</f>
        <v>5308185.6199422488</v>
      </c>
      <c r="D37" s="21">
        <f t="shared" si="13"/>
        <v>347399.11111111107</v>
      </c>
      <c r="E37" s="21">
        <f>E21+E24+E27+E28+E33+E34+E35</f>
        <v>176585.55000000002</v>
      </c>
      <c r="F37" s="21">
        <f>F21+F24+F27+F28+F33+F34+F35</f>
        <v>46199926.514094047</v>
      </c>
      <c r="G37" s="21">
        <f t="shared" ref="G37:K37" si="14">G21+G24+G27+G28+G33+G34+G35</f>
        <v>25958087.581257325</v>
      </c>
      <c r="H37" s="21">
        <f t="shared" si="14"/>
        <v>2119026.6</v>
      </c>
      <c r="I37" s="21">
        <f>I21+I24+I27+I28+I33+I34+I35</f>
        <v>92020146.510686189</v>
      </c>
      <c r="J37" s="21">
        <f>J21+J24+J27+J28+J33+J34+J35</f>
        <v>78709117.242809027</v>
      </c>
      <c r="K37" s="21">
        <f t="shared" si="14"/>
        <v>170729263.75349522</v>
      </c>
      <c r="L37" s="6">
        <f>+B37-K37</f>
        <v>12.157925367355347</v>
      </c>
    </row>
    <row r="38" spans="1:13">
      <c r="A38" s="2"/>
      <c r="C38"/>
      <c r="D38"/>
      <c r="E38"/>
      <c r="F38" s="9"/>
      <c r="G38" s="9"/>
      <c r="H38" s="9"/>
    </row>
    <row r="39" spans="1:13">
      <c r="A39" s="2"/>
      <c r="B39" s="5"/>
      <c r="C39" s="9"/>
      <c r="D39"/>
      <c r="E39"/>
      <c r="F39"/>
    </row>
    <row r="40" spans="1:13">
      <c r="A40" s="2"/>
      <c r="B40" s="5"/>
      <c r="C40" s="9"/>
      <c r="D40"/>
      <c r="E40"/>
      <c r="F40"/>
    </row>
    <row r="41" spans="1:13">
      <c r="A41" s="2"/>
      <c r="B41" s="5"/>
      <c r="C41" s="9"/>
      <c r="D41"/>
      <c r="E41"/>
      <c r="F41"/>
    </row>
    <row r="42" spans="1:13">
      <c r="A42" s="2"/>
      <c r="B42" s="5"/>
      <c r="C42" s="9"/>
      <c r="D42"/>
      <c r="E42"/>
      <c r="F42"/>
    </row>
    <row r="43" spans="1:13">
      <c r="A43" s="2"/>
      <c r="B43" s="5"/>
      <c r="C43" s="9"/>
      <c r="D43"/>
      <c r="E43"/>
      <c r="F43"/>
    </row>
    <row r="44" spans="1:13">
      <c r="A44" s="2"/>
      <c r="B44" s="5"/>
      <c r="C44" s="9"/>
      <c r="D44"/>
      <c r="E44"/>
      <c r="F44"/>
    </row>
  </sheetData>
  <mergeCells count="1">
    <mergeCell ref="C19:I19"/>
  </mergeCells>
  <printOptions horizontalCentered="1"/>
  <pageMargins left="0.7" right="0.7" top="1" bottom="0.75" header="0.3" footer="0.3"/>
  <pageSetup scale="74" orientation="landscape" r:id="rId1"/>
  <headerFooter>
    <oddHeader>&amp;RCASE NO. 2017-00349
ATTACHMENT 6
TO STAFF DR NO. 1-64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workbookViewId="0"/>
  </sheetViews>
  <sheetFormatPr defaultRowHeight="15"/>
  <cols>
    <col min="1" max="1" width="35.7109375" style="25" customWidth="1"/>
    <col min="2" max="8" width="12.7109375" style="25" customWidth="1"/>
    <col min="9" max="16384" width="9.140625" style="25"/>
  </cols>
  <sheetData>
    <row r="1" spans="1:8" ht="30">
      <c r="A1" s="26"/>
      <c r="B1" s="24" t="s">
        <v>23</v>
      </c>
      <c r="C1" s="24" t="s">
        <v>0</v>
      </c>
      <c r="D1" s="24" t="s">
        <v>7</v>
      </c>
      <c r="E1" s="24" t="s">
        <v>8</v>
      </c>
      <c r="F1" s="24" t="s">
        <v>9</v>
      </c>
      <c r="G1" s="24" t="s">
        <v>10</v>
      </c>
      <c r="H1" s="24" t="s">
        <v>20</v>
      </c>
    </row>
    <row r="2" spans="1:8">
      <c r="A2" s="26"/>
      <c r="B2" s="26"/>
      <c r="C2" s="26"/>
      <c r="D2" s="26"/>
      <c r="E2" s="26"/>
      <c r="F2" s="26"/>
      <c r="G2" s="26"/>
      <c r="H2" s="26"/>
    </row>
    <row r="3" spans="1:8">
      <c r="A3" s="26" t="s">
        <v>37</v>
      </c>
      <c r="B3" s="27">
        <f>+B4/B5</f>
        <v>15.279790448987347</v>
      </c>
      <c r="C3" s="27">
        <f>+C4/C5</f>
        <v>1.0072269326487437</v>
      </c>
      <c r="D3" s="27">
        <f t="shared" ref="D3:H3" si="0">+D4/D5</f>
        <v>11.190816869575306</v>
      </c>
      <c r="E3" s="27">
        <f t="shared" si="0"/>
        <v>3067.6505000000002</v>
      </c>
      <c r="F3" s="27">
        <f t="shared" si="0"/>
        <v>4139.9193884816605</v>
      </c>
      <c r="G3" s="27">
        <f t="shared" si="0"/>
        <v>8846.4091719710668</v>
      </c>
      <c r="H3" s="27">
        <f t="shared" si="0"/>
        <v>80102.49463725595</v>
      </c>
    </row>
    <row r="4" spans="1:8">
      <c r="A4" s="26" t="s">
        <v>46</v>
      </c>
      <c r="B4" s="27">
        <f>SUM(C4:H4)</f>
        <v>5308185.6199422488</v>
      </c>
      <c r="C4" s="27">
        <f>+factors!C9</f>
        <v>311658.1719540396</v>
      </c>
      <c r="D4" s="27">
        <f>+factors!D9</f>
        <v>420094.80999999994</v>
      </c>
      <c r="E4" s="27">
        <f>+factors!E9</f>
        <v>61353.01</v>
      </c>
      <c r="F4" s="27">
        <f>+factors!F9</f>
        <v>1026700.0083434519</v>
      </c>
      <c r="G4" s="27">
        <f>+factors!G9</f>
        <v>1256190.1024198914</v>
      </c>
      <c r="H4" s="27">
        <f>+factors!H9</f>
        <v>2232189.517224866</v>
      </c>
    </row>
    <row r="5" spans="1:8">
      <c r="A5" s="26" t="s">
        <v>47</v>
      </c>
      <c r="B5" s="27">
        <f t="shared" ref="B5:B7" si="1">SUM(C5:H5)</f>
        <v>347399.11111111107</v>
      </c>
      <c r="C5" s="27">
        <f>+factors!C10</f>
        <v>309422</v>
      </c>
      <c r="D5" s="27">
        <f>+factors!D10</f>
        <v>37539.244444444441</v>
      </c>
      <c r="E5" s="27">
        <f>+factors!E10</f>
        <v>20</v>
      </c>
      <c r="F5" s="27">
        <f>+factors!F10</f>
        <v>248</v>
      </c>
      <c r="G5" s="27">
        <f>+factors!G10</f>
        <v>142</v>
      </c>
      <c r="H5" s="27">
        <f>+factors!H10</f>
        <v>27.866666666666667</v>
      </c>
    </row>
    <row r="6" spans="1:8">
      <c r="A6" s="26" t="s">
        <v>48</v>
      </c>
      <c r="B6" s="27">
        <f t="shared" si="1"/>
        <v>2119026.6</v>
      </c>
      <c r="C6" s="27">
        <f>+factors!C6</f>
        <v>1886367</v>
      </c>
      <c r="D6" s="27">
        <f>+factors!D6</f>
        <v>230003</v>
      </c>
      <c r="E6" s="27">
        <f>+factors!E6</f>
        <v>142</v>
      </c>
      <c r="F6" s="27">
        <f>+factors!F6</f>
        <v>1496</v>
      </c>
      <c r="G6" s="27">
        <f>+factors!G6</f>
        <v>852</v>
      </c>
      <c r="H6" s="27">
        <f>+factors!H6</f>
        <v>166.60000000000005</v>
      </c>
    </row>
    <row r="7" spans="1:8">
      <c r="A7" s="26" t="s">
        <v>38</v>
      </c>
      <c r="B7" s="27">
        <f t="shared" si="1"/>
        <v>31985063.096967503</v>
      </c>
      <c r="C7" s="28">
        <f>+C6*C3</f>
        <v>1899999.6472598128</v>
      </c>
      <c r="D7" s="28">
        <f t="shared" ref="D7:H7" si="2">+D6*D3</f>
        <v>2573921.4524529292</v>
      </c>
      <c r="E7" s="28">
        <f t="shared" si="2"/>
        <v>435606.37100000004</v>
      </c>
      <c r="F7" s="28">
        <f t="shared" si="2"/>
        <v>6193319.4051685641</v>
      </c>
      <c r="G7" s="28">
        <f t="shared" si="2"/>
        <v>7537140.6145193493</v>
      </c>
      <c r="H7" s="28">
        <f t="shared" si="2"/>
        <v>13345075.606566845</v>
      </c>
    </row>
    <row r="8" spans="1:8">
      <c r="A8" s="26" t="s">
        <v>39</v>
      </c>
      <c r="B8" s="29">
        <f>+B7/365/(B6/12)</f>
        <v>0.49624847477443923</v>
      </c>
      <c r="C8" s="29">
        <f>+C7/365/(C6/12)</f>
        <v>3.3114310114479246E-2</v>
      </c>
      <c r="D8" s="29">
        <f t="shared" ref="D8:H8" si="3">+D7/365/(D6/12)</f>
        <v>0.36791726694494159</v>
      </c>
      <c r="E8" s="29">
        <f t="shared" si="3"/>
        <v>100.85426301369864</v>
      </c>
      <c r="F8" s="29">
        <f t="shared" si="3"/>
        <v>136.10693879939706</v>
      </c>
      <c r="G8" s="29">
        <f t="shared" si="3"/>
        <v>290.84084948945974</v>
      </c>
      <c r="H8" s="29">
        <f t="shared" si="3"/>
        <v>2633.5066730056747</v>
      </c>
    </row>
    <row r="9" spans="1:8">
      <c r="A9" s="26" t="s">
        <v>12</v>
      </c>
      <c r="B9" s="27">
        <f t="shared" ref="B9:B10" si="4">SUM(C9:H9)</f>
        <v>46199926.514094047</v>
      </c>
      <c r="C9" s="28">
        <f>+factors!C7</f>
        <v>10026385.522694048</v>
      </c>
      <c r="D9" s="28">
        <f>+factors!D7</f>
        <v>6416580.2100000009</v>
      </c>
      <c r="E9" s="28">
        <f>+factors!E7</f>
        <v>415032.19779999997</v>
      </c>
      <c r="F9" s="28">
        <f>+factors!F7</f>
        <v>7240217</v>
      </c>
      <c r="G9" s="28">
        <f>+factors!G7</f>
        <v>8278698.5835999995</v>
      </c>
      <c r="H9" s="28">
        <f>+factors!H7</f>
        <v>13823013</v>
      </c>
    </row>
    <row r="10" spans="1:8">
      <c r="A10" s="26" t="s">
        <v>40</v>
      </c>
      <c r="B10" s="27">
        <f t="shared" si="4"/>
        <v>14214863.417126546</v>
      </c>
      <c r="C10" s="28">
        <f>+C9-C7</f>
        <v>8126385.8754342347</v>
      </c>
      <c r="D10" s="28">
        <f t="shared" ref="D10:H10" si="5">+D9-D7</f>
        <v>3842658.7575470717</v>
      </c>
      <c r="E10" s="28">
        <f t="shared" si="5"/>
        <v>-20574.173200000077</v>
      </c>
      <c r="F10" s="28">
        <f t="shared" si="5"/>
        <v>1046897.5948314359</v>
      </c>
      <c r="G10" s="28">
        <f t="shared" si="5"/>
        <v>741557.96908065025</v>
      </c>
      <c r="H10" s="28">
        <f t="shared" si="5"/>
        <v>477937.39343315549</v>
      </c>
    </row>
    <row r="11" spans="1:8">
      <c r="A11" s="26" t="s">
        <v>41</v>
      </c>
      <c r="B11" s="28">
        <v>3959</v>
      </c>
      <c r="C11" s="28">
        <v>3959</v>
      </c>
      <c r="D11" s="28">
        <v>3959</v>
      </c>
      <c r="E11" s="28">
        <v>3959</v>
      </c>
      <c r="F11" s="28">
        <v>3959</v>
      </c>
      <c r="G11" s="28">
        <v>3959</v>
      </c>
      <c r="H11" s="28">
        <v>3959</v>
      </c>
    </row>
    <row r="12" spans="1:8">
      <c r="A12" s="26" t="s">
        <v>42</v>
      </c>
      <c r="B12" s="29">
        <f>+B10/B11/(B6/12)</f>
        <v>2.0333026516925413E-2</v>
      </c>
      <c r="C12" s="29">
        <f>+C10/C11/(C6/12)</f>
        <v>1.3057709264842865E-2</v>
      </c>
      <c r="D12" s="29">
        <f t="shared" ref="D12:H12" si="6">+D10/D11/(D6/12)</f>
        <v>5.0640042653259242E-2</v>
      </c>
      <c r="E12" s="29">
        <f t="shared" si="6"/>
        <v>-0.43916709369630424</v>
      </c>
      <c r="F12" s="29">
        <f t="shared" si="6"/>
        <v>2.1211352084091262</v>
      </c>
      <c r="G12" s="29">
        <f t="shared" si="6"/>
        <v>2.6381607572002115</v>
      </c>
      <c r="H12" s="29">
        <f t="shared" si="6"/>
        <v>8.6954439080980173</v>
      </c>
    </row>
    <row r="13" spans="1:8">
      <c r="A13" s="26" t="s">
        <v>43</v>
      </c>
      <c r="B13" s="28">
        <v>60</v>
      </c>
      <c r="C13" s="28">
        <v>60</v>
      </c>
      <c r="D13" s="28">
        <f>+C13</f>
        <v>60</v>
      </c>
      <c r="E13" s="28">
        <f>+D13</f>
        <v>60</v>
      </c>
      <c r="F13" s="28">
        <f t="shared" ref="F13" si="7">+E13</f>
        <v>60</v>
      </c>
      <c r="G13" s="28">
        <f>+D13</f>
        <v>60</v>
      </c>
      <c r="H13" s="28">
        <f>+G13</f>
        <v>60</v>
      </c>
    </row>
    <row r="14" spans="1:8">
      <c r="A14" s="26" t="s">
        <v>44</v>
      </c>
      <c r="B14" s="29">
        <f t="shared" ref="B14" si="8">+B8+B12*B13</f>
        <v>1.7162300657899641</v>
      </c>
      <c r="C14" s="29">
        <f t="shared" ref="C14:H14" si="9">+C8+C12*C13</f>
        <v>0.81657686600505119</v>
      </c>
      <c r="D14" s="29">
        <f t="shared" si="9"/>
        <v>3.4063198261404959</v>
      </c>
      <c r="E14" s="29">
        <f t="shared" si="9"/>
        <v>74.504237391920384</v>
      </c>
      <c r="F14" s="29">
        <f t="shared" si="9"/>
        <v>263.37505130394464</v>
      </c>
      <c r="G14" s="29">
        <f t="shared" si="9"/>
        <v>449.1304949214724</v>
      </c>
      <c r="H14" s="29">
        <f t="shared" si="9"/>
        <v>3155.2333074915559</v>
      </c>
    </row>
    <row r="15" spans="1:8">
      <c r="A15" s="26"/>
      <c r="B15" s="26"/>
      <c r="C15" s="28"/>
      <c r="D15" s="28"/>
      <c r="E15" s="28"/>
      <c r="F15" s="28"/>
      <c r="G15" s="28"/>
      <c r="H15" s="28"/>
    </row>
    <row r="16" spans="1:8">
      <c r="A16" s="26" t="s">
        <v>45</v>
      </c>
      <c r="B16" s="28">
        <f>+B14*(B6/12)</f>
        <v>303061.430094057</v>
      </c>
      <c r="C16" s="28">
        <f>+C14*(C6/12)</f>
        <v>128363.63774961254</v>
      </c>
      <c r="D16" s="28">
        <f t="shared" ref="D16:H16" si="10">+D14*(D6/12)</f>
        <v>65288.648247649377</v>
      </c>
      <c r="E16" s="28">
        <f t="shared" si="10"/>
        <v>881.63347580439131</v>
      </c>
      <c r="F16" s="28">
        <f t="shared" si="10"/>
        <v>32834.089729225103</v>
      </c>
      <c r="G16" s="28">
        <f t="shared" si="10"/>
        <v>31888.26513942454</v>
      </c>
      <c r="H16" s="28">
        <f t="shared" si="10"/>
        <v>43805.155752341117</v>
      </c>
    </row>
    <row r="17" spans="1:6">
      <c r="E17" s="30"/>
      <c r="F17" s="30"/>
    </row>
    <row r="18" spans="1:6">
      <c r="A18" s="26" t="s">
        <v>53</v>
      </c>
      <c r="B18" s="25">
        <v>0</v>
      </c>
    </row>
    <row r="19" spans="1:6">
      <c r="A19" s="26" t="s">
        <v>52</v>
      </c>
      <c r="B19" s="25">
        <f>1-B20</f>
        <v>0.58234493549634192</v>
      </c>
    </row>
    <row r="20" spans="1:6">
      <c r="A20" s="26" t="s">
        <v>51</v>
      </c>
      <c r="B20" s="25">
        <f>+B9/(B16*365)</f>
        <v>0.41765506450365808</v>
      </c>
    </row>
  </sheetData>
  <pageMargins left="0.7" right="0.7" top="1" bottom="0.75" header="0.3" footer="0.3"/>
  <pageSetup scale="99" orientation="landscape" horizontalDpi="1200" verticalDpi="1200" r:id="rId1"/>
  <headerFooter>
    <oddHeader>&amp;R&amp;9CASE NO. 2017-00349
ATTACHMENT 6
TO STAFF DR NO. 1-64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8"/>
  <sheetViews>
    <sheetView workbookViewId="0"/>
  </sheetViews>
  <sheetFormatPr defaultRowHeight="15.75"/>
  <cols>
    <col min="2" max="2" width="15.5703125" style="7" bestFit="1" customWidth="1"/>
    <col min="3" max="3" width="17.5703125" style="47" bestFit="1" customWidth="1"/>
    <col min="4" max="4" width="15.42578125" style="40" bestFit="1" customWidth="1"/>
  </cols>
  <sheetData>
    <row r="1" spans="1:4">
      <c r="A1" t="s">
        <v>62</v>
      </c>
    </row>
    <row r="3" spans="1:4">
      <c r="C3" s="48"/>
    </row>
    <row r="4" spans="1:4">
      <c r="C4" s="48"/>
    </row>
    <row r="6" spans="1:4">
      <c r="B6" s="7" t="s">
        <v>54</v>
      </c>
    </row>
    <row r="7" spans="1:4">
      <c r="B7" s="7" t="s">
        <v>55</v>
      </c>
      <c r="D7" s="42"/>
    </row>
    <row r="8" spans="1:4">
      <c r="B8" s="7" t="s">
        <v>56</v>
      </c>
      <c r="D8" s="43"/>
    </row>
    <row r="9" spans="1:4">
      <c r="A9" t="s">
        <v>61</v>
      </c>
    </row>
    <row r="10" spans="1:4">
      <c r="A10">
        <v>43525</v>
      </c>
      <c r="B10" s="7" t="s">
        <v>23</v>
      </c>
      <c r="C10" s="49"/>
      <c r="D10" s="44"/>
    </row>
    <row r="13" spans="1:4">
      <c r="A13">
        <v>41431.900585999996</v>
      </c>
      <c r="B13" s="7">
        <v>371677.94932256808</v>
      </c>
      <c r="C13" s="48">
        <f>+B13+B14+B15+B16+C28+C43+C56</f>
        <v>851856.83651729219</v>
      </c>
      <c r="D13" s="40" t="s">
        <v>57</v>
      </c>
    </row>
    <row r="14" spans="1:4">
      <c r="A14">
        <v>-345.46086700000012</v>
      </c>
      <c r="B14" s="7">
        <v>6710.1233241116179</v>
      </c>
      <c r="C14" s="47">
        <f>+B17+B19+C29+C44+C57</f>
        <v>5291531.7139043249</v>
      </c>
      <c r="D14" s="40" t="s">
        <v>58</v>
      </c>
    </row>
    <row r="15" spans="1:4">
      <c r="A15">
        <v>-2443.114783</v>
      </c>
      <c r="B15" s="7">
        <v>4914.6395183203558</v>
      </c>
      <c r="C15" s="47">
        <f>+B18</f>
        <v>82281.08</v>
      </c>
      <c r="D15" s="40" t="s">
        <v>59</v>
      </c>
    </row>
    <row r="16" spans="1:4">
      <c r="A16">
        <v>0</v>
      </c>
      <c r="B16" s="7">
        <v>61.285000000000004</v>
      </c>
      <c r="C16" s="48">
        <v>0</v>
      </c>
      <c r="D16" s="40" t="s">
        <v>22</v>
      </c>
    </row>
    <row r="17" spans="1:4">
      <c r="A17">
        <v>423000</v>
      </c>
      <c r="B17" s="7">
        <v>5076000</v>
      </c>
      <c r="C17" s="50">
        <f>+B20</f>
        <v>340775.63471919566</v>
      </c>
      <c r="D17" s="42" t="s">
        <v>60</v>
      </c>
    </row>
    <row r="18" spans="1:4">
      <c r="A18">
        <v>30150.68</v>
      </c>
      <c r="B18" s="7">
        <v>82281.08</v>
      </c>
      <c r="C18" s="47">
        <f>SUM(C13:C17)</f>
        <v>6566445.2651408128</v>
      </c>
      <c r="D18" s="43" t="s">
        <v>23</v>
      </c>
    </row>
    <row r="19" spans="1:4">
      <c r="A19">
        <v>158.94999999999999</v>
      </c>
      <c r="B19" s="7">
        <v>134426.61000000002</v>
      </c>
      <c r="C19" s="48"/>
      <c r="D19" s="43"/>
    </row>
    <row r="20" spans="1:4">
      <c r="A20">
        <v>28422.481650818849</v>
      </c>
      <c r="B20" s="7">
        <v>340775.63471919566</v>
      </c>
      <c r="C20" s="48"/>
      <c r="D20" s="41"/>
    </row>
    <row r="21" spans="1:4">
      <c r="A21">
        <v>13562.352044133386</v>
      </c>
      <c r="B21" s="7">
        <v>147213.93675879313</v>
      </c>
      <c r="C21" s="50"/>
      <c r="D21" s="41"/>
    </row>
    <row r="22" spans="1:4">
      <c r="A22">
        <v>18890.173654462524</v>
      </c>
      <c r="B22" s="7">
        <v>214175.71840219031</v>
      </c>
      <c r="C22" s="50"/>
      <c r="D22" s="41"/>
    </row>
    <row r="23" spans="1:4">
      <c r="A23">
        <v>4447.4453299111365</v>
      </c>
      <c r="B23" s="7">
        <v>188208.28809563391</v>
      </c>
      <c r="C23" s="50"/>
      <c r="D23" s="41"/>
    </row>
    <row r="25" spans="1:4">
      <c r="A25">
        <v>557275.407615326</v>
      </c>
      <c r="B25" s="7">
        <v>6566445.2651408128</v>
      </c>
      <c r="C25" s="48"/>
    </row>
    <row r="28" spans="1:4">
      <c r="A28">
        <v>280699.93454900017</v>
      </c>
      <c r="B28" s="7">
        <v>3166822.2597747492</v>
      </c>
      <c r="C28" s="46">
        <f>(+B28+B29+B30)*A37*A38</f>
        <v>170674.42196475415</v>
      </c>
      <c r="D28" s="40" t="s">
        <v>57</v>
      </c>
    </row>
    <row r="29" spans="1:4">
      <c r="A29">
        <v>3455.5609900083996</v>
      </c>
      <c r="B29" s="7">
        <v>30832.525670987139</v>
      </c>
      <c r="C29" s="45">
        <f>+B31*A37*A38</f>
        <v>43501.296437436082</v>
      </c>
      <c r="D29" s="40" t="s">
        <v>58</v>
      </c>
    </row>
    <row r="30" spans="1:4">
      <c r="A30">
        <v>9346.122309686325</v>
      </c>
      <c r="B30" s="7">
        <v>83904.575356936955</v>
      </c>
      <c r="C30" s="45">
        <f>SUM(C28:C29)</f>
        <v>214175.71840219022</v>
      </c>
      <c r="D30" s="43" t="s">
        <v>23</v>
      </c>
    </row>
    <row r="31" spans="1:4">
      <c r="A31">
        <v>69700</v>
      </c>
      <c r="B31" s="7">
        <v>836400</v>
      </c>
      <c r="C31" s="50"/>
      <c r="D31" s="42"/>
    </row>
    <row r="32" spans="1:4">
      <c r="A32">
        <v>0</v>
      </c>
      <c r="B32" s="7">
        <v>0</v>
      </c>
    </row>
    <row r="33" spans="1:4">
      <c r="A33">
        <v>0</v>
      </c>
      <c r="B33" s="7">
        <v>0</v>
      </c>
    </row>
    <row r="35" spans="1:4">
      <c r="A35">
        <v>363201.61784869491</v>
      </c>
      <c r="B35" s="7">
        <v>4117959.3608026742</v>
      </c>
    </row>
    <row r="37" spans="1:4">
      <c r="A37">
        <v>0.10349999999999999</v>
      </c>
    </row>
    <row r="38" spans="1:4">
      <c r="A38">
        <v>0.5025136071712456</v>
      </c>
    </row>
    <row r="40" spans="1:4">
      <c r="A40">
        <v>18890.173654462524</v>
      </c>
      <c r="B40" s="7">
        <v>214175.71840219031</v>
      </c>
    </row>
    <row r="43" spans="1:4">
      <c r="A43">
        <v>190318.924856</v>
      </c>
      <c r="B43" s="7">
        <v>1854686.124909495</v>
      </c>
      <c r="C43" s="48">
        <f>(+B43+B44+B45)*A50*A51</f>
        <v>111419.17827772054</v>
      </c>
      <c r="D43" s="40" t="s">
        <v>57</v>
      </c>
    </row>
    <row r="44" spans="1:4">
      <c r="A44">
        <v>-508.30901699999987</v>
      </c>
      <c r="B44" s="7">
        <v>29439.06617558829</v>
      </c>
      <c r="C44" s="47">
        <f>+B46*A50*A51</f>
        <v>35794.758481072604</v>
      </c>
      <c r="D44" s="40" t="s">
        <v>58</v>
      </c>
    </row>
    <row r="45" spans="1:4">
      <c r="A45">
        <v>-3253.9076080000013</v>
      </c>
      <c r="B45" s="7">
        <v>80625.747689509037</v>
      </c>
      <c r="C45" s="47">
        <f>SUM(C43:C44)</f>
        <v>147213.93675879313</v>
      </c>
      <c r="D45" s="43" t="s">
        <v>23</v>
      </c>
    </row>
    <row r="46" spans="1:4">
      <c r="A46">
        <v>52600</v>
      </c>
      <c r="B46" s="7">
        <v>631200</v>
      </c>
      <c r="C46" s="50"/>
      <c r="D46" s="42"/>
    </row>
    <row r="48" spans="1:4">
      <c r="A48">
        <v>239156.708231</v>
      </c>
      <c r="B48" s="7">
        <v>2595950.9387745922</v>
      </c>
    </row>
    <row r="50" spans="1:4">
      <c r="A50">
        <v>0.10929999999999999</v>
      </c>
    </row>
    <row r="51" spans="1:4">
      <c r="A51">
        <v>0.51883860656465508</v>
      </c>
    </row>
    <row r="53" spans="1:4">
      <c r="A53">
        <v>13562.352044133386</v>
      </c>
      <c r="B53" s="7">
        <v>147213.93675879313</v>
      </c>
    </row>
    <row r="56" spans="1:4">
      <c r="A56">
        <v>9960.6946190000053</v>
      </c>
      <c r="B56" s="7">
        <v>366011.46713753423</v>
      </c>
      <c r="C56" s="48">
        <f>(+B56+B57+B58+B59)*A65*A66</f>
        <v>186399.23910981746</v>
      </c>
      <c r="D56" s="40" t="s">
        <v>57</v>
      </c>
    </row>
    <row r="57" spans="1:4">
      <c r="A57">
        <v>-188.118788</v>
      </c>
      <c r="B57" s="7">
        <v>2627.1797930191196</v>
      </c>
      <c r="C57" s="47">
        <f>+B60*A65*A66</f>
        <v>1809.0489858164842</v>
      </c>
      <c r="D57" s="40" t="s">
        <v>58</v>
      </c>
    </row>
    <row r="58" spans="1:4">
      <c r="A58">
        <v>-1334.8880340000003</v>
      </c>
      <c r="B58" s="7">
        <v>1894.602349282771</v>
      </c>
      <c r="C58" s="47">
        <f>SUM(C56:C57)</f>
        <v>188208.28809563394</v>
      </c>
      <c r="D58" s="43" t="s">
        <v>23</v>
      </c>
    </row>
    <row r="59" spans="1:4">
      <c r="A59">
        <v>112.710016</v>
      </c>
      <c r="B59" s="7">
        <v>400.46564799999999</v>
      </c>
    </row>
    <row r="60" spans="1:4">
      <c r="A60">
        <v>300</v>
      </c>
      <c r="B60" s="7">
        <v>3600</v>
      </c>
      <c r="C60" s="50"/>
      <c r="D60" s="42"/>
    </row>
    <row r="61" spans="1:4">
      <c r="A61">
        <v>0</v>
      </c>
      <c r="B61" s="7">
        <v>0</v>
      </c>
      <c r="C61" s="48"/>
    </row>
    <row r="63" spans="1:4">
      <c r="A63">
        <v>8850.3978130000069</v>
      </c>
      <c r="B63" s="7">
        <v>374533.71492783609</v>
      </c>
    </row>
    <row r="65" spans="1:2">
      <c r="A65">
        <v>1</v>
      </c>
    </row>
    <row r="66" spans="1:2">
      <c r="A66">
        <v>0.5025136071712456</v>
      </c>
    </row>
    <row r="68" spans="1:2">
      <c r="A68">
        <v>4447.4453299111365</v>
      </c>
      <c r="B68" s="7">
        <v>188208.28809563391</v>
      </c>
    </row>
  </sheetData>
  <printOptions horizontalCentered="1"/>
  <pageMargins left="0.7" right="0.7" top="0.75" bottom="0.75" header="0.3" footer="0.3"/>
  <pageSetup scale="66" orientation="portrait" horizontalDpi="1200" verticalDpi="1200" r:id="rId1"/>
  <headerFooter>
    <oddHeader>&amp;RCASE NO. 2017-00349
ATTACHMENT 6
TO STAFF DR NO. 1-64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factors</vt:lpstr>
      <vt:lpstr>peakday</vt:lpstr>
      <vt:lpstr>Other Taxes</vt:lpstr>
      <vt:lpstr>factors!Print_Area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Eric  Wilen</cp:lastModifiedBy>
  <cp:lastPrinted>2017-10-09T19:34:44Z</cp:lastPrinted>
  <dcterms:created xsi:type="dcterms:W3CDTF">2017-09-10T18:21:26Z</dcterms:created>
  <dcterms:modified xsi:type="dcterms:W3CDTF">2017-10-09T19:34:48Z</dcterms:modified>
</cp:coreProperties>
</file>