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chedule 32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<sst xmlns="http://schemas.openxmlformats.org/spreadsheetml/2006/main" count="45" uniqueCount="41">
  <si>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Comparative Operating Statistics - Gas Operations</t>
  </si>
  <si>
    <t xml:space="preserve">KY - Division 009 </t>
  </si>
  <si>
    <t>Three Most Recent Calendar Years</t>
  </si>
  <si>
    <t>Line No.</t>
  </si>
  <si>
    <t>Item</t>
  </si>
  <si>
    <t>Cost</t>
  </si>
  <si>
    <t>% Inc.</t>
  </si>
  <si>
    <t>(a)</t>
  </si>
  <si>
    <t>(b)</t>
  </si>
  <si>
    <t>(c)</t>
  </si>
  <si>
    <t>(d)</t>
  </si>
  <si>
    <t>(e)</t>
  </si>
  <si>
    <t>(f)</t>
  </si>
  <si>
    <t>(g)</t>
  </si>
  <si>
    <t>Cost per MCF of Purchased Gas</t>
  </si>
  <si>
    <t>Cost of Propane Gas per MCF Equivalent for Peak Shaving</t>
  </si>
  <si>
    <t>Cost per MCF of Gas Sold</t>
  </si>
  <si>
    <t>Maintenance Cost per Transmission Mile</t>
  </si>
  <si>
    <t>Maintenance Cost per Distribution Mile</t>
  </si>
  <si>
    <t>Sales Promotion Expense per Customer</t>
  </si>
  <si>
    <t>Administration and General Expense per Customer</t>
  </si>
  <si>
    <t>Wages and Salaries – Charged Expense – per Average Employee</t>
  </si>
  <si>
    <t>Depreciation Expense:</t>
  </si>
  <si>
    <t xml:space="preserve">  Per $100 of Average Gross Depreciable Plant in Service</t>
  </si>
  <si>
    <t>Rents:</t>
  </si>
  <si>
    <t xml:space="preserve">  Per $100 of Average Gross Plant in Service</t>
  </si>
  <si>
    <t>Property Taxes:</t>
  </si>
  <si>
    <t xml:space="preserve">  Per $100 of Average Net Plant in Service</t>
  </si>
  <si>
    <t>Payroll Taxes:</t>
  </si>
  <si>
    <t>Interest Expense:</t>
  </si>
  <si>
    <t xml:space="preserve">  Per $100 of Average Debt Outstanding</t>
  </si>
  <si>
    <t xml:space="preserve">  Per $100 of Average Plant Investment</t>
  </si>
  <si>
    <t xml:space="preserve">  Per MCF Sold</t>
  </si>
  <si>
    <t>Meter Reading Expense per Meter</t>
  </si>
  <si>
    <t>CY 2014</t>
  </si>
  <si>
    <t>Per Average Employee whose Salary is charged to expense</t>
  </si>
  <si>
    <t>Atmos Energy Corporation, Kentucky</t>
  </si>
  <si>
    <t>For the Calendar Years 2014 through 2016</t>
  </si>
  <si>
    <t>Schedule 32, Page 1 of 1</t>
  </si>
  <si>
    <t>CY 2015</t>
  </si>
  <si>
    <t>CY 2016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</si>
</sst>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#,##0.0_);[Red]\(#,##0.0\)"/>
    <numFmt numFmtId="170" formatCode="#,##0.000_);[Red]\(#,##0.000\)"/>
    <numFmt numFmtId="171" formatCode="_(* #,##0.000_);_(* \(#,##0.000\);_(* &quot;-&quot;??_);_(@_)"/>
    <numFmt numFmtId="172" formatCode="_(* #,##0.0000_);_(* \(#,##0.0000\);_(* &quot;-&quot;??_);_(@_)"/>
    <numFmt numFmtId="173" formatCode="_(* #,##0.0_);_(* \(#,##0.0\);_(* &quot;-&quot;??_);_(@_)"/>
    <numFmt numFmtId="174" formatCode="_(* #,##0_);_(* \(#,##0\);_(* &quot;-&quot;??_);_(@_)"/>
    <numFmt numFmtId="175" formatCode="_(* #,##0.0000_);_(* \(#,##0.0000\);_(* &quot;-&quot;????_);_(@_)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40" fontId="3" fillId="33" borderId="0">
      <alignment horizontal="right"/>
      <protection/>
    </xf>
    <xf numFmtId="0" fontId="4" fillId="33" borderId="0">
      <alignment horizontal="right"/>
      <protection/>
    </xf>
    <xf numFmtId="0" fontId="5" fillId="33" borderId="9">
      <alignment/>
      <protection/>
    </xf>
    <xf numFmtId="0" fontId="5" fillId="0" borderId="0" applyBorder="0">
      <alignment horizontal="centerContinuous"/>
      <protection/>
    </xf>
    <xf numFmtId="0" fontId="6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wrapText="1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0" fontId="0" fillId="0" borderId="0" xfId="64" applyNumberFormat="1" applyFont="1" applyFill="1" applyAlignment="1">
      <alignment/>
    </xf>
    <xf numFmtId="43" fontId="0" fillId="0" borderId="0" xfId="0" applyNumberFormat="1" applyFill="1" applyAlignment="1">
      <alignment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43" fontId="8" fillId="0" borderId="11" xfId="0" applyNumberFormat="1" applyFont="1" applyFill="1" applyBorder="1" applyAlignment="1">
      <alignment horizontal="justify" wrapText="1"/>
    </xf>
    <xf numFmtId="10" fontId="8" fillId="0" borderId="11" xfId="64" applyNumberFormat="1" applyFont="1" applyFill="1" applyBorder="1" applyAlignment="1">
      <alignment horizontal="right" wrapText="1"/>
    </xf>
    <xf numFmtId="43" fontId="8" fillId="0" borderId="11" xfId="0" applyNumberFormat="1" applyFont="1" applyBorder="1" applyAlignment="1">
      <alignment horizontal="justify" wrapText="1"/>
    </xf>
    <xf numFmtId="0" fontId="8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wrapText="1"/>
    </xf>
    <xf numFmtId="10" fontId="8" fillId="0" borderId="11" xfId="64" applyNumberFormat="1" applyFont="1" applyFill="1" applyBorder="1" applyAlignment="1">
      <alignment horizontal="center" wrapText="1"/>
    </xf>
    <xf numFmtId="41" fontId="8" fillId="0" borderId="11" xfId="0" applyNumberFormat="1" applyFont="1" applyFill="1" applyBorder="1" applyAlignment="1">
      <alignment horizontal="justify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174" fontId="8" fillId="0" borderId="11" xfId="0" applyNumberFormat="1" applyFont="1" applyFill="1" applyBorder="1" applyAlignment="1">
      <alignment horizontal="justify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Output Amounts" xfId="59"/>
    <cellStyle name="Output Column Headings" xfId="60"/>
    <cellStyle name="Output Line Items" xfId="61"/>
    <cellStyle name="Output Report Heading" xfId="62"/>
    <cellStyle name="Output Report Title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workbookViewId="0" topLeftCell="A1">
      <selection activeCell="D5" sqref="D5"/>
    </sheetView>
  </sheetViews>
  <sheetFormatPr defaultColWidth="9.140625" defaultRowHeight="12.75"/>
  <cols>
    <col min="2" max="2" width="26.8515625" style="0" customWidth="1"/>
    <col min="3" max="3" width="14.57421875" style="0" customWidth="1"/>
    <col min="5" max="5" width="14.8515625" style="0" customWidth="1"/>
    <col min="7" max="7" width="15.8515625" style="0" customWidth="1"/>
  </cols>
  <sheetData>
    <row r="1" ht="12.75">
      <c r="A1" s="1" t="s">
        <v>36</v>
      </c>
    </row>
    <row r="2" spans="1:6" ht="12.75">
      <c r="A2" s="1" t="s">
        <v>0</v>
      </c>
      <c r="F2" s="1" t="s">
        <v>38</v>
      </c>
    </row>
    <row r="3" ht="12.75">
      <c r="A3" s="1" t="s">
        <v>37</v>
      </c>
    </row>
    <row r="4" ht="12.75">
      <c r="A4" s="1" t="s">
        <v>1</v>
      </c>
    </row>
    <row r="7" spans="1:8" ht="12.75">
      <c r="A7" s="22"/>
      <c r="C7" s="23" t="s">
        <v>2</v>
      </c>
      <c r="D7" s="24"/>
      <c r="E7" s="24"/>
      <c r="F7" s="24"/>
      <c r="G7" s="24"/>
      <c r="H7" s="25"/>
    </row>
    <row r="8" spans="1:8" ht="12.75">
      <c r="A8" s="22"/>
      <c r="C8" s="26"/>
      <c r="D8" s="27"/>
      <c r="E8" s="27"/>
      <c r="F8" s="27"/>
      <c r="G8" s="27"/>
      <c r="H8" s="28"/>
    </row>
    <row r="9" spans="1:8" ht="13.5" customHeight="1">
      <c r="A9" s="2"/>
      <c r="B9" s="2"/>
      <c r="C9" s="20" t="s">
        <v>40</v>
      </c>
      <c r="D9" s="21"/>
      <c r="E9" s="20" t="s">
        <v>39</v>
      </c>
      <c r="F9" s="21"/>
      <c r="G9" s="20" t="s">
        <v>34</v>
      </c>
      <c r="H9" s="21"/>
    </row>
    <row r="10" spans="1:8" ht="12.75">
      <c r="A10" s="17" t="s">
        <v>3</v>
      </c>
      <c r="B10" s="17" t="s">
        <v>4</v>
      </c>
      <c r="C10" s="17" t="s">
        <v>5</v>
      </c>
      <c r="D10" s="17" t="s">
        <v>6</v>
      </c>
      <c r="E10" s="17" t="s">
        <v>5</v>
      </c>
      <c r="F10" s="17" t="s">
        <v>6</v>
      </c>
      <c r="G10" s="17" t="s">
        <v>5</v>
      </c>
      <c r="H10" s="17" t="s">
        <v>6</v>
      </c>
    </row>
    <row r="11" spans="1:8" ht="12.75">
      <c r="A11" s="18"/>
      <c r="B11" s="18" t="s">
        <v>7</v>
      </c>
      <c r="C11" s="18" t="s">
        <v>8</v>
      </c>
      <c r="D11" s="18" t="s">
        <v>9</v>
      </c>
      <c r="E11" s="18" t="s">
        <v>10</v>
      </c>
      <c r="F11" s="18" t="s">
        <v>11</v>
      </c>
      <c r="G11" s="18" t="s">
        <v>12</v>
      </c>
      <c r="H11" s="18" t="s">
        <v>13</v>
      </c>
    </row>
    <row r="12" spans="1:11" s="3" customFormat="1" ht="12.75">
      <c r="A12" s="13">
        <v>1</v>
      </c>
      <c r="B12" s="14" t="s">
        <v>14</v>
      </c>
      <c r="C12" s="10">
        <v>3.97</v>
      </c>
      <c r="D12" s="15">
        <f>-1+C12/E12</f>
        <v>-0.15889830508474567</v>
      </c>
      <c r="E12" s="10">
        <v>4.72</v>
      </c>
      <c r="F12" s="15">
        <f>-1+E12/G12</f>
        <v>-0.1480144404332131</v>
      </c>
      <c r="G12" s="10">
        <v>5.54</v>
      </c>
      <c r="H12" s="10"/>
      <c r="J12" s="4"/>
      <c r="K12" s="6"/>
    </row>
    <row r="13" spans="1:11" s="3" customFormat="1" ht="24">
      <c r="A13" s="13">
        <v>2</v>
      </c>
      <c r="B13" s="14" t="s">
        <v>15</v>
      </c>
      <c r="C13" s="10"/>
      <c r="D13" s="10"/>
      <c r="E13" s="10"/>
      <c r="F13" s="10"/>
      <c r="G13" s="10"/>
      <c r="H13" s="10"/>
      <c r="I13" s="5"/>
      <c r="J13" s="6"/>
      <c r="K13" s="6"/>
    </row>
    <row r="14" spans="1:8" s="3" customFormat="1" ht="12.75">
      <c r="A14" s="13">
        <v>3</v>
      </c>
      <c r="B14" s="14" t="s">
        <v>16</v>
      </c>
      <c r="C14" s="10">
        <v>3.92</v>
      </c>
      <c r="D14" s="15">
        <f aca="true" t="shared" si="0" ref="D14:D22">-1+C14/E14</f>
        <v>-0.2672897196261682</v>
      </c>
      <c r="E14" s="10">
        <v>5.35</v>
      </c>
      <c r="F14" s="15">
        <f aca="true" t="shared" si="1" ref="F14:F22">-1+E14/G14</f>
        <v>-0.12006578947368429</v>
      </c>
      <c r="G14" s="10">
        <v>6.08</v>
      </c>
      <c r="H14" s="10"/>
    </row>
    <row r="15" spans="1:11" s="3" customFormat="1" ht="24">
      <c r="A15" s="13">
        <v>4</v>
      </c>
      <c r="B15" s="14" t="s">
        <v>17</v>
      </c>
      <c r="C15" s="10">
        <f>15362/188</f>
        <v>81.7127659574468</v>
      </c>
      <c r="D15" s="15">
        <f t="shared" si="0"/>
        <v>0.32959130033080397</v>
      </c>
      <c r="E15" s="10">
        <f>12021/195.6</f>
        <v>61.45705521472393</v>
      </c>
      <c r="F15" s="15">
        <f t="shared" si="1"/>
        <v>0.4456568757644723</v>
      </c>
      <c r="G15" s="10">
        <f>8311/195.5</f>
        <v>42.51150895140665</v>
      </c>
      <c r="H15" s="10"/>
      <c r="I15" s="5"/>
      <c r="K15" s="7"/>
    </row>
    <row r="16" spans="1:11" s="3" customFormat="1" ht="24">
      <c r="A16" s="13">
        <v>5</v>
      </c>
      <c r="B16" s="14" t="s">
        <v>18</v>
      </c>
      <c r="C16" s="10">
        <f>177347/3977</f>
        <v>44.59316067387478</v>
      </c>
      <c r="D16" s="15">
        <f t="shared" si="0"/>
        <v>-0.25853264580819424</v>
      </c>
      <c r="E16" s="10">
        <f>237560/3950</f>
        <v>60.141772151898735</v>
      </c>
      <c r="F16" s="15">
        <f t="shared" si="1"/>
        <v>0.09305231384470569</v>
      </c>
      <c r="G16" s="10">
        <f>216456/3934</f>
        <v>55.021860701576</v>
      </c>
      <c r="H16" s="10"/>
      <c r="I16" s="5"/>
      <c r="K16" s="6"/>
    </row>
    <row r="17" spans="1:10" s="3" customFormat="1" ht="24">
      <c r="A17" s="13">
        <v>6</v>
      </c>
      <c r="B17" s="14" t="s">
        <v>19</v>
      </c>
      <c r="C17" s="10">
        <f>374152/175283</f>
        <v>2.134559540856786</v>
      </c>
      <c r="D17" s="15">
        <f t="shared" si="0"/>
        <v>-0.004885418802321739</v>
      </c>
      <c r="E17" s="10">
        <f>374719/174691</f>
        <v>2.145038954496797</v>
      </c>
      <c r="F17" s="15">
        <f t="shared" si="1"/>
        <v>0.08841730071563436</v>
      </c>
      <c r="G17" s="10">
        <f>343658/174376</f>
        <v>1.970787264302427</v>
      </c>
      <c r="H17" s="10"/>
      <c r="I17" s="5"/>
      <c r="J17" s="4"/>
    </row>
    <row r="18" spans="1:9" s="3" customFormat="1" ht="24">
      <c r="A18" s="13">
        <v>7</v>
      </c>
      <c r="B18" s="14" t="s">
        <v>20</v>
      </c>
      <c r="C18" s="10">
        <f>16340077/175283</f>
        <v>93.22111670840869</v>
      </c>
      <c r="D18" s="15">
        <f t="shared" si="0"/>
        <v>0.007291210745523635</v>
      </c>
      <c r="E18" s="10">
        <f>16167013/174691</f>
        <v>92.54634182642495</v>
      </c>
      <c r="F18" s="15">
        <f t="shared" si="1"/>
        <v>0.022938143676740408</v>
      </c>
      <c r="G18" s="10">
        <f>15775989/174376</f>
        <v>90.47110267468</v>
      </c>
      <c r="H18" s="10"/>
      <c r="I18" s="5"/>
    </row>
    <row r="19" spans="1:9" s="3" customFormat="1" ht="36">
      <c r="A19" s="13">
        <v>8</v>
      </c>
      <c r="B19" s="14" t="s">
        <v>21</v>
      </c>
      <c r="C19" s="16">
        <f>5099070/168</f>
        <v>30351.60714285714</v>
      </c>
      <c r="D19" s="15">
        <f t="shared" si="0"/>
        <v>0.03332468804208477</v>
      </c>
      <c r="E19" s="16">
        <f>5081489/173</f>
        <v>29372.768786127166</v>
      </c>
      <c r="F19" s="15">
        <f t="shared" si="1"/>
        <v>0.02995051209369559</v>
      </c>
      <c r="G19" s="16">
        <f>5047796/177</f>
        <v>28518.621468926554</v>
      </c>
      <c r="H19" s="10"/>
      <c r="I19" s="5"/>
    </row>
    <row r="20" spans="1:9" s="3" customFormat="1" ht="12.75">
      <c r="A20" s="13">
        <v>9</v>
      </c>
      <c r="B20" s="14" t="s">
        <v>22</v>
      </c>
      <c r="C20" s="16">
        <v>19069587</v>
      </c>
      <c r="D20" s="15">
        <f t="shared" si="0"/>
        <v>0.025992553618418457</v>
      </c>
      <c r="E20" s="16">
        <v>18586477</v>
      </c>
      <c r="F20" s="15">
        <f t="shared" si="1"/>
        <v>0.10653801562449217</v>
      </c>
      <c r="G20" s="16">
        <v>16796962</v>
      </c>
      <c r="H20" s="10"/>
      <c r="I20" s="5"/>
    </row>
    <row r="21" spans="1:9" s="3" customFormat="1" ht="24">
      <c r="A21" s="13">
        <v>10</v>
      </c>
      <c r="B21" s="14" t="s">
        <v>23</v>
      </c>
      <c r="C21" s="10">
        <f>C20/5084153</f>
        <v>3.7507893645214847</v>
      </c>
      <c r="D21" s="15">
        <f t="shared" si="0"/>
        <v>-0.07165643664754096</v>
      </c>
      <c r="E21" s="10">
        <f>E20/4600268</f>
        <v>4.040303086689732</v>
      </c>
      <c r="F21" s="15">
        <f t="shared" si="1"/>
        <v>0.015717704365371787</v>
      </c>
      <c r="G21" s="10">
        <f>G20/4222696</f>
        <v>3.9777814931503475</v>
      </c>
      <c r="H21" s="10"/>
      <c r="I21" s="5"/>
    </row>
    <row r="22" spans="1:9" s="3" customFormat="1" ht="12.75">
      <c r="A22" s="13">
        <v>11</v>
      </c>
      <c r="B22" s="14" t="s">
        <v>24</v>
      </c>
      <c r="C22" s="16">
        <v>331701</v>
      </c>
      <c r="D22" s="15">
        <f t="shared" si="0"/>
        <v>-0.04934397193609963</v>
      </c>
      <c r="E22" s="16">
        <v>348918</v>
      </c>
      <c r="F22" s="15">
        <f t="shared" si="1"/>
        <v>-0.09353112335030656</v>
      </c>
      <c r="G22" s="16">
        <v>384920</v>
      </c>
      <c r="H22" s="10"/>
      <c r="I22" s="5"/>
    </row>
    <row r="23" spans="1:9" s="3" customFormat="1" ht="24">
      <c r="A23" s="13">
        <v>12</v>
      </c>
      <c r="B23" s="14" t="s">
        <v>25</v>
      </c>
      <c r="C23" s="10">
        <f>C22/5084153</f>
        <v>0.06524213571070737</v>
      </c>
      <c r="D23" s="15">
        <f>+C23/E23-1</f>
        <v>-0.1398227974434555</v>
      </c>
      <c r="E23" s="10">
        <f>E22/4600268</f>
        <v>0.07584732019960576</v>
      </c>
      <c r="F23" s="15">
        <f>+E23/G23-1</f>
        <v>-0.16793054240466998</v>
      </c>
      <c r="G23" s="10">
        <f>G22/4222696</f>
        <v>0.09115503460348555</v>
      </c>
      <c r="H23" s="10"/>
      <c r="I23" s="5"/>
    </row>
    <row r="24" spans="1:9" s="3" customFormat="1" ht="12.75">
      <c r="A24" s="13">
        <v>13</v>
      </c>
      <c r="B24" s="14" t="s">
        <v>26</v>
      </c>
      <c r="C24" s="16">
        <v>4547055</v>
      </c>
      <c r="D24" s="15">
        <f>-1+C24/E24</f>
        <v>-0.22761818470896145</v>
      </c>
      <c r="E24" s="16">
        <v>5887056</v>
      </c>
      <c r="F24" s="15">
        <f>-1+E24/G24</f>
        <v>0.6593567721237479</v>
      </c>
      <c r="G24" s="16">
        <v>3547794</v>
      </c>
      <c r="H24" s="10"/>
      <c r="I24" s="5"/>
    </row>
    <row r="25" spans="1:9" s="3" customFormat="1" ht="24">
      <c r="A25" s="13">
        <v>14</v>
      </c>
      <c r="B25" s="14" t="s">
        <v>27</v>
      </c>
      <c r="C25" s="10">
        <f>C24/5084153</f>
        <v>0.8943584113223972</v>
      </c>
      <c r="D25" s="15">
        <f>+C25/E25-1</f>
        <v>-0.3011297361300348</v>
      </c>
      <c r="E25" s="10">
        <f>E24/4600268</f>
        <v>1.2797202249955872</v>
      </c>
      <c r="F25" s="15">
        <f>+E25/G25-1</f>
        <v>0.5231632601013378</v>
      </c>
      <c r="G25" s="10">
        <f>G24/4222696</f>
        <v>0.8401727237764689</v>
      </c>
      <c r="H25" s="10"/>
      <c r="I25" s="5"/>
    </row>
    <row r="26" spans="1:9" s="3" customFormat="1" ht="12.75">
      <c r="A26" s="13">
        <v>15</v>
      </c>
      <c r="B26" s="14" t="s">
        <v>28</v>
      </c>
      <c r="C26" s="16">
        <v>352392</v>
      </c>
      <c r="D26" s="15">
        <f>+C26/E26-1</f>
        <v>0.012178588662423273</v>
      </c>
      <c r="E26" s="16">
        <v>348152</v>
      </c>
      <c r="F26" s="15">
        <f>+E26/G26-1</f>
        <v>-0.006052439247213548</v>
      </c>
      <c r="G26" s="16">
        <v>350272</v>
      </c>
      <c r="H26" s="10"/>
      <c r="I26" s="5"/>
    </row>
    <row r="27" spans="1:9" s="3" customFormat="1" ht="24">
      <c r="A27" s="13">
        <v>16</v>
      </c>
      <c r="B27" s="14" t="s">
        <v>35</v>
      </c>
      <c r="C27" s="19">
        <f>C26/168</f>
        <v>2097.5714285714284</v>
      </c>
      <c r="D27" s="15">
        <f>+C27/E27-1</f>
        <v>0.042302951420233326</v>
      </c>
      <c r="E27" s="19">
        <f>E26/173</f>
        <v>2012.4393063583816</v>
      </c>
      <c r="F27" s="15">
        <f>+E27/G27-1</f>
        <v>0.01692900724418034</v>
      </c>
      <c r="G27" s="19">
        <f>G26/177</f>
        <v>1978.9378531073446</v>
      </c>
      <c r="H27" s="10"/>
      <c r="I27" s="5"/>
    </row>
    <row r="28" spans="1:9" s="3" customFormat="1" ht="12.75">
      <c r="A28" s="13">
        <v>17</v>
      </c>
      <c r="B28" s="14" t="s">
        <v>29</v>
      </c>
      <c r="C28" s="16">
        <v>7078295</v>
      </c>
      <c r="D28" s="15">
        <f>+C28/E28-1</f>
        <v>0.057491337089626615</v>
      </c>
      <c r="E28" s="16">
        <v>6693478</v>
      </c>
      <c r="F28" s="15">
        <f>+E28/G28-1</f>
        <v>0.055462293530965434</v>
      </c>
      <c r="G28" s="16">
        <v>6341750</v>
      </c>
      <c r="H28" s="10"/>
      <c r="I28" s="5"/>
    </row>
    <row r="29" spans="1:9" s="3" customFormat="1" ht="24">
      <c r="A29" s="13">
        <v>18</v>
      </c>
      <c r="B29" s="14" t="s">
        <v>30</v>
      </c>
      <c r="C29" s="10">
        <f>C28/1305335</f>
        <v>5.422588837348267</v>
      </c>
      <c r="D29" s="11">
        <f>-1+C29/E29</f>
        <v>0.06364508627779131</v>
      </c>
      <c r="E29" s="10">
        <f>E28/1312931</f>
        <v>5.098118636851441</v>
      </c>
      <c r="F29" s="11">
        <f>-1+E29/G29</f>
        <v>0.03800967310189707</v>
      </c>
      <c r="G29" s="10">
        <f>G28/1291221</f>
        <v>4.911436539523443</v>
      </c>
      <c r="H29" s="10"/>
      <c r="I29" s="5"/>
    </row>
    <row r="30" spans="1:9" s="3" customFormat="1" ht="24">
      <c r="A30" s="13">
        <v>19</v>
      </c>
      <c r="B30" s="14" t="s">
        <v>31</v>
      </c>
      <c r="C30" s="10">
        <f>C28/5084153</f>
        <v>1.3922269845144315</v>
      </c>
      <c r="D30" s="11">
        <f>-1+C30/E30</f>
        <v>-0.043155554466865365</v>
      </c>
      <c r="E30" s="10">
        <f>E28/4600268</f>
        <v>1.45501914236301</v>
      </c>
      <c r="F30" s="11">
        <f>+E30/G30-1</f>
        <v>-0.031165922280172897</v>
      </c>
      <c r="G30" s="10">
        <f>G28/4222696</f>
        <v>1.5018249004901134</v>
      </c>
      <c r="H30" s="10"/>
      <c r="I30" s="5"/>
    </row>
    <row r="31" spans="1:8" s="3" customFormat="1" ht="12.75">
      <c r="A31" s="13">
        <v>20</v>
      </c>
      <c r="B31" s="14" t="s">
        <v>32</v>
      </c>
      <c r="C31" s="10">
        <f>C28/15595339</f>
        <v>0.45387246792134495</v>
      </c>
      <c r="D31" s="11">
        <f>-1+C31/E31</f>
        <v>0.11128843743412498</v>
      </c>
      <c r="E31" s="10">
        <f>E28/16388711</f>
        <v>0.408420039867687</v>
      </c>
      <c r="F31" s="11">
        <f>+E31/G31-1</f>
        <v>0.25087689685823045</v>
      </c>
      <c r="G31" s="10">
        <f>G28/19423015</f>
        <v>0.32650698153710944</v>
      </c>
      <c r="H31" s="10"/>
    </row>
    <row r="32" spans="1:9" ht="24">
      <c r="A32" s="8">
        <v>21</v>
      </c>
      <c r="B32" s="9" t="s">
        <v>33</v>
      </c>
      <c r="C32" s="10">
        <f>1329134/179490</f>
        <v>7.405058777647779</v>
      </c>
      <c r="D32" s="11">
        <f>-1+C32/E32</f>
        <v>-0.023968123178956247</v>
      </c>
      <c r="E32" s="10">
        <f>1357919/178982</f>
        <v>7.586902593556894</v>
      </c>
      <c r="F32" s="11">
        <f>+E32/G32-1</f>
        <v>-0.08718162668095264</v>
      </c>
      <c r="G32" s="10">
        <f>1483439/178480</f>
        <v>8.311513895114299</v>
      </c>
      <c r="H32" s="12"/>
      <c r="I32" s="3"/>
    </row>
  </sheetData>
  <sheetProtection/>
  <mergeCells count="5">
    <mergeCell ref="C9:D9"/>
    <mergeCell ref="E9:F9"/>
    <mergeCell ref="G9:H9"/>
    <mergeCell ref="A7:A8"/>
    <mergeCell ref="C7:H8"/>
  </mergeCells>
  <printOptions horizontalCentered="1"/>
  <pageMargins left="0.75" right="0.75" top="1" bottom="1" header="0.5" footer="0.5"/>
  <pageSetup fitToHeight="1" fitToWidth="1" horizontalDpi="600" verticalDpi="600" orientation="landscape" scale="84" r:id="rId1"/>
  <headerFooter alignWithMargins="0">
    <oddHeader>&amp;RCASE NO. 2017-00349
ATTACHMENT 1
TO STAFF DR NO. 1-32</oddHeader>
  </headerFooter>
  <ignoredErrors>
    <ignoredError sqref="E15:E19 E29:F29 D23:E23 D26 D25:E25 F25 D33:H35 D27:D28 F28 D29 H29 D24 H24 F24 H25 H26 F26 E27:F27 H27 H28 D30 H30 F30 D31 H31 F31 D32 H32 F32 H23 E21 F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Atmos Energy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Harrington</dc:creator>
  <cp:keywords/>
  <dc:description/>
  <cp:lastModifiedBy>Chad  Pilkinton</cp:lastModifiedBy>
  <cp:lastPrinted>2017-09-22T19:55:59Z</cp:lastPrinted>
  <dcterms:created xsi:type="dcterms:W3CDTF">2009-11-12T13:08:29Z</dcterms:created>
  <dcterms:modified xsi:type="dcterms:W3CDTF">2017-09-22T19:57:15Z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